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A7650E1-B7C5-4EA4-8BD7-CDCC31916799}" xr6:coauthVersionLast="47" xr6:coauthVersionMax="47" xr10:uidLastSave="{00000000-0000-0000-0000-000000000000}"/>
  <bookViews>
    <workbookView xWindow="-120" yWindow="-120" windowWidth="38640" windowHeight="15720"/>
  </bookViews>
  <sheets>
    <sheet name="Table of Contents" sheetId="16" r:id="rId1"/>
    <sheet name="Scope" sheetId="17" r:id="rId2"/>
    <sheet name="Assumptions" sheetId="18" r:id="rId3"/>
    <sheet name="Map" sheetId="2" state="hidden" r:id="rId4"/>
    <sheet name="Summary" sheetId="19" r:id="rId5"/>
    <sheet name="Mob_Estimate" sheetId="20" r:id="rId6"/>
    <sheet name="Mob_Schedule" sheetId="21" state="hidden" r:id="rId7"/>
    <sheet name="Mob_Staffing" sheetId="22" r:id="rId8"/>
    <sheet name="Training" sheetId="23" r:id="rId9"/>
    <sheet name="ScopeSplit" sheetId="24" r:id="rId10"/>
    <sheet name="Mob_Backup" sheetId="25" r:id="rId11"/>
    <sheet name="O&amp;M_Estimate" sheetId="26" r:id="rId12"/>
    <sheet name="Plt_Staff" sheetId="27" r:id="rId13"/>
    <sheet name="Pay &amp; Benefits Calculations" sheetId="28" r:id="rId14"/>
    <sheet name="O&amp;M_Backup" sheetId="29" r:id="rId15"/>
    <sheet name="Chem_Cost Backup Cooling Tower" sheetId="32" r:id="rId16"/>
    <sheet name="Chem_Cost Backup Demin" sheetId="31" r:id="rId17"/>
    <sheet name="LM6000PC_MMR_Gas" sheetId="30" r:id="rId18"/>
  </sheets>
  <externalReferences>
    <externalReference r:id="rId19"/>
  </externalReferences>
  <definedNames>
    <definedName name="_xlnm._FilterDatabase" localSheetId="10" hidden="1">Mob_Backup!$A$17:$D$268</definedName>
    <definedName name="_xlnm._FilterDatabase" localSheetId="14" hidden="1">'O&amp;M_Backup'!#REF!</definedName>
    <definedName name="ACwvu.jjj." localSheetId="4" hidden="1">Summary!#REF!</definedName>
    <definedName name="CompleteFilterPrint" localSheetId="14">'O&amp;M_Backup'!$A$2:$D$287</definedName>
    <definedName name="guam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piti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_xlnm.Print_Area" localSheetId="10">Mob_Backup!$E$1:$J$301</definedName>
    <definedName name="_xlnm.Print_Area" localSheetId="5">Mob_Estimate!$A$1:$D$54</definedName>
    <definedName name="_xlnm.Print_Area" localSheetId="6">Mob_Schedule!$A$1:$Z$30</definedName>
    <definedName name="_xlnm.Print_Area" localSheetId="14">'O&amp;M_Backup'!$A$1:$D$313</definedName>
    <definedName name="_xlnm.Print_Area" localSheetId="11">'O&amp;M_Estimate'!$A$1:$J$59</definedName>
    <definedName name="_xlnm.Print_Area" localSheetId="13">'Pay &amp; Benefits Calculations'!#REF!</definedName>
    <definedName name="_xlnm.Print_Area" localSheetId="9">ScopeSplit!$A$1:$F$122</definedName>
    <definedName name="_xlnm.Print_Area" localSheetId="4">Summary!$A$1:$L$52</definedName>
    <definedName name="_xlnm.Print_Area" localSheetId="0">'Table of Contents'!$A$1:$G$43</definedName>
    <definedName name="_xlnm.Print_Area" localSheetId="8">Training!$A$1:$I$63</definedName>
    <definedName name="SALARY">#REF!</definedName>
    <definedName name="Swvu.jjj." localSheetId="4" hidden="1">Summary!#REF!</definedName>
    <definedName name="UpLt_CommOps" localSheetId="11">'O&amp;M_Estimate'!#REF!</definedName>
    <definedName name="wrn.Ilijan._.Print." localSheetId="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vu.jjj." localSheetId="4" hidden="1">{TRUE,TRUE,-1.25,-15.5,484.5,276.75,FALSE,TRUE,TRUE,TRUE,0,1,#N/A,30,#N/A,8.4406779661017,23.7692307692308,1,FALSE,FALSE,3,TRUE,1,FALSE,75,"Swvu.jjj.","ACwvu.jjj.",#N/A,FALSE,FALSE,0.5,0.5,0.71,0.77,1,"","&amp;Lkwpierce&amp;C7/31/96&amp;R&amp;F, Rev.1_x000D_Page &amp;P",TRUE,FALSE,FALSE,FALSE,1,#N/A,1,1,FALSE,FALSE,#N/A,#N/A,FALSE,FALSE,FALSE,1,65532,65532,FALSE,FALSE,TRUE,TRUE,TRUE}</definedName>
    <definedName name="Z_23858840_75A3_11D3_9B0F_006097CA9A6E_.wvu.PrintArea" localSheetId="4" hidden="1">Summary!$A$1:$H$58</definedName>
    <definedName name="Z_27B46881_0F5B_11D2_8727_00600802E52E_.wvu.PrintArea" localSheetId="4" hidden="1">Summary!$A$1:$H$53</definedName>
    <definedName name="Z_42889D47_02B9_43E3_9871_035CE2C6ABFC_.wvu.Cols" localSheetId="10" hidden="1">Mob_Backup!$A:$D,Mob_Backup!$I:$J</definedName>
    <definedName name="Z_42889D47_02B9_43E3_9871_035CE2C6ABFC_.wvu.Cols" localSheetId="6" hidden="1">Mob_Schedule!$B:$E</definedName>
    <definedName name="Z_42889D47_02B9_43E3_9871_035CE2C6ABFC_.wvu.FilterData" localSheetId="10" hidden="1">Mob_Backup!$A$17:$D$268</definedName>
    <definedName name="Z_42889D47_02B9_43E3_9871_035CE2C6ABFC_.wvu.PrintArea" localSheetId="10" hidden="1">Mob_Backup!$E$1:$J$301</definedName>
    <definedName name="Z_42889D47_02B9_43E3_9871_035CE2C6ABFC_.wvu.PrintArea" localSheetId="5" hidden="1">Mob_Estimate!$A$1:$D$54</definedName>
    <definedName name="Z_42889D47_02B9_43E3_9871_035CE2C6ABFC_.wvu.PrintArea" localSheetId="6" hidden="1">Mob_Schedule!$A$1:$Z$30</definedName>
    <definedName name="Z_42889D47_02B9_43E3_9871_035CE2C6ABFC_.wvu.PrintArea" localSheetId="14" hidden="1">'O&amp;M_Backup'!$A$1:$D$313</definedName>
    <definedName name="Z_42889D47_02B9_43E3_9871_035CE2C6ABFC_.wvu.PrintArea" localSheetId="11" hidden="1">'O&amp;M_Estimate'!$A$1:$E$63</definedName>
    <definedName name="Z_42889D47_02B9_43E3_9871_035CE2C6ABFC_.wvu.PrintArea" localSheetId="13" hidden="1">'Pay &amp; Benefits Calculations'!#REF!</definedName>
    <definedName name="Z_42889D47_02B9_43E3_9871_035CE2C6ABFC_.wvu.PrintArea" localSheetId="9" hidden="1">ScopeSplit!$A$1:$F$122</definedName>
    <definedName name="Z_42889D47_02B9_43E3_9871_035CE2C6ABFC_.wvu.PrintArea" localSheetId="4" hidden="1">Summary!$A$1:$F$60</definedName>
    <definedName name="Z_42889D47_02B9_43E3_9871_035CE2C6ABFC_.wvu.PrintArea" localSheetId="0" hidden="1">'Table of Contents'!$A$1:$G$43</definedName>
    <definedName name="Z_42889D47_02B9_43E3_9871_035CE2C6ABFC_.wvu.Rows" localSheetId="17" hidden="1">LM6000PC_MMR_Gas!$37:$70</definedName>
    <definedName name="Z_42889D47_02B9_43E3_9871_035CE2C6ABFC_.wvu.Rows" localSheetId="5" hidden="1">Mob_Estimate!$51:$51</definedName>
    <definedName name="Z_42889D47_02B9_43E3_9871_035CE2C6ABFC_.wvu.Rows" localSheetId="6" hidden="1">Mob_Schedule!$13:$16</definedName>
    <definedName name="Z_42889D47_02B9_43E3_9871_035CE2C6ABFC_.wvu.Rows" localSheetId="7" hidden="1">Mob_Staffing!$9:$12,Mob_Staffing!$14:$14</definedName>
    <definedName name="Z_42889D47_02B9_43E3_9871_035CE2C6ABFC_.wvu.Rows" localSheetId="11" hidden="1">'O&amp;M_Estimate'!$35:$38</definedName>
    <definedName name="Z_42889D47_02B9_43E3_9871_035CE2C6ABFC_.wvu.Rows" localSheetId="13" hidden="1">'Pay &amp; Benefits Calculations'!#REF!</definedName>
    <definedName name="Z_42889D47_02B9_43E3_9871_035CE2C6ABFC_.wvu.Rows" localSheetId="1" hidden="1">Scope!$51:$51</definedName>
    <definedName name="Z_42889D47_02B9_43E3_9871_035CE2C6ABFC_.wvu.Rows" localSheetId="4" hidden="1">Summary!$24:$24,Summary!$55:$55</definedName>
    <definedName name="Z_42889D47_02B9_43E3_9871_035CE2C6ABFC_.wvu.Rows" localSheetId="0" hidden="1">'Table of Contents'!$15:$15,'Table of Contents'!$17:$18,'Table of Contents'!$24:$25,'Table of Contents'!$30:$32,'Table of Contents'!$38:$38</definedName>
    <definedName name="Z_44B1FD93_6C50_11D3_9B06_006097CA9A6E_.wvu.PrintArea" localSheetId="4" hidden="1">Summary!$A$1:$H$58</definedName>
    <definedName name="Z_76D90A80_B211_11D3_B354_005004B48B2E_.wvu.PrintArea" localSheetId="4" hidden="1">Summary!$A$1:$H$58</definedName>
    <definedName name="Z_7B3B2BED_CD8B_11D3_96CC_0050048E3156_.wvu.Cols" localSheetId="10" hidden="1">Mob_Backup!$A:$D,Mob_Backup!$I:$J</definedName>
    <definedName name="Z_7B3B2BED_CD8B_11D3_96CC_0050048E3156_.wvu.FilterData" localSheetId="10" hidden="1">Mob_Backup!$A$17:$D$268</definedName>
    <definedName name="Z_7B3B2BED_CD8B_11D3_96CC_0050048E3156_.wvu.PrintArea" localSheetId="10" hidden="1">Mob_Backup!$E$1:$J$301</definedName>
    <definedName name="Z_7B3B2BED_CD8B_11D3_96CC_0050048E3156_.wvu.PrintArea" localSheetId="5" hidden="1">Mob_Estimate!$A$1:$D$54</definedName>
    <definedName name="Z_7B3B2BED_CD8B_11D3_96CC_0050048E3156_.wvu.PrintArea" localSheetId="6" hidden="1">Mob_Schedule!$A$1:$Z$30</definedName>
    <definedName name="Z_7B3B2BED_CD8B_11D3_96CC_0050048E3156_.wvu.PrintArea" localSheetId="14" hidden="1">'O&amp;M_Backup'!$A$1:$D$313</definedName>
    <definedName name="Z_7B3B2BED_CD8B_11D3_96CC_0050048E3156_.wvu.PrintArea" localSheetId="11" hidden="1">'O&amp;M_Estimate'!$A$1:$E$64</definedName>
    <definedName name="Z_7B3B2BED_CD8B_11D3_96CC_0050048E3156_.wvu.PrintArea" localSheetId="13" hidden="1">'Pay &amp; Benefits Calculations'!#REF!</definedName>
    <definedName name="Z_7B3B2BED_CD8B_11D3_96CC_0050048E3156_.wvu.PrintArea" localSheetId="9" hidden="1">ScopeSplit!$A$1:$F$122</definedName>
    <definedName name="Z_7B3B2BED_CD8B_11D3_96CC_0050048E3156_.wvu.PrintArea" localSheetId="4" hidden="1">Summary!$A$1:$F$60</definedName>
    <definedName name="Z_7B3B2BED_CD8B_11D3_96CC_0050048E3156_.wvu.PrintArea" localSheetId="0" hidden="1">'Table of Contents'!$A$1:$G$43</definedName>
    <definedName name="Z_7B3B2BED_CD8B_11D3_96CC_0050048E3156_.wvu.Rows" localSheetId="17" hidden="1">LM6000PC_MMR_Gas!$37:$70</definedName>
    <definedName name="Z_7B3B2BED_CD8B_11D3_96CC_0050048E3156_.wvu.Rows" localSheetId="5" hidden="1">Mob_Estimate!$41:$42,Mob_Estimate!$51:$51</definedName>
    <definedName name="Z_7B3B2BED_CD8B_11D3_96CC_0050048E3156_.wvu.Rows" localSheetId="6" hidden="1">Mob_Schedule!$13:$16</definedName>
    <definedName name="Z_7B3B2BED_CD8B_11D3_96CC_0050048E3156_.wvu.Rows" localSheetId="7" hidden="1">Mob_Staffing!$9:$10</definedName>
    <definedName name="Z_7B3B2BED_CD8B_11D3_96CC_0050048E3156_.wvu.Rows" localSheetId="14" hidden="1">'O&amp;M_Backup'!$72:$72,'O&amp;M_Backup'!$74:$74,'O&amp;M_Backup'!$239:$241</definedName>
    <definedName name="Z_7B3B2BED_CD8B_11D3_96CC_0050048E3156_.wvu.Rows" localSheetId="11" hidden="1">'O&amp;M_Estimate'!$36:$36,'O&amp;M_Estimate'!$55:$56</definedName>
    <definedName name="Z_7B3B2BED_CD8B_11D3_96CC_0050048E3156_.wvu.Rows" localSheetId="13" hidden="1">'Pay &amp; Benefits Calculations'!#REF!</definedName>
    <definedName name="Z_7B3B2BED_CD8B_11D3_96CC_0050048E3156_.wvu.Rows" localSheetId="1" hidden="1">Scope!$51:$51</definedName>
    <definedName name="Z_7B3B2BED_CD8B_11D3_96CC_0050048E3156_.wvu.Rows" localSheetId="4" hidden="1">Summary!$15:$16,Summary!$24:$24,Summary!$50:$51,Summary!$55:$55</definedName>
    <definedName name="Z_7B3B2BED_CD8B_11D3_96CC_0050048E3156_.wvu.Rows" localSheetId="0" hidden="1">'Table of Contents'!$15:$15,'Table of Contents'!$17:$18,'Table of Contents'!$24:$25,'Table of Contents'!$30:$32,'Table of Contents'!$38:$38</definedName>
    <definedName name="Z_7B8B4280_75B9_11D3_B354_0050048AD64B_.wvu.PrintArea" localSheetId="4" hidden="1">Summary!$A$1:$H$58</definedName>
    <definedName name="Z_7C8030C1_816E_11D3_9B1F_000064657374_.wvu.PrintArea" localSheetId="4" hidden="1">Summary!$A$1:$H$58</definedName>
    <definedName name="Z_887EA5F3_7E5C_11D3_9B1C_006097CA9A6E_.wvu.PrintArea" localSheetId="4" hidden="1">Summary!$A$1:$H$58</definedName>
    <definedName name="Z_97C9EDC3_809C_11D3_9B1E_006097CA9A6E_.wvu.PrintArea" localSheetId="4" hidden="1">Summary!$A$1:$H$58</definedName>
    <definedName name="Z_ADAAEFB1_7735_11D3_9B11_006097CA9A6E_.wvu.PrintArea" localSheetId="4" hidden="1">Summary!$A$1:$H$58</definedName>
    <definedName name="Z_B14BA500_7FDD_11D3_9B1D_000064657374_.wvu.PrintArea" localSheetId="4" hidden="1">Summary!$A$1:$H$58</definedName>
    <definedName name="Z_DD4FE528_7357_11D3_9B0D_006097CA9A6E_.wvu.PrintArea" localSheetId="4" hidden="1">Summary!$A$1:$H$58</definedName>
    <definedName name="Z_E29E7520_B211_11D3_B354_005004B48B2E_.wvu.PrintArea" localSheetId="4" hidden="1">Summary!$A$1:$H$58</definedName>
    <definedName name="Z_F8408542_C03D_11D2_9A75_00600802E52E_.wvu.PrintArea" localSheetId="4" hidden="1">Summary!$A$1:$H$53</definedName>
  </definedNames>
  <calcPr calcId="0" fullCalcOnLoad="1" iterate="1" calcOnSave="0"/>
</workbook>
</file>

<file path=xl/calcChain.xml><?xml version="1.0" encoding="utf-8"?>
<calcChain xmlns="http://schemas.openxmlformats.org/spreadsheetml/2006/main">
  <c r="A1" i="18" l="1"/>
  <c r="D10" i="18"/>
  <c r="G21" i="18"/>
  <c r="B59" i="18"/>
  <c r="J60" i="18"/>
  <c r="K61" i="18"/>
  <c r="A1" i="32"/>
  <c r="E8" i="32"/>
  <c r="I8" i="32"/>
  <c r="B17" i="32"/>
  <c r="G17" i="32"/>
  <c r="I17" i="32"/>
  <c r="K17" i="32"/>
  <c r="B18" i="32"/>
  <c r="G18" i="32"/>
  <c r="I18" i="32"/>
  <c r="K18" i="32"/>
  <c r="B19" i="32"/>
  <c r="G19" i="32"/>
  <c r="I19" i="32"/>
  <c r="K19" i="32"/>
  <c r="B20" i="32"/>
  <c r="I20" i="32"/>
  <c r="K23" i="32"/>
  <c r="B30" i="32"/>
  <c r="G30" i="32"/>
  <c r="I30" i="32"/>
  <c r="K30" i="32"/>
  <c r="B31" i="32"/>
  <c r="G31" i="32"/>
  <c r="I31" i="32"/>
  <c r="K31" i="32"/>
  <c r="G32" i="32"/>
  <c r="I32" i="32"/>
  <c r="K32" i="32"/>
  <c r="B33" i="32"/>
  <c r="I33" i="32"/>
  <c r="L34" i="32"/>
  <c r="B37" i="32"/>
  <c r="G37" i="32"/>
  <c r="I37" i="32"/>
  <c r="K37" i="32"/>
  <c r="B38" i="32"/>
  <c r="G38" i="32"/>
  <c r="I38" i="32"/>
  <c r="K38" i="32"/>
  <c r="B39" i="32"/>
  <c r="C39" i="32"/>
  <c r="G39" i="32"/>
  <c r="I39" i="32"/>
  <c r="K39" i="32"/>
  <c r="L40" i="32"/>
  <c r="L42" i="32"/>
  <c r="A1" i="31"/>
  <c r="G5" i="31"/>
  <c r="L5" i="31"/>
  <c r="G7" i="31"/>
  <c r="L7" i="31"/>
  <c r="G9" i="31"/>
  <c r="L9" i="31"/>
  <c r="E11" i="31"/>
  <c r="I11" i="31"/>
  <c r="B17" i="31"/>
  <c r="G17" i="31"/>
  <c r="I17" i="31"/>
  <c r="K17" i="31"/>
  <c r="B18" i="31"/>
  <c r="G18" i="31"/>
  <c r="I18" i="31"/>
  <c r="K18" i="31"/>
  <c r="K19" i="31"/>
  <c r="L19" i="31"/>
  <c r="B21" i="31"/>
  <c r="I21" i="31"/>
  <c r="B22" i="31"/>
  <c r="G22" i="31"/>
  <c r="I22" i="31"/>
  <c r="K22" i="31"/>
  <c r="B23" i="31"/>
  <c r="E23" i="31"/>
  <c r="K23" i="31"/>
  <c r="B24" i="31"/>
  <c r="E24" i="31"/>
  <c r="K24" i="31"/>
  <c r="K25" i="31"/>
  <c r="L25" i="31"/>
  <c r="B28" i="31"/>
  <c r="E28" i="31"/>
  <c r="G28" i="31"/>
  <c r="I28" i="31"/>
  <c r="K28" i="31"/>
  <c r="B29" i="31"/>
  <c r="E29" i="31"/>
  <c r="G29" i="31"/>
  <c r="I29" i="31"/>
  <c r="K29" i="31"/>
  <c r="B30" i="31"/>
  <c r="E30" i="31"/>
  <c r="K30" i="31"/>
  <c r="B31" i="31"/>
  <c r="E31" i="31"/>
  <c r="K31" i="31"/>
  <c r="K32" i="31"/>
  <c r="L32" i="31"/>
  <c r="B34" i="31"/>
  <c r="G34" i="31"/>
  <c r="I34" i="31"/>
  <c r="K34" i="31"/>
  <c r="B35" i="31"/>
  <c r="G35" i="31"/>
  <c r="I35" i="31"/>
  <c r="K35" i="31"/>
  <c r="B36" i="31"/>
  <c r="G36" i="31"/>
  <c r="I36" i="31"/>
  <c r="K36" i="31"/>
  <c r="K37" i="31"/>
  <c r="L37" i="31"/>
  <c r="L39" i="31"/>
  <c r="A1" i="30"/>
  <c r="H6" i="30"/>
  <c r="H7" i="30"/>
  <c r="D8" i="30"/>
  <c r="H8" i="30"/>
  <c r="H9" i="30"/>
  <c r="D13" i="30"/>
  <c r="C20" i="30"/>
  <c r="C22" i="30"/>
  <c r="D22" i="30"/>
  <c r="E22" i="30"/>
  <c r="F22" i="30"/>
  <c r="G22" i="30"/>
  <c r="H22" i="30"/>
  <c r="I22" i="30"/>
  <c r="J22" i="30"/>
  <c r="K22" i="30"/>
  <c r="L22" i="30"/>
  <c r="M22" i="30"/>
  <c r="N22" i="30"/>
  <c r="O22" i="30"/>
  <c r="P22" i="30"/>
  <c r="Q22" i="30"/>
  <c r="R22" i="30"/>
  <c r="S22" i="30"/>
  <c r="T22" i="30"/>
  <c r="U22" i="30"/>
  <c r="V22" i="30"/>
  <c r="B24" i="30"/>
  <c r="C24" i="30"/>
  <c r="D24" i="30"/>
  <c r="E24" i="30"/>
  <c r="F24" i="30"/>
  <c r="G24" i="30"/>
  <c r="H24" i="30"/>
  <c r="I24" i="30"/>
  <c r="J24" i="30"/>
  <c r="K24" i="30"/>
  <c r="L24" i="30"/>
  <c r="M24" i="30"/>
  <c r="N24" i="30"/>
  <c r="O24" i="30"/>
  <c r="P24" i="30"/>
  <c r="Q24" i="30"/>
  <c r="R24" i="30"/>
  <c r="S24" i="30"/>
  <c r="T24" i="30"/>
  <c r="U24" i="30"/>
  <c r="V24" i="30"/>
  <c r="C25" i="30"/>
  <c r="D25" i="30"/>
  <c r="E25" i="30"/>
  <c r="F25" i="30"/>
  <c r="G25" i="30"/>
  <c r="H25" i="30"/>
  <c r="I25" i="30"/>
  <c r="J25" i="30"/>
  <c r="K25" i="30"/>
  <c r="L25" i="30"/>
  <c r="M25" i="30"/>
  <c r="N25" i="30"/>
  <c r="O25" i="30"/>
  <c r="P25" i="30"/>
  <c r="Q25" i="30"/>
  <c r="R25" i="30"/>
  <c r="S25" i="30"/>
  <c r="T25" i="30"/>
  <c r="U25" i="30"/>
  <c r="V25" i="30"/>
  <c r="B26" i="30"/>
  <c r="C26" i="30"/>
  <c r="D26" i="30"/>
  <c r="E26" i="30"/>
  <c r="F26" i="30"/>
  <c r="G26" i="30"/>
  <c r="H26" i="30"/>
  <c r="I26" i="30"/>
  <c r="J26" i="30"/>
  <c r="K26" i="30"/>
  <c r="L26" i="30"/>
  <c r="M26" i="30"/>
  <c r="N26" i="30"/>
  <c r="O26" i="30"/>
  <c r="P26" i="30"/>
  <c r="Q26" i="30"/>
  <c r="R26" i="30"/>
  <c r="S26" i="30"/>
  <c r="T26" i="30"/>
  <c r="U26" i="30"/>
  <c r="V26" i="30"/>
  <c r="C27" i="30"/>
  <c r="D27" i="30"/>
  <c r="E27" i="30"/>
  <c r="F27" i="30"/>
  <c r="G27" i="30"/>
  <c r="H27" i="30"/>
  <c r="I27" i="30"/>
  <c r="J27" i="30"/>
  <c r="K27" i="30"/>
  <c r="L27" i="30"/>
  <c r="M27" i="30"/>
  <c r="N27" i="30"/>
  <c r="O27" i="30"/>
  <c r="P27" i="30"/>
  <c r="Q27" i="30"/>
  <c r="R27" i="30"/>
  <c r="S27" i="30"/>
  <c r="T27" i="30"/>
  <c r="U27" i="30"/>
  <c r="V27" i="30"/>
  <c r="B28" i="30"/>
  <c r="C28" i="30"/>
  <c r="D28" i="30"/>
  <c r="E28" i="30"/>
  <c r="F28" i="30"/>
  <c r="G28" i="30"/>
  <c r="H28" i="30"/>
  <c r="I28" i="30"/>
  <c r="J28" i="30"/>
  <c r="K28" i="30"/>
  <c r="L28" i="30"/>
  <c r="M28" i="30"/>
  <c r="N28" i="30"/>
  <c r="O28" i="30"/>
  <c r="P28" i="30"/>
  <c r="Q28" i="30"/>
  <c r="R28" i="30"/>
  <c r="S28" i="30"/>
  <c r="T28" i="30"/>
  <c r="U28" i="30"/>
  <c r="V28" i="30"/>
  <c r="B29" i="30"/>
  <c r="C29" i="30"/>
  <c r="D29" i="30"/>
  <c r="E29" i="30"/>
  <c r="F29" i="30"/>
  <c r="G29" i="30"/>
  <c r="H29" i="30"/>
  <c r="I29" i="30"/>
  <c r="J29" i="30"/>
  <c r="K29" i="30"/>
  <c r="L29" i="30"/>
  <c r="M29" i="30"/>
  <c r="N29" i="30"/>
  <c r="O29" i="30"/>
  <c r="P29" i="30"/>
  <c r="Q29" i="30"/>
  <c r="R29" i="30"/>
  <c r="S29" i="30"/>
  <c r="T29" i="30"/>
  <c r="U29" i="30"/>
  <c r="V29" i="30"/>
  <c r="W29" i="30"/>
  <c r="H40" i="30"/>
  <c r="H41" i="30"/>
  <c r="H42" i="30"/>
  <c r="H43" i="30"/>
  <c r="C56" i="30"/>
  <c r="D56" i="30"/>
  <c r="E56" i="30"/>
  <c r="F56" i="30"/>
  <c r="G56" i="30"/>
  <c r="H56" i="30"/>
  <c r="I56" i="30"/>
  <c r="J56" i="30"/>
  <c r="K56" i="30"/>
  <c r="L56" i="30"/>
  <c r="M56" i="30"/>
  <c r="N56" i="30"/>
  <c r="O56" i="30"/>
  <c r="P56" i="30"/>
  <c r="Q56" i="30"/>
  <c r="R56" i="30"/>
  <c r="S56" i="30"/>
  <c r="T56" i="30"/>
  <c r="U56" i="30"/>
  <c r="V56" i="30"/>
  <c r="B58" i="30"/>
  <c r="C58" i="30"/>
  <c r="D58" i="30"/>
  <c r="E58" i="30"/>
  <c r="F58" i="30"/>
  <c r="G58" i="30"/>
  <c r="H58" i="30"/>
  <c r="I58" i="30"/>
  <c r="J58" i="30"/>
  <c r="K58" i="30"/>
  <c r="L58" i="30"/>
  <c r="M58" i="30"/>
  <c r="N58" i="30"/>
  <c r="O58" i="30"/>
  <c r="P58" i="30"/>
  <c r="Q58" i="30"/>
  <c r="R58" i="30"/>
  <c r="S58" i="30"/>
  <c r="T58" i="30"/>
  <c r="U58" i="30"/>
  <c r="V58" i="30"/>
  <c r="C59" i="30"/>
  <c r="D59" i="30"/>
  <c r="E59" i="30"/>
  <c r="F59" i="30"/>
  <c r="G59" i="30"/>
  <c r="H59" i="30"/>
  <c r="I59" i="30"/>
  <c r="J59" i="30"/>
  <c r="K59" i="30"/>
  <c r="L59" i="30"/>
  <c r="M59" i="30"/>
  <c r="N59" i="30"/>
  <c r="O59" i="30"/>
  <c r="P59" i="30"/>
  <c r="Q59" i="30"/>
  <c r="R59" i="30"/>
  <c r="S59" i="30"/>
  <c r="T59" i="30"/>
  <c r="U59" i="30"/>
  <c r="V59" i="30"/>
  <c r="B60" i="30"/>
  <c r="C60" i="30"/>
  <c r="D60" i="30"/>
  <c r="E60" i="30"/>
  <c r="F60" i="30"/>
  <c r="G60" i="30"/>
  <c r="H60" i="30"/>
  <c r="I60" i="30"/>
  <c r="J60" i="30"/>
  <c r="K60" i="30"/>
  <c r="L60" i="30"/>
  <c r="M60" i="30"/>
  <c r="N60" i="30"/>
  <c r="O60" i="30"/>
  <c r="P60" i="30"/>
  <c r="Q60" i="30"/>
  <c r="R60" i="30"/>
  <c r="S60" i="30"/>
  <c r="T60" i="30"/>
  <c r="U60" i="30"/>
  <c r="V60" i="30"/>
  <c r="C61" i="30"/>
  <c r="D61" i="30"/>
  <c r="E61" i="30"/>
  <c r="F61" i="30"/>
  <c r="G61" i="30"/>
  <c r="H61" i="30"/>
  <c r="I61" i="30"/>
  <c r="J61" i="30"/>
  <c r="K61" i="30"/>
  <c r="L61" i="30"/>
  <c r="M61" i="30"/>
  <c r="N61" i="30"/>
  <c r="O61" i="30"/>
  <c r="P61" i="30"/>
  <c r="Q61" i="30"/>
  <c r="R61" i="30"/>
  <c r="S61" i="30"/>
  <c r="T61" i="30"/>
  <c r="U61" i="30"/>
  <c r="V61" i="30"/>
  <c r="B62" i="30"/>
  <c r="C62" i="30"/>
  <c r="D62" i="30"/>
  <c r="E62" i="30"/>
  <c r="F62" i="30"/>
  <c r="G62" i="30"/>
  <c r="H62" i="30"/>
  <c r="I62" i="30"/>
  <c r="J62" i="30"/>
  <c r="K62" i="30"/>
  <c r="L62" i="30"/>
  <c r="M62" i="30"/>
  <c r="N62" i="30"/>
  <c r="O62" i="30"/>
  <c r="P62" i="30"/>
  <c r="Q62" i="30"/>
  <c r="R62" i="30"/>
  <c r="S62" i="30"/>
  <c r="T62" i="30"/>
  <c r="U62" i="30"/>
  <c r="V62" i="30"/>
  <c r="B63" i="30"/>
  <c r="C63" i="30"/>
  <c r="D63" i="30"/>
  <c r="E63" i="30"/>
  <c r="F63" i="30"/>
  <c r="G63" i="30"/>
  <c r="H63" i="30"/>
  <c r="I63" i="30"/>
  <c r="J63" i="30"/>
  <c r="K63" i="30"/>
  <c r="L63" i="30"/>
  <c r="M63" i="30"/>
  <c r="N63" i="30"/>
  <c r="O63" i="30"/>
  <c r="P63" i="30"/>
  <c r="Q63" i="30"/>
  <c r="R63" i="30"/>
  <c r="S63" i="30"/>
  <c r="T63" i="30"/>
  <c r="U63" i="30"/>
  <c r="V63" i="30"/>
  <c r="C64" i="30"/>
  <c r="D64" i="30"/>
  <c r="E64" i="30"/>
  <c r="F64" i="30"/>
  <c r="G64" i="30"/>
  <c r="H64" i="30"/>
  <c r="I64" i="30"/>
  <c r="J64" i="30"/>
  <c r="K64" i="30"/>
  <c r="L64" i="30"/>
  <c r="M64" i="30"/>
  <c r="N64" i="30"/>
  <c r="O64" i="30"/>
  <c r="P64" i="30"/>
  <c r="Q64" i="30"/>
  <c r="R64" i="30"/>
  <c r="S64" i="30"/>
  <c r="T64" i="30"/>
  <c r="U64" i="30"/>
  <c r="V64" i="30"/>
  <c r="A1" i="2"/>
  <c r="E3" i="25"/>
  <c r="A6" i="25"/>
  <c r="I6" i="25"/>
  <c r="J6" i="25"/>
  <c r="H7" i="25"/>
  <c r="I7" i="25"/>
  <c r="J7" i="25"/>
  <c r="H8" i="25"/>
  <c r="I8" i="25"/>
  <c r="J8" i="25"/>
  <c r="I9" i="25"/>
  <c r="J9" i="25"/>
  <c r="I10" i="25"/>
  <c r="J10" i="25"/>
  <c r="I11" i="25"/>
  <c r="J11" i="25"/>
  <c r="I12" i="25"/>
  <c r="J12" i="25"/>
  <c r="I13" i="25"/>
  <c r="J13" i="25"/>
  <c r="I14" i="25"/>
  <c r="J14" i="25"/>
  <c r="I15" i="25"/>
  <c r="J15" i="25"/>
  <c r="H16" i="25"/>
  <c r="I16" i="25"/>
  <c r="J16" i="25"/>
  <c r="H18" i="25"/>
  <c r="I18" i="25"/>
  <c r="J18" i="25"/>
  <c r="I19" i="25"/>
  <c r="J19" i="25"/>
  <c r="I20" i="25"/>
  <c r="J20" i="25"/>
  <c r="I21" i="25"/>
  <c r="J21" i="25"/>
  <c r="H22" i="25"/>
  <c r="I22" i="25"/>
  <c r="J22" i="25"/>
  <c r="A24" i="25"/>
  <c r="H24" i="25"/>
  <c r="I24" i="25"/>
  <c r="I25" i="25"/>
  <c r="I26" i="25"/>
  <c r="H28" i="25"/>
  <c r="I28" i="25"/>
  <c r="J28" i="25"/>
  <c r="H30" i="25"/>
  <c r="A31" i="25"/>
  <c r="H31" i="25"/>
  <c r="I31" i="25"/>
  <c r="J31" i="25"/>
  <c r="A32" i="25"/>
  <c r="I32" i="25"/>
  <c r="J32" i="25"/>
  <c r="H33" i="25"/>
  <c r="I33" i="25"/>
  <c r="J33" i="25"/>
  <c r="I34" i="25"/>
  <c r="J34" i="25"/>
  <c r="H36" i="25"/>
  <c r="I36" i="25"/>
  <c r="J36" i="25"/>
  <c r="H38" i="25"/>
  <c r="I39" i="25"/>
  <c r="J39" i="25"/>
  <c r="I40" i="25"/>
  <c r="J40" i="25"/>
  <c r="H41" i="25"/>
  <c r="H42" i="25"/>
  <c r="I42" i="25"/>
  <c r="J42" i="25"/>
  <c r="A44" i="25"/>
  <c r="I44" i="25"/>
  <c r="J44" i="25"/>
  <c r="A45" i="25"/>
  <c r="I45" i="25"/>
  <c r="J45" i="25"/>
  <c r="A46" i="25"/>
  <c r="H46" i="25"/>
  <c r="I46" i="25"/>
  <c r="J46" i="25"/>
  <c r="A47" i="25"/>
  <c r="I47" i="25"/>
  <c r="J47" i="25"/>
  <c r="I48" i="25"/>
  <c r="J48" i="25"/>
  <c r="A49" i="25"/>
  <c r="H49" i="25"/>
  <c r="I49" i="25"/>
  <c r="J49" i="25"/>
  <c r="A50" i="25"/>
  <c r="H50" i="25"/>
  <c r="I50" i="25"/>
  <c r="J50" i="25"/>
  <c r="A51" i="25"/>
  <c r="H51" i="25"/>
  <c r="I51" i="25"/>
  <c r="J51" i="25"/>
  <c r="H52" i="25"/>
  <c r="H53" i="25"/>
  <c r="I54" i="25"/>
  <c r="J54" i="25"/>
  <c r="I55" i="25"/>
  <c r="J55" i="25"/>
  <c r="H56" i="25"/>
  <c r="I56" i="25"/>
  <c r="J56" i="25"/>
  <c r="A58" i="25"/>
  <c r="I58" i="25"/>
  <c r="J58" i="25"/>
  <c r="H59" i="25"/>
  <c r="H60" i="25"/>
  <c r="I60" i="25"/>
  <c r="J60" i="25"/>
  <c r="I62" i="25"/>
  <c r="A63" i="25"/>
  <c r="I63" i="25"/>
  <c r="A64" i="25"/>
  <c r="H64" i="25"/>
  <c r="I64" i="25"/>
  <c r="A65" i="25"/>
  <c r="I65" i="25"/>
  <c r="A66" i="25"/>
  <c r="I66" i="25"/>
  <c r="H68" i="25"/>
  <c r="I68" i="25"/>
  <c r="J68" i="25"/>
  <c r="A70" i="25"/>
  <c r="H70" i="25"/>
  <c r="I70" i="25"/>
  <c r="A71" i="25"/>
  <c r="H71" i="25"/>
  <c r="I71" i="25"/>
  <c r="A72" i="25"/>
  <c r="H72" i="25"/>
  <c r="I72" i="25"/>
  <c r="H74" i="25"/>
  <c r="I74" i="25"/>
  <c r="J74" i="25"/>
  <c r="A76" i="25"/>
  <c r="I76" i="25"/>
  <c r="A77" i="25"/>
  <c r="I77" i="25"/>
  <c r="A78" i="25"/>
  <c r="I78" i="25"/>
  <c r="A79" i="25"/>
  <c r="I79" i="25"/>
  <c r="I80" i="25"/>
  <c r="H82" i="25"/>
  <c r="I82" i="25"/>
  <c r="J82" i="25"/>
  <c r="A84" i="25"/>
  <c r="H84" i="25"/>
  <c r="I84" i="25"/>
  <c r="J84" i="25"/>
  <c r="A85" i="25"/>
  <c r="I85" i="25"/>
  <c r="J85" i="25"/>
  <c r="A86" i="25"/>
  <c r="I86" i="25"/>
  <c r="J86" i="25"/>
  <c r="A87" i="25"/>
  <c r="I87" i="25"/>
  <c r="J87" i="25"/>
  <c r="A88" i="25"/>
  <c r="I88" i="25"/>
  <c r="J88" i="25"/>
  <c r="A89" i="25"/>
  <c r="I89" i="25"/>
  <c r="J89" i="25"/>
  <c r="A90" i="25"/>
  <c r="I90" i="25"/>
  <c r="J90" i="25"/>
  <c r="A91" i="25"/>
  <c r="I91" i="25"/>
  <c r="J91" i="25"/>
  <c r="A92" i="25"/>
  <c r="I92" i="25"/>
  <c r="J92" i="25"/>
  <c r="A93" i="25"/>
  <c r="I93" i="25"/>
  <c r="J93" i="25"/>
  <c r="A94" i="25"/>
  <c r="I94" i="25"/>
  <c r="J94" i="25"/>
  <c r="A95" i="25"/>
  <c r="I95" i="25"/>
  <c r="J95" i="25"/>
  <c r="A96" i="25"/>
  <c r="I96" i="25"/>
  <c r="J96" i="25"/>
  <c r="A97" i="25"/>
  <c r="I97" i="25"/>
  <c r="J97" i="25"/>
  <c r="I98" i="25"/>
  <c r="J98" i="25"/>
  <c r="H99" i="25"/>
  <c r="I99" i="25"/>
  <c r="J99" i="25"/>
  <c r="A101" i="25"/>
  <c r="I101" i="25"/>
  <c r="J101" i="25"/>
  <c r="A102" i="25"/>
  <c r="I102" i="25"/>
  <c r="J102" i="25"/>
  <c r="H103" i="25"/>
  <c r="I103" i="25"/>
  <c r="J103" i="25"/>
  <c r="A104" i="25"/>
  <c r="I104" i="25"/>
  <c r="J104" i="25"/>
  <c r="A105" i="25"/>
  <c r="I105" i="25"/>
  <c r="J105" i="25"/>
  <c r="A106" i="25"/>
  <c r="H106" i="25"/>
  <c r="I106" i="25"/>
  <c r="J106" i="25"/>
  <c r="A107" i="25"/>
  <c r="I107" i="25"/>
  <c r="J107" i="25"/>
  <c r="A108" i="25"/>
  <c r="H108" i="25"/>
  <c r="I108" i="25"/>
  <c r="J108" i="25"/>
  <c r="A109" i="25"/>
  <c r="I109" i="25"/>
  <c r="J109" i="25"/>
  <c r="A110" i="25"/>
  <c r="I110" i="25"/>
  <c r="J110" i="25"/>
  <c r="A111" i="25"/>
  <c r="I111" i="25"/>
  <c r="J111" i="25"/>
  <c r="I112" i="25"/>
  <c r="J112" i="25"/>
  <c r="I113" i="25"/>
  <c r="J113" i="25"/>
  <c r="A114" i="25"/>
  <c r="I114" i="25"/>
  <c r="J114" i="25"/>
  <c r="A115" i="25"/>
  <c r="I115" i="25"/>
  <c r="J115" i="25"/>
  <c r="H116" i="25"/>
  <c r="I116" i="25"/>
  <c r="J116" i="25"/>
  <c r="A117" i="25"/>
  <c r="H118" i="25"/>
  <c r="I118" i="25"/>
  <c r="J118" i="25"/>
  <c r="A120" i="25"/>
  <c r="I120" i="25"/>
  <c r="H121" i="25"/>
  <c r="I121" i="25"/>
  <c r="J121" i="25"/>
  <c r="A123" i="25"/>
  <c r="H123" i="25"/>
  <c r="I123" i="25"/>
  <c r="H124" i="25"/>
  <c r="A125" i="25"/>
  <c r="H125" i="25"/>
  <c r="L125" i="25"/>
  <c r="H126" i="25"/>
  <c r="I126" i="25"/>
  <c r="J126" i="25"/>
  <c r="H128" i="25"/>
  <c r="I128" i="25"/>
  <c r="J128" i="25"/>
  <c r="H129" i="25"/>
  <c r="I129" i="25"/>
  <c r="J129" i="25"/>
  <c r="I130" i="25"/>
  <c r="J130" i="25"/>
  <c r="I131" i="25"/>
  <c r="J131" i="25"/>
  <c r="H133" i="25"/>
  <c r="I133" i="25"/>
  <c r="J133" i="25"/>
  <c r="A135" i="25"/>
  <c r="I135" i="25"/>
  <c r="J135" i="25"/>
  <c r="A136" i="25"/>
  <c r="I136" i="25"/>
  <c r="J136" i="25"/>
  <c r="A137" i="25"/>
  <c r="I137" i="25"/>
  <c r="J137" i="25"/>
  <c r="A138" i="25"/>
  <c r="H138" i="25"/>
  <c r="I138" i="25"/>
  <c r="J138" i="25"/>
  <c r="A139" i="25"/>
  <c r="I139" i="25"/>
  <c r="J139" i="25"/>
  <c r="A140" i="25"/>
  <c r="H140" i="25"/>
  <c r="I140" i="25"/>
  <c r="J140" i="25"/>
  <c r="A141" i="25"/>
  <c r="I141" i="25"/>
  <c r="J141" i="25"/>
  <c r="A142" i="25"/>
  <c r="I142" i="25"/>
  <c r="J142" i="25"/>
  <c r="A143" i="25"/>
  <c r="I143" i="25"/>
  <c r="J143" i="25"/>
  <c r="A144" i="25"/>
  <c r="I144" i="25"/>
  <c r="J144" i="25"/>
  <c r="A145" i="25"/>
  <c r="H145" i="25"/>
  <c r="I145" i="25"/>
  <c r="J145" i="25"/>
  <c r="A146" i="25"/>
  <c r="I146" i="25"/>
  <c r="J146" i="25"/>
  <c r="A147" i="25"/>
  <c r="I147" i="25"/>
  <c r="J147" i="25"/>
  <c r="A148" i="25"/>
  <c r="I148" i="25"/>
  <c r="J148" i="25"/>
  <c r="A149" i="25"/>
  <c r="I149" i="25"/>
  <c r="J149" i="25"/>
  <c r="I150" i="25"/>
  <c r="J150" i="25"/>
  <c r="I151" i="25"/>
  <c r="J151" i="25"/>
  <c r="I152" i="25"/>
  <c r="J152" i="25"/>
  <c r="I153" i="25"/>
  <c r="J153" i="25"/>
  <c r="A154" i="25"/>
  <c r="I154" i="25"/>
  <c r="J154" i="25"/>
  <c r="A155" i="25"/>
  <c r="I155" i="25"/>
  <c r="J155" i="25"/>
  <c r="A156" i="25"/>
  <c r="I156" i="25"/>
  <c r="J156" i="25"/>
  <c r="A157" i="25"/>
  <c r="I157" i="25"/>
  <c r="J157" i="25"/>
  <c r="A158" i="25"/>
  <c r="I158" i="25"/>
  <c r="J158" i="25"/>
  <c r="A159" i="25"/>
  <c r="I159" i="25"/>
  <c r="J159" i="25"/>
  <c r="A160" i="25"/>
  <c r="I160" i="25"/>
  <c r="J160" i="25"/>
  <c r="A161" i="25"/>
  <c r="I161" i="25"/>
  <c r="J161" i="25"/>
  <c r="A162" i="25"/>
  <c r="I162" i="25"/>
  <c r="J162" i="25"/>
  <c r="I163" i="25"/>
  <c r="J163" i="25"/>
  <c r="A164" i="25"/>
  <c r="I164" i="25"/>
  <c r="J164" i="25"/>
  <c r="I165" i="25"/>
  <c r="J165" i="25"/>
  <c r="I166" i="25"/>
  <c r="J166" i="25"/>
  <c r="H167" i="25"/>
  <c r="I167" i="25"/>
  <c r="J167" i="25"/>
  <c r="H169" i="25"/>
  <c r="I169" i="25"/>
  <c r="J169" i="25"/>
  <c r="A171" i="25"/>
  <c r="I171" i="25"/>
  <c r="J171" i="25"/>
  <c r="I172" i="25"/>
  <c r="J172" i="25"/>
  <c r="H173" i="25"/>
  <c r="I173" i="25"/>
  <c r="J173" i="25"/>
  <c r="I174" i="25"/>
  <c r="J174" i="25"/>
  <c r="I175" i="25"/>
  <c r="J175" i="25"/>
  <c r="I176" i="25"/>
  <c r="J176" i="25"/>
  <c r="I177" i="25"/>
  <c r="J177" i="25"/>
  <c r="I178" i="25"/>
  <c r="J178" i="25"/>
  <c r="I179" i="25"/>
  <c r="J179" i="25"/>
  <c r="I180" i="25"/>
  <c r="J180" i="25"/>
  <c r="H181" i="25"/>
  <c r="I181" i="25"/>
  <c r="J181" i="25"/>
  <c r="H183" i="25"/>
  <c r="I183" i="25"/>
  <c r="J183" i="25"/>
  <c r="A185" i="25"/>
  <c r="I185" i="25"/>
  <c r="J185" i="25"/>
  <c r="A186" i="25"/>
  <c r="H186" i="25"/>
  <c r="I186" i="25"/>
  <c r="J186" i="25"/>
  <c r="I187" i="25"/>
  <c r="J187" i="25"/>
  <c r="A188" i="25"/>
  <c r="I188" i="25"/>
  <c r="J188" i="25"/>
  <c r="H189" i="25"/>
  <c r="I189" i="25"/>
  <c r="J189" i="25"/>
  <c r="I190" i="25"/>
  <c r="J190" i="25"/>
  <c r="A191" i="25"/>
  <c r="I191" i="25"/>
  <c r="J191" i="25"/>
  <c r="I192" i="25"/>
  <c r="J192" i="25"/>
  <c r="I193" i="25"/>
  <c r="J193" i="25"/>
  <c r="I194" i="25"/>
  <c r="J194" i="25"/>
  <c r="I195" i="25"/>
  <c r="J195" i="25"/>
  <c r="I196" i="25"/>
  <c r="J196" i="25"/>
  <c r="A197" i="25"/>
  <c r="I197" i="25"/>
  <c r="J197" i="25"/>
  <c r="I198" i="25"/>
  <c r="J198" i="25"/>
  <c r="I199" i="25"/>
  <c r="J199" i="25"/>
  <c r="H201" i="25"/>
  <c r="I201" i="25"/>
  <c r="J201" i="25"/>
  <c r="H203" i="25"/>
  <c r="I203" i="25"/>
  <c r="J203" i="25"/>
  <c r="A205" i="25"/>
  <c r="I205" i="25"/>
  <c r="J205" i="25"/>
  <c r="A206" i="25"/>
  <c r="I206" i="25"/>
  <c r="J206" i="25"/>
  <c r="A207" i="25"/>
  <c r="I207" i="25"/>
  <c r="J207" i="25"/>
  <c r="A208" i="25"/>
  <c r="I208" i="25"/>
  <c r="J208" i="25"/>
  <c r="H209" i="25"/>
  <c r="I209" i="25"/>
  <c r="J209" i="25"/>
  <c r="H211" i="25"/>
  <c r="I211" i="25"/>
  <c r="J211" i="25"/>
  <c r="A213" i="25"/>
  <c r="I213" i="25"/>
  <c r="J213" i="25"/>
  <c r="I214" i="25"/>
  <c r="J214" i="25"/>
  <c r="I215" i="25"/>
  <c r="J215" i="25"/>
  <c r="I216" i="25"/>
  <c r="J216" i="25"/>
  <c r="H217" i="25"/>
  <c r="I217" i="25"/>
  <c r="J217" i="25"/>
  <c r="H219" i="25"/>
  <c r="I219" i="25"/>
  <c r="J219" i="25"/>
  <c r="A221" i="25"/>
  <c r="I221" i="25"/>
  <c r="J221" i="25"/>
  <c r="A222" i="25"/>
  <c r="I222" i="25"/>
  <c r="J222" i="25"/>
  <c r="A223" i="25"/>
  <c r="I223" i="25"/>
  <c r="J223" i="25"/>
  <c r="A224" i="25"/>
  <c r="I224" i="25"/>
  <c r="J224" i="25"/>
  <c r="I225" i="25"/>
  <c r="J225" i="25"/>
  <c r="A226" i="25"/>
  <c r="I226" i="25"/>
  <c r="J226" i="25"/>
  <c r="A227" i="25"/>
  <c r="I227" i="25"/>
  <c r="J227" i="25"/>
  <c r="A228" i="25"/>
  <c r="I228" i="25"/>
  <c r="J228" i="25"/>
  <c r="I229" i="25"/>
  <c r="J229" i="25"/>
  <c r="I230" i="25"/>
  <c r="J230" i="25"/>
  <c r="I231" i="25"/>
  <c r="J231" i="25"/>
  <c r="I232" i="25"/>
  <c r="J232" i="25"/>
  <c r="A233" i="25"/>
  <c r="I233" i="25"/>
  <c r="J233" i="25"/>
  <c r="I234" i="25"/>
  <c r="J234" i="25"/>
  <c r="I235" i="25"/>
  <c r="J235" i="25"/>
  <c r="I236" i="25"/>
  <c r="J236" i="25"/>
  <c r="I237" i="25"/>
  <c r="J237" i="25"/>
  <c r="A238" i="25"/>
  <c r="H238" i="25"/>
  <c r="I238" i="25"/>
  <c r="J238" i="25"/>
  <c r="A239" i="25"/>
  <c r="I239" i="25"/>
  <c r="J239" i="25"/>
  <c r="I240" i="25"/>
  <c r="J240" i="25"/>
  <c r="I241" i="25"/>
  <c r="J241" i="25"/>
  <c r="I242" i="25"/>
  <c r="J242" i="25"/>
  <c r="I243" i="25"/>
  <c r="J243" i="25"/>
  <c r="A244" i="25"/>
  <c r="I244" i="25"/>
  <c r="J244" i="25"/>
  <c r="I245" i="25"/>
  <c r="J245" i="25"/>
  <c r="I246" i="25"/>
  <c r="J246" i="25"/>
  <c r="I247" i="25"/>
  <c r="J247" i="25"/>
  <c r="I248" i="25"/>
  <c r="J248" i="25"/>
  <c r="I249" i="25"/>
  <c r="J249" i="25"/>
  <c r="A250" i="25"/>
  <c r="I250" i="25"/>
  <c r="J250" i="25"/>
  <c r="I251" i="25"/>
  <c r="J251" i="25"/>
  <c r="I252" i="25"/>
  <c r="J252" i="25"/>
  <c r="I253" i="25"/>
  <c r="J253" i="25"/>
  <c r="I254" i="25"/>
  <c r="J254" i="25"/>
  <c r="I255" i="25"/>
  <c r="J255" i="25"/>
  <c r="I256" i="25"/>
  <c r="J256" i="25"/>
  <c r="I257" i="25"/>
  <c r="J257" i="25"/>
  <c r="I258" i="25"/>
  <c r="J258" i="25"/>
  <c r="I259" i="25"/>
  <c r="J259" i="25"/>
  <c r="I260" i="25"/>
  <c r="J260" i="25"/>
  <c r="I261" i="25"/>
  <c r="J261" i="25"/>
  <c r="I262" i="25"/>
  <c r="J262" i="25"/>
  <c r="I263" i="25"/>
  <c r="J263" i="25"/>
  <c r="A264" i="25"/>
  <c r="I264" i="25"/>
  <c r="J264" i="25"/>
  <c r="I265" i="25"/>
  <c r="J265" i="25"/>
  <c r="I266" i="25"/>
  <c r="J266" i="25"/>
  <c r="H267" i="25"/>
  <c r="I267" i="25"/>
  <c r="J267" i="25"/>
  <c r="H269" i="25"/>
  <c r="I269" i="25"/>
  <c r="I271" i="25"/>
  <c r="J271" i="25"/>
  <c r="I272" i="25"/>
  <c r="J272" i="25"/>
  <c r="H273" i="25"/>
  <c r="I273" i="25"/>
  <c r="J273" i="25"/>
  <c r="H275" i="25"/>
  <c r="I275" i="25"/>
  <c r="J275" i="25"/>
  <c r="I277" i="25"/>
  <c r="J277" i="25"/>
  <c r="I278" i="25"/>
  <c r="J278" i="25"/>
  <c r="I279" i="25"/>
  <c r="J279" i="25"/>
  <c r="H281" i="25"/>
  <c r="I281" i="25"/>
  <c r="J281" i="25"/>
  <c r="I283" i="25"/>
  <c r="J283" i="25"/>
  <c r="I284" i="25"/>
  <c r="J284" i="25"/>
  <c r="I285" i="25"/>
  <c r="J285" i="25"/>
  <c r="I287" i="25"/>
  <c r="J287" i="25"/>
  <c r="I289" i="25"/>
  <c r="J289" i="25"/>
  <c r="H291" i="25"/>
  <c r="I291" i="25"/>
  <c r="J291" i="25"/>
  <c r="I293" i="25"/>
  <c r="J293" i="25"/>
  <c r="I295" i="25"/>
  <c r="J295" i="25"/>
  <c r="I297" i="25"/>
  <c r="J297" i="25"/>
  <c r="I298" i="25"/>
  <c r="J298" i="25"/>
  <c r="H299" i="25"/>
  <c r="I299" i="25"/>
  <c r="J299" i="25"/>
  <c r="I300" i="25"/>
  <c r="J300" i="25"/>
  <c r="H301" i="25"/>
  <c r="I301" i="25"/>
  <c r="J301" i="25"/>
  <c r="A1" i="20"/>
  <c r="D6" i="20"/>
  <c r="D8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4" i="20"/>
  <c r="D28" i="20"/>
  <c r="D29" i="20"/>
  <c r="D30" i="20"/>
  <c r="D31" i="20"/>
  <c r="D32" i="20"/>
  <c r="D33" i="20"/>
  <c r="D34" i="20"/>
  <c r="D36" i="20"/>
  <c r="D38" i="20"/>
  <c r="D45" i="20"/>
  <c r="D47" i="20"/>
  <c r="D50" i="20"/>
  <c r="D51" i="20"/>
  <c r="A1" i="21"/>
  <c r="F5" i="21"/>
  <c r="J5" i="21"/>
  <c r="N5" i="21"/>
  <c r="R5" i="21"/>
  <c r="V5" i="21"/>
  <c r="N11" i="21"/>
  <c r="N12" i="21"/>
  <c r="A1" i="22"/>
  <c r="B8" i="22"/>
  <c r="E8" i="22"/>
  <c r="F8" i="22"/>
  <c r="F9" i="22"/>
  <c r="F10" i="22"/>
  <c r="B11" i="22"/>
  <c r="E11" i="22"/>
  <c r="F11" i="22"/>
  <c r="B12" i="22"/>
  <c r="E12" i="22"/>
  <c r="F12" i="22"/>
  <c r="B13" i="22"/>
  <c r="E13" i="22"/>
  <c r="F13" i="22"/>
  <c r="B14" i="22"/>
  <c r="E14" i="22"/>
  <c r="F14" i="22"/>
  <c r="B19" i="22"/>
  <c r="F19" i="22"/>
  <c r="A3" i="29"/>
  <c r="D6" i="29"/>
  <c r="D7" i="29"/>
  <c r="D8" i="29"/>
  <c r="D9" i="29"/>
  <c r="D13" i="29"/>
  <c r="D15" i="29"/>
  <c r="D16" i="29"/>
  <c r="D18" i="29"/>
  <c r="D19" i="29"/>
  <c r="D21" i="29"/>
  <c r="D22" i="29"/>
  <c r="D24" i="29"/>
  <c r="D25" i="29"/>
  <c r="D26" i="29"/>
  <c r="D30" i="29"/>
  <c r="D34" i="29"/>
  <c r="D35" i="29"/>
  <c r="D41" i="29"/>
  <c r="D47" i="29"/>
  <c r="D50" i="29"/>
  <c r="D52" i="29"/>
  <c r="D61" i="29"/>
  <c r="D65" i="29"/>
  <c r="D66" i="29"/>
  <c r="D71" i="29"/>
  <c r="D87" i="29"/>
  <c r="D89" i="29"/>
  <c r="D90" i="29"/>
  <c r="D92" i="29"/>
  <c r="D96" i="29"/>
  <c r="D97" i="29"/>
  <c r="D99" i="29"/>
  <c r="D101" i="29"/>
  <c r="F101" i="29"/>
  <c r="D103" i="29"/>
  <c r="D111" i="29"/>
  <c r="D113" i="29"/>
  <c r="D115" i="29"/>
  <c r="D116" i="29"/>
  <c r="D120" i="29"/>
  <c r="D134" i="29"/>
  <c r="D136" i="29"/>
  <c r="D138" i="29"/>
  <c r="D144" i="29"/>
  <c r="D146" i="29"/>
  <c r="D152" i="29"/>
  <c r="D154" i="29"/>
  <c r="D156" i="29"/>
  <c r="F156" i="29"/>
  <c r="D162" i="29"/>
  <c r="D163" i="29"/>
  <c r="D165" i="29"/>
  <c r="D171" i="29"/>
  <c r="D173" i="29"/>
  <c r="D175" i="29"/>
  <c r="D182" i="29"/>
  <c r="D184" i="29"/>
  <c r="D186" i="29"/>
  <c r="D187" i="29"/>
  <c r="D192" i="29"/>
  <c r="D194" i="29"/>
  <c r="F196" i="29"/>
  <c r="D202" i="29"/>
  <c r="D203" i="29"/>
  <c r="D205" i="29"/>
  <c r="D214" i="29"/>
  <c r="D216" i="29"/>
  <c r="D224" i="29"/>
  <c r="D226" i="29"/>
  <c r="D229" i="29"/>
  <c r="D234" i="29"/>
  <c r="D236" i="29"/>
  <c r="D253" i="29"/>
  <c r="D255" i="29"/>
  <c r="F255" i="29"/>
  <c r="D264" i="29"/>
  <c r="D267" i="29"/>
  <c r="D270" i="29"/>
  <c r="D272" i="29"/>
  <c r="C274" i="29"/>
  <c r="C275" i="29"/>
  <c r="D278" i="29"/>
  <c r="D282" i="29"/>
  <c r="D284" i="29"/>
  <c r="D287" i="29"/>
  <c r="D290" i="29"/>
  <c r="D294" i="29"/>
  <c r="D301" i="29"/>
  <c r="A1" i="26"/>
  <c r="D8" i="26"/>
  <c r="E8" i="26"/>
  <c r="F8" i="26"/>
  <c r="G8" i="26"/>
  <c r="B11" i="26"/>
  <c r="D11" i="26"/>
  <c r="E11" i="26"/>
  <c r="F11" i="26"/>
  <c r="G11" i="26"/>
  <c r="B12" i="26"/>
  <c r="D12" i="26"/>
  <c r="E12" i="26"/>
  <c r="F12" i="26"/>
  <c r="G12" i="26"/>
  <c r="B13" i="26"/>
  <c r="D13" i="26"/>
  <c r="E13" i="26"/>
  <c r="F13" i="26"/>
  <c r="G13" i="26"/>
  <c r="B14" i="26"/>
  <c r="D14" i="26"/>
  <c r="E14" i="26"/>
  <c r="F14" i="26"/>
  <c r="G14" i="26"/>
  <c r="B15" i="26"/>
  <c r="D15" i="26"/>
  <c r="E15" i="26"/>
  <c r="F15" i="26"/>
  <c r="G15" i="26"/>
  <c r="B16" i="26"/>
  <c r="D16" i="26"/>
  <c r="E16" i="26"/>
  <c r="F16" i="26"/>
  <c r="G16" i="26"/>
  <c r="B17" i="26"/>
  <c r="D17" i="26"/>
  <c r="E17" i="26"/>
  <c r="F17" i="26"/>
  <c r="G17" i="26"/>
  <c r="B18" i="26"/>
  <c r="D18" i="26"/>
  <c r="E18" i="26"/>
  <c r="F18" i="26"/>
  <c r="G18" i="26"/>
  <c r="B19" i="26"/>
  <c r="D19" i="26"/>
  <c r="E19" i="26"/>
  <c r="F19" i="26"/>
  <c r="G19" i="26"/>
  <c r="B20" i="26"/>
  <c r="D20" i="26"/>
  <c r="F20" i="26"/>
  <c r="G20" i="26"/>
  <c r="D22" i="26"/>
  <c r="E22" i="26"/>
  <c r="F22" i="26"/>
  <c r="G22" i="26"/>
  <c r="E24" i="26"/>
  <c r="F24" i="26"/>
  <c r="G24" i="26"/>
  <c r="D25" i="26"/>
  <c r="E25" i="26"/>
  <c r="F25" i="26"/>
  <c r="G25" i="26"/>
  <c r="E26" i="26"/>
  <c r="F26" i="26"/>
  <c r="G26" i="26"/>
  <c r="K28" i="26"/>
  <c r="L28" i="26"/>
  <c r="B29" i="26"/>
  <c r="D29" i="26"/>
  <c r="E29" i="26"/>
  <c r="F29" i="26"/>
  <c r="G29" i="26"/>
  <c r="K29" i="26"/>
  <c r="L29" i="26"/>
  <c r="B30" i="26"/>
  <c r="D30" i="26"/>
  <c r="E30" i="26"/>
  <c r="F30" i="26"/>
  <c r="G30" i="26"/>
  <c r="B31" i="26"/>
  <c r="D31" i="26"/>
  <c r="E31" i="26"/>
  <c r="F31" i="26"/>
  <c r="G31" i="26"/>
  <c r="B32" i="26"/>
  <c r="D32" i="26"/>
  <c r="E32" i="26"/>
  <c r="F32" i="26"/>
  <c r="G32" i="26"/>
  <c r="B33" i="26"/>
  <c r="D33" i="26"/>
  <c r="E33" i="26"/>
  <c r="F33" i="26"/>
  <c r="G33" i="26"/>
  <c r="B34" i="26"/>
  <c r="D34" i="26"/>
  <c r="E34" i="26"/>
  <c r="F34" i="26"/>
  <c r="G34" i="26"/>
  <c r="B35" i="26"/>
  <c r="D35" i="26"/>
  <c r="E35" i="26"/>
  <c r="F35" i="26"/>
  <c r="G35" i="26"/>
  <c r="B36" i="26"/>
  <c r="D36" i="26"/>
  <c r="E36" i="26"/>
  <c r="F36" i="26"/>
  <c r="G36" i="26"/>
  <c r="B37" i="26"/>
  <c r="D37" i="26"/>
  <c r="E37" i="26"/>
  <c r="F37" i="26"/>
  <c r="G37" i="26"/>
  <c r="B38" i="26"/>
  <c r="D38" i="26"/>
  <c r="E38" i="26"/>
  <c r="F38" i="26"/>
  <c r="G38" i="26"/>
  <c r="B39" i="26"/>
  <c r="D39" i="26"/>
  <c r="E39" i="26"/>
  <c r="F39" i="26"/>
  <c r="G39" i="26"/>
  <c r="D41" i="26"/>
  <c r="E41" i="26"/>
  <c r="F41" i="26"/>
  <c r="G41" i="26"/>
  <c r="D43" i="26"/>
  <c r="E43" i="26"/>
  <c r="F43" i="26"/>
  <c r="G43" i="26"/>
  <c r="F45" i="26"/>
  <c r="G45" i="26"/>
  <c r="D47" i="26"/>
  <c r="E47" i="26"/>
  <c r="F47" i="26"/>
  <c r="G47" i="26"/>
  <c r="D50" i="26"/>
  <c r="E55" i="26"/>
  <c r="E57" i="26"/>
  <c r="F57" i="26"/>
  <c r="G57" i="26"/>
  <c r="D59" i="26"/>
  <c r="E59" i="26"/>
  <c r="F59" i="26"/>
  <c r="G59" i="26"/>
  <c r="A1" i="28"/>
  <c r="B11" i="28"/>
  <c r="B12" i="28"/>
  <c r="B13" i="28"/>
  <c r="B14" i="28"/>
  <c r="B15" i="28"/>
  <c r="B16" i="28"/>
  <c r="B17" i="28"/>
  <c r="C28" i="28"/>
  <c r="D28" i="28"/>
  <c r="E28" i="28"/>
  <c r="F28" i="28"/>
  <c r="G28" i="28"/>
  <c r="H28" i="28"/>
  <c r="I28" i="28"/>
  <c r="J28" i="28"/>
  <c r="K28" i="28"/>
  <c r="L28" i="28"/>
  <c r="O28" i="28"/>
  <c r="P28" i="28"/>
  <c r="S28" i="28"/>
  <c r="B29" i="28"/>
  <c r="C29" i="28"/>
  <c r="D29" i="28"/>
  <c r="E29" i="28"/>
  <c r="F29" i="28"/>
  <c r="G29" i="28"/>
  <c r="H29" i="28"/>
  <c r="I29" i="28"/>
  <c r="J29" i="28"/>
  <c r="K29" i="28"/>
  <c r="L29" i="28"/>
  <c r="O29" i="28"/>
  <c r="P29" i="28"/>
  <c r="S29" i="28"/>
  <c r="C30" i="28"/>
  <c r="D30" i="28"/>
  <c r="E30" i="28"/>
  <c r="F30" i="28"/>
  <c r="G30" i="28"/>
  <c r="H30" i="28"/>
  <c r="I30" i="28"/>
  <c r="J30" i="28"/>
  <c r="K30" i="28"/>
  <c r="L30" i="28"/>
  <c r="O30" i="28"/>
  <c r="P30" i="28"/>
  <c r="S30" i="28"/>
  <c r="C31" i="28"/>
  <c r="D31" i="28"/>
  <c r="E31" i="28"/>
  <c r="F31" i="28"/>
  <c r="G31" i="28"/>
  <c r="H31" i="28"/>
  <c r="I31" i="28"/>
  <c r="J31" i="28"/>
  <c r="K31" i="28"/>
  <c r="L31" i="28"/>
  <c r="O31" i="28"/>
  <c r="P31" i="28"/>
  <c r="S31" i="28"/>
  <c r="B33" i="28"/>
  <c r="C33" i="28"/>
  <c r="D33" i="28"/>
  <c r="E33" i="28"/>
  <c r="F33" i="28"/>
  <c r="G33" i="28"/>
  <c r="H33" i="28"/>
  <c r="I33" i="28"/>
  <c r="J33" i="28"/>
  <c r="K33" i="28"/>
  <c r="L33" i="28"/>
  <c r="P33" i="28"/>
  <c r="S33" i="28"/>
  <c r="A34" i="28"/>
  <c r="C34" i="28"/>
  <c r="D34" i="28"/>
  <c r="E34" i="28"/>
  <c r="F34" i="28"/>
  <c r="G34" i="28"/>
  <c r="H34" i="28"/>
  <c r="I34" i="28"/>
  <c r="J34" i="28"/>
  <c r="K34" i="28"/>
  <c r="L34" i="28"/>
  <c r="O34" i="28"/>
  <c r="P34" i="28"/>
  <c r="S34" i="28"/>
  <c r="A35" i="28"/>
  <c r="C35" i="28"/>
  <c r="D35" i="28"/>
  <c r="E35" i="28"/>
  <c r="F35" i="28"/>
  <c r="G35" i="28"/>
  <c r="H35" i="28"/>
  <c r="I35" i="28"/>
  <c r="J35" i="28"/>
  <c r="K35" i="28"/>
  <c r="L35" i="28"/>
  <c r="P35" i="28"/>
  <c r="R35" i="28"/>
  <c r="S35" i="28"/>
  <c r="C44" i="28"/>
  <c r="D44" i="28"/>
  <c r="E44" i="28"/>
  <c r="G44" i="28"/>
  <c r="H44" i="28"/>
  <c r="A46" i="28"/>
  <c r="B46" i="28"/>
  <c r="C46" i="28"/>
  <c r="D46" i="28"/>
  <c r="E46" i="28"/>
  <c r="F46" i="28"/>
  <c r="G46" i="28"/>
  <c r="K46" i="28"/>
  <c r="P46" i="28"/>
  <c r="S46" i="28"/>
  <c r="A47" i="28"/>
  <c r="B47" i="28"/>
  <c r="C47" i="28"/>
  <c r="D47" i="28"/>
  <c r="E47" i="28"/>
  <c r="F47" i="28"/>
  <c r="G47" i="28"/>
  <c r="K47" i="28"/>
  <c r="P47" i="28"/>
  <c r="S47" i="28"/>
  <c r="A48" i="28"/>
  <c r="B48" i="28"/>
  <c r="C48" i="28"/>
  <c r="D48" i="28"/>
  <c r="E48" i="28"/>
  <c r="F48" i="28"/>
  <c r="G48" i="28"/>
  <c r="K48" i="28"/>
  <c r="P48" i="28"/>
  <c r="S48" i="28"/>
  <c r="A49" i="28"/>
  <c r="B49" i="28"/>
  <c r="C49" i="28"/>
  <c r="D49" i="28"/>
  <c r="E49" i="28"/>
  <c r="F49" i="28"/>
  <c r="G49" i="28"/>
  <c r="K49" i="28"/>
  <c r="O49" i="28"/>
  <c r="P49" i="28"/>
  <c r="R49" i="28"/>
  <c r="S49" i="28"/>
  <c r="A51" i="28"/>
  <c r="B51" i="28"/>
  <c r="C51" i="28"/>
  <c r="D51" i="28"/>
  <c r="E51" i="28"/>
  <c r="F51" i="28"/>
  <c r="G51" i="28"/>
  <c r="K51" i="28"/>
  <c r="P51" i="28"/>
  <c r="S51" i="28"/>
  <c r="A52" i="28"/>
  <c r="B52" i="28"/>
  <c r="C52" i="28"/>
  <c r="D52" i="28"/>
  <c r="E52" i="28"/>
  <c r="F52" i="28"/>
  <c r="G52" i="28"/>
  <c r="K52" i="28"/>
  <c r="O52" i="28"/>
  <c r="P52" i="28"/>
  <c r="R52" i="28"/>
  <c r="S52" i="28"/>
  <c r="A53" i="28"/>
  <c r="B53" i="28"/>
  <c r="C53" i="28"/>
  <c r="D53" i="28"/>
  <c r="E53" i="28"/>
  <c r="F53" i="28"/>
  <c r="G53" i="28"/>
  <c r="K53" i="28"/>
  <c r="O53" i="28"/>
  <c r="P53" i="28"/>
  <c r="R53" i="28"/>
  <c r="S53" i="28"/>
  <c r="P55" i="28"/>
  <c r="S55" i="28"/>
  <c r="A1" i="27"/>
  <c r="C8" i="27"/>
  <c r="E8" i="27"/>
  <c r="F8" i="27"/>
  <c r="G8" i="27"/>
  <c r="H8" i="27"/>
  <c r="D10" i="27"/>
  <c r="E10" i="27"/>
  <c r="F10" i="27"/>
  <c r="G10" i="27"/>
  <c r="H10" i="27"/>
  <c r="D11" i="27"/>
  <c r="E11" i="27"/>
  <c r="F11" i="27"/>
  <c r="G11" i="27"/>
  <c r="H11" i="27"/>
  <c r="A13" i="27"/>
  <c r="D14" i="27"/>
  <c r="E14" i="27"/>
  <c r="F14" i="27"/>
  <c r="G14" i="27"/>
  <c r="H14" i="27"/>
  <c r="D15" i="27"/>
  <c r="E15" i="27"/>
  <c r="F15" i="27"/>
  <c r="G15" i="27"/>
  <c r="H15" i="27"/>
  <c r="A16" i="27"/>
  <c r="D17" i="27"/>
  <c r="E17" i="27"/>
  <c r="F17" i="27"/>
  <c r="G17" i="27"/>
  <c r="H17" i="27"/>
  <c r="D18" i="27"/>
  <c r="E18" i="27"/>
  <c r="F18" i="27"/>
  <c r="G18" i="27"/>
  <c r="H18" i="27"/>
  <c r="B22" i="27"/>
  <c r="F22" i="27"/>
  <c r="G22" i="27"/>
  <c r="H22" i="27"/>
  <c r="D13" i="17"/>
  <c r="A1" i="24"/>
  <c r="A1" i="19"/>
  <c r="E8" i="19"/>
  <c r="E9" i="19"/>
  <c r="E10" i="19"/>
  <c r="E11" i="19"/>
  <c r="E13" i="19"/>
  <c r="G13" i="19"/>
  <c r="E19" i="19"/>
  <c r="E21" i="19"/>
  <c r="G21" i="19"/>
  <c r="E23" i="19"/>
  <c r="G23" i="19"/>
  <c r="E26" i="19"/>
  <c r="G26" i="19"/>
  <c r="E32" i="19"/>
  <c r="F32" i="19"/>
  <c r="G32" i="19"/>
  <c r="H32" i="19"/>
  <c r="I32" i="19"/>
  <c r="K32" i="19"/>
  <c r="E33" i="19"/>
  <c r="F33" i="19"/>
  <c r="G33" i="19"/>
  <c r="H33" i="19"/>
  <c r="I33" i="19"/>
  <c r="K33" i="19"/>
  <c r="E34" i="19"/>
  <c r="F34" i="19"/>
  <c r="G34" i="19"/>
  <c r="H34" i="19"/>
  <c r="J34" i="19"/>
  <c r="L34" i="19"/>
  <c r="E35" i="19"/>
  <c r="F35" i="19"/>
  <c r="G35" i="19"/>
  <c r="H35" i="19"/>
  <c r="J35" i="19"/>
  <c r="L35" i="19"/>
  <c r="E36" i="19"/>
  <c r="F36" i="19"/>
  <c r="G36" i="19"/>
  <c r="H36" i="19"/>
  <c r="J36" i="19"/>
  <c r="L36" i="19"/>
  <c r="E37" i="19"/>
  <c r="F37" i="19"/>
  <c r="G37" i="19"/>
  <c r="H37" i="19"/>
  <c r="I37" i="19"/>
  <c r="J37" i="19"/>
  <c r="K37" i="19"/>
  <c r="L37" i="19"/>
  <c r="E38" i="19"/>
  <c r="F38" i="19"/>
  <c r="G38" i="19"/>
  <c r="H38" i="19"/>
  <c r="I38" i="19"/>
  <c r="K38" i="19"/>
  <c r="E39" i="19"/>
  <c r="F39" i="19"/>
  <c r="G39" i="19"/>
  <c r="H39" i="19"/>
  <c r="I39" i="19"/>
  <c r="K39" i="19"/>
  <c r="E41" i="19"/>
  <c r="F41" i="19"/>
  <c r="G41" i="19"/>
  <c r="H41" i="19"/>
  <c r="I41" i="19"/>
  <c r="J41" i="19"/>
  <c r="K41" i="19"/>
  <c r="L41" i="19"/>
  <c r="E43" i="19"/>
  <c r="F43" i="19"/>
  <c r="G43" i="19"/>
  <c r="H43" i="19"/>
  <c r="I43" i="19"/>
  <c r="K43" i="19"/>
  <c r="H45" i="19"/>
  <c r="H46" i="19"/>
  <c r="E48" i="19"/>
  <c r="F48" i="19"/>
  <c r="G48" i="19"/>
  <c r="H48" i="19"/>
  <c r="E55" i="19"/>
  <c r="F55" i="19"/>
  <c r="G55" i="19"/>
  <c r="H55" i="19"/>
  <c r="A1" i="16"/>
  <c r="A1" i="23"/>
  <c r="H7" i="23"/>
  <c r="H8" i="23"/>
  <c r="H9" i="23"/>
  <c r="H10" i="23"/>
  <c r="G11" i="23"/>
  <c r="H11" i="23"/>
  <c r="I11" i="23"/>
  <c r="H14" i="23"/>
  <c r="I14" i="23"/>
  <c r="H15" i="23"/>
  <c r="I15" i="23"/>
  <c r="H16" i="23"/>
  <c r="I16" i="23"/>
  <c r="G17" i="23"/>
  <c r="H17" i="23"/>
  <c r="I17" i="23"/>
  <c r="H20" i="23"/>
  <c r="G21" i="23"/>
  <c r="H21" i="23"/>
  <c r="I21" i="23"/>
  <c r="H24" i="23"/>
  <c r="I24" i="23"/>
  <c r="H25" i="23"/>
  <c r="I25" i="23"/>
  <c r="H26" i="23"/>
  <c r="I26" i="23"/>
  <c r="G27" i="23"/>
  <c r="H27" i="23"/>
  <c r="I27" i="23"/>
  <c r="H30" i="23"/>
  <c r="I30" i="23"/>
  <c r="H31" i="23"/>
  <c r="H32" i="23"/>
  <c r="I32" i="23"/>
  <c r="G33" i="23"/>
  <c r="H33" i="23"/>
  <c r="I33" i="23"/>
  <c r="H35" i="23"/>
  <c r="I35" i="23"/>
  <c r="H36" i="23"/>
  <c r="I36" i="23"/>
  <c r="H37" i="23"/>
  <c r="I37" i="23"/>
  <c r="H38" i="23"/>
  <c r="I38" i="23"/>
  <c r="G39" i="23"/>
  <c r="H39" i="23"/>
  <c r="I39" i="23"/>
  <c r="H41" i="23"/>
  <c r="I41" i="23"/>
  <c r="I44" i="23"/>
  <c r="I45" i="23"/>
  <c r="I49" i="23"/>
  <c r="I51" i="23"/>
  <c r="I52" i="23"/>
  <c r="I53" i="23"/>
</calcChain>
</file>

<file path=xl/comments1.xml><?xml version="1.0" encoding="utf-8"?>
<comments xmlns="http://schemas.openxmlformats.org/spreadsheetml/2006/main">
  <authors>
    <author>EI</author>
  </authors>
  <commentList>
    <comment ref="O28" authorId="0" shapeId="0">
      <text>
        <r>
          <rPr>
            <b/>
            <sz val="8"/>
            <color indexed="81"/>
            <rFont val="Tahoma"/>
          </rPr>
          <t>EI:</t>
        </r>
        <r>
          <rPr>
            <sz val="8"/>
            <color indexed="81"/>
            <rFont val="Tahoma"/>
          </rPr>
          <t xml:space="preserve">
6 months</t>
        </r>
      </text>
    </comment>
    <comment ref="O31" authorId="0" shapeId="0">
      <text>
        <r>
          <rPr>
            <b/>
            <sz val="8"/>
            <color indexed="81"/>
            <rFont val="Tahoma"/>
          </rPr>
          <t>EI:</t>
        </r>
        <r>
          <rPr>
            <sz val="8"/>
            <color indexed="81"/>
            <rFont val="Tahoma"/>
          </rPr>
          <t xml:space="preserve">
5 months</t>
        </r>
      </text>
    </comment>
    <comment ref="O34" authorId="0" shapeId="0">
      <text>
        <r>
          <rPr>
            <b/>
            <sz val="8"/>
            <color indexed="81"/>
            <rFont val="Tahoma"/>
          </rPr>
          <t>EI:</t>
        </r>
        <r>
          <rPr>
            <sz val="8"/>
            <color indexed="81"/>
            <rFont val="Tahoma"/>
          </rPr>
          <t xml:space="preserve">
3 months</t>
        </r>
      </text>
    </comment>
    <comment ref="O35" authorId="0" shapeId="0">
      <text>
        <r>
          <rPr>
            <b/>
            <sz val="8"/>
            <color indexed="81"/>
            <rFont val="Tahoma"/>
          </rPr>
          <t>EI:</t>
        </r>
        <r>
          <rPr>
            <sz val="8"/>
            <color indexed="81"/>
            <rFont val="Tahoma"/>
          </rPr>
          <t xml:space="preserve">
1 month</t>
        </r>
      </text>
    </comment>
    <comment ref="R35" authorId="0" shapeId="0">
      <text>
        <r>
          <rPr>
            <b/>
            <sz val="8"/>
            <color indexed="81"/>
            <rFont val="Tahoma"/>
          </rPr>
          <t>EI:</t>
        </r>
        <r>
          <rPr>
            <sz val="8"/>
            <color indexed="81"/>
            <rFont val="Tahoma"/>
          </rPr>
          <t xml:space="preserve">
Assumes seasonal O&amp;M technincian onsite for the 5 month dispatch season + 2 week of churn.</t>
        </r>
      </text>
    </comment>
    <comment ref="O49" authorId="0" shapeId="0">
      <text>
        <r>
          <rPr>
            <b/>
            <sz val="8"/>
            <color indexed="81"/>
            <rFont val="Tahoma"/>
          </rPr>
          <t>EI:</t>
        </r>
        <r>
          <rPr>
            <sz val="8"/>
            <color indexed="81"/>
            <rFont val="Tahoma"/>
          </rPr>
          <t xml:space="preserve">
5% overtime</t>
        </r>
      </text>
    </comment>
    <comment ref="R49" authorId="0" shapeId="0">
      <text>
        <r>
          <rPr>
            <b/>
            <sz val="8"/>
            <color indexed="81"/>
            <rFont val="Tahoma"/>
          </rPr>
          <t>EI:</t>
        </r>
        <r>
          <rPr>
            <sz val="8"/>
            <color indexed="81"/>
            <rFont val="Tahoma"/>
          </rPr>
          <t xml:space="preserve">
5% overtime assumed</t>
        </r>
      </text>
    </comment>
    <comment ref="O52" authorId="0" shapeId="0">
      <text>
        <r>
          <rPr>
            <b/>
            <sz val="8"/>
            <color indexed="81"/>
            <rFont val="Tahoma"/>
          </rPr>
          <t>EI:</t>
        </r>
        <r>
          <rPr>
            <sz val="8"/>
            <color indexed="81"/>
            <rFont val="Tahoma"/>
          </rPr>
          <t xml:space="preserve">
20% overtime</t>
        </r>
      </text>
    </comment>
    <comment ref="R52" authorId="0" shapeId="0">
      <text>
        <r>
          <rPr>
            <b/>
            <sz val="8"/>
            <color indexed="81"/>
            <rFont val="Tahoma"/>
          </rPr>
          <t>EI:</t>
        </r>
        <r>
          <rPr>
            <sz val="8"/>
            <color indexed="81"/>
            <rFont val="Tahoma"/>
          </rPr>
          <t xml:space="preserve">
20% overtime assumed</t>
        </r>
      </text>
    </comment>
    <comment ref="O53" authorId="0" shapeId="0">
      <text>
        <r>
          <rPr>
            <b/>
            <sz val="8"/>
            <color indexed="81"/>
            <rFont val="Tahoma"/>
          </rPr>
          <t>EI:</t>
        </r>
        <r>
          <rPr>
            <sz val="8"/>
            <color indexed="81"/>
            <rFont val="Tahoma"/>
          </rPr>
          <t xml:space="preserve">
20% overtime</t>
        </r>
      </text>
    </comment>
    <comment ref="R53" authorId="0" shapeId="0">
      <text>
        <r>
          <rPr>
            <b/>
            <sz val="8"/>
            <color indexed="81"/>
            <rFont val="Tahoma"/>
          </rPr>
          <t>EI:</t>
        </r>
        <r>
          <rPr>
            <sz val="8"/>
            <color indexed="81"/>
            <rFont val="Tahoma"/>
          </rPr>
          <t xml:space="preserve">
20% overtime assumed</t>
        </r>
      </text>
    </comment>
  </commentList>
</comments>
</file>

<file path=xl/sharedStrings.xml><?xml version="1.0" encoding="utf-8"?>
<sst xmlns="http://schemas.openxmlformats.org/spreadsheetml/2006/main" count="2395" uniqueCount="1302">
  <si>
    <t>1/ Fixed Maintenance costs are assumed to be 50% parts, 25% labor, 25% consumables.</t>
  </si>
  <si>
    <t>0..</t>
  </si>
  <si>
    <t>GE LM6000 - Major Maintenance Reserve</t>
  </si>
  <si>
    <t>Gas Fired Operation</t>
  </si>
  <si>
    <t>Project Life</t>
  </si>
  <si>
    <t>Years</t>
  </si>
  <si>
    <t>Lease Club Membership Fees Not Included</t>
  </si>
  <si>
    <t>total cost</t>
  </si>
  <si>
    <t>cost per engine</t>
  </si>
  <si>
    <t>Total Number of Installed Units</t>
  </si>
  <si>
    <t>cost per year</t>
  </si>
  <si>
    <t>cost per FIRED hour</t>
  </si>
  <si>
    <t>Inputs</t>
  </si>
  <si>
    <t>Annual Lease Club Fees</t>
  </si>
  <si>
    <t>per engine</t>
  </si>
  <si>
    <t>$201,368 for LM6000 DLE (PD) &amp; 20% increase for liquid fuel operation</t>
  </si>
  <si>
    <t xml:space="preserve">Lease Engine Usage Fee </t>
  </si>
  <si>
    <t>per week (1-26 weeks)</t>
  </si>
  <si>
    <t>Preventative Maintenance</t>
  </si>
  <si>
    <t>per year</t>
  </si>
  <si>
    <t>Semi-Annual Preventative Maintenance</t>
  </si>
  <si>
    <t>Hot Section Refurbishment / 24,000 hrs</t>
  </si>
  <si>
    <t>per GT</t>
  </si>
  <si>
    <t>excludes DLE adder</t>
  </si>
  <si>
    <t>Engine Refurbishment / 48,000 hrs</t>
  </si>
  <si>
    <t>excluding 20% adder for DLN</t>
  </si>
  <si>
    <t>Labor &amp; Engineering / Hot Section</t>
  </si>
  <si>
    <t>Travel &amp; diem for GE personnel</t>
  </si>
  <si>
    <t>Labor &amp; Engineering / Major</t>
  </si>
  <si>
    <t>Dispatch</t>
  </si>
  <si>
    <t>Fired hrs/yr</t>
  </si>
  <si>
    <t>Year</t>
  </si>
  <si>
    <t>Hours (EOY)</t>
  </si>
  <si>
    <t>Maint Inspection (C, H or M)</t>
  </si>
  <si>
    <t>Comb., Hot Sec &amp; Major Maint. Cost</t>
  </si>
  <si>
    <t>Preventative Miantenance</t>
  </si>
  <si>
    <t>Labor &amp; Engineering</t>
  </si>
  <si>
    <t>Lease Program</t>
  </si>
  <si>
    <t>Lease Engine Usage Fee</t>
  </si>
  <si>
    <t>Yearly Totals</t>
  </si>
  <si>
    <t>Assumptions:</t>
  </si>
  <si>
    <t>1. Hot Gas Path inspection conducted at 25,000 fired hour intervals and Major at 50,000 hour intervals.</t>
  </si>
  <si>
    <t>3. Maintenance and lease costs from George Graham/Stewart &amp; Stevenson 12/10/99 e-mail.</t>
  </si>
  <si>
    <t>BASE LOAD CASE</t>
  </si>
  <si>
    <t>Lease Club Membership Fees Included</t>
  </si>
  <si>
    <t>48,000 hour engine refurbishment assumes assumes 12 week usage of lease engine</t>
  </si>
  <si>
    <t>(rotable exchnage)</t>
  </si>
  <si>
    <t>Maint Inspection (H or M)</t>
  </si>
  <si>
    <t>H</t>
  </si>
  <si>
    <t>Hot Sec &amp; Major Maint.</t>
  </si>
  <si>
    <t>1. Hot Gas Path inspection conducted at 25,000 fired hour intervals.</t>
  </si>
  <si>
    <t>2. Major inspection conducted at 50,000 fired hour intervals.</t>
  </si>
  <si>
    <r>
      <t>GT&amp;G Operation &amp; Familiarization (equip vendor)</t>
    </r>
    <r>
      <rPr>
        <vertAlign val="superscript"/>
        <sz val="10"/>
        <rFont val="Arial"/>
        <family val="2"/>
      </rPr>
      <t>3</t>
    </r>
  </si>
  <si>
    <t>24) This O&amp;M Estimate does not include the cost of the following items:</t>
  </si>
  <si>
    <t>Familiarization</t>
  </si>
  <si>
    <t xml:space="preserve">                No Charge</t>
  </si>
  <si>
    <t>Level 1 Maintenance (equip. vendor)</t>
  </si>
  <si>
    <t>Level 2 Maintenance (equip. vendor)</t>
  </si>
  <si>
    <t>Boroscope Maintenance (equip. vendor)</t>
  </si>
  <si>
    <t>GTG controls MK VI (equip vendor)</t>
  </si>
  <si>
    <t>Power Plant Basic O&amp;M (2 days)*</t>
  </si>
  <si>
    <t>Introduction to Plant &amp; Systems (3 days)*</t>
  </si>
  <si>
    <t>Equip. Vendor Training - $25M/wk</t>
  </si>
  <si>
    <t>Basic Plant Training (developed in-house) - no added cost</t>
  </si>
  <si>
    <t>Basic Maintenance Training (2 x Mechanics) (At Cincinnati)</t>
  </si>
  <si>
    <t>Major Systems Training (All O&amp;M Personnel) (1 session at site)</t>
  </si>
  <si>
    <t>Control Room Training (All Operators) (1 session at site/other plants)</t>
  </si>
  <si>
    <t>Generator/Excitation Maintenance (equip. vendor)</t>
  </si>
  <si>
    <t xml:space="preserve">Instructor Per diem: # class weeks at site for OEM x 5d/wk x $150/day (1 instructor/class week)  </t>
  </si>
  <si>
    <t>Travel: maintenance techs 8 trips x $1M/trip</t>
  </si>
  <si>
    <t>Travel: Instructors (3 Vendors) x $1M/trip ea</t>
  </si>
  <si>
    <t xml:space="preserve">Maint Techs' Per diem: # techs x # class weeks at OEM site x 5d/wk x $150/day </t>
  </si>
  <si>
    <t>Training/Early Commissioning----------------------------------------------&gt;</t>
  </si>
  <si>
    <t>Recruiting/Procedures/Setup------------------------------------------------------------------------------------------&gt;</t>
  </si>
  <si>
    <t xml:space="preserve">    Technical Direction of Installation (TD of I)</t>
  </si>
  <si>
    <t xml:space="preserve">    Vendor Familiarization Training (Maj. Equip &amp; Controls)</t>
  </si>
  <si>
    <t>Assumed in equipment supply</t>
  </si>
  <si>
    <t xml:space="preserve">    Add'l Major Equip. Vendor </t>
  </si>
  <si>
    <t xml:space="preserve">    O&amp;M requirements</t>
  </si>
  <si>
    <t>Pay &amp; Benefits Calculations</t>
  </si>
  <si>
    <t>Mobilization Period</t>
  </si>
  <si>
    <t>Operating Period</t>
  </si>
  <si>
    <t>Quantity</t>
  </si>
  <si>
    <t>ESOP</t>
  </si>
  <si>
    <t>401(k)</t>
  </si>
  <si>
    <t>Clerk</t>
  </si>
  <si>
    <t>Totals</t>
  </si>
  <si>
    <t xml:space="preserve">     Straight Time</t>
  </si>
  <si>
    <t xml:space="preserve">     Over time</t>
  </si>
  <si>
    <t>ANNUAL</t>
  </si>
  <si>
    <t>HOURS</t>
  </si>
  <si>
    <t>Monthly</t>
  </si>
  <si>
    <t>Use existing plant buildings/offices when necessary</t>
  </si>
  <si>
    <t>LM6000PC package spares</t>
  </si>
  <si>
    <t xml:space="preserve">Employee Lockers </t>
  </si>
  <si>
    <t>Buyer support from other projects</t>
  </si>
  <si>
    <t>Semi-Annual Preventative Maintenance included in annual O&amp;M</t>
  </si>
  <si>
    <t>Misc rentals, Freight, Travel &amp; diem for GE personnel</t>
  </si>
  <si>
    <t>Engine Refurbishment / 50,000 hrs</t>
  </si>
  <si>
    <t>Rotable exchange for the hot section</t>
  </si>
  <si>
    <t>Depot level repair</t>
  </si>
  <si>
    <t>cost per year per engine</t>
  </si>
  <si>
    <t>cost per FIRED hour per engine</t>
  </si>
  <si>
    <t>2. Pricing in 2000 USD. Does not include escalation beyond that.</t>
  </si>
  <si>
    <t>50,000 hour engine refurbishment assumes 16 week usage of lease engine</t>
  </si>
  <si>
    <t>3. Assumes that Owner will not enter the Lease Engine Membership program.</t>
  </si>
  <si>
    <t>4. Maintenance and lease costs from George Graham/GE Mar 2000 e-mail.</t>
  </si>
  <si>
    <t>Operations &amp; Maintenance Cost Estimate</t>
  </si>
  <si>
    <t>Table of Contents</t>
  </si>
  <si>
    <t>Scope</t>
  </si>
  <si>
    <t>Project Scope Description</t>
  </si>
  <si>
    <t>List of Assumptions</t>
  </si>
  <si>
    <t>Summary - Operations &amp; Maintenance Cost Estimate</t>
  </si>
  <si>
    <t>Comparison vs. Other Plants</t>
  </si>
  <si>
    <t>O&amp;M Staff Organization Chart</t>
  </si>
  <si>
    <t>O&amp;M Pre-Mobilization / Mobilization Cost Estimate</t>
  </si>
  <si>
    <t>O&amp;M Staff Mobilization Schedule</t>
  </si>
  <si>
    <t>O&amp;M Staff Mobilization Plan</t>
  </si>
  <si>
    <t>Training Program</t>
  </si>
  <si>
    <t>Assumed Turnkey/Operator/Owner Scope Split</t>
  </si>
  <si>
    <t>Pre-Mob / Mobilization Drawdown Schedule</t>
  </si>
  <si>
    <t>Owners' Engineer</t>
  </si>
  <si>
    <t>Commercial Operations O&amp;M Estimate</t>
  </si>
  <si>
    <t>Contract &amp; Opns Support Staffing Plan</t>
  </si>
  <si>
    <t>Commercial Office Cost Estimate &amp; Staffing Plan</t>
  </si>
  <si>
    <t>Foreign vs. Local Costs</t>
  </si>
  <si>
    <t>O&amp;M Estimate Backup/Detail</t>
  </si>
  <si>
    <t>Major Maintenance Cost Estimate</t>
  </si>
  <si>
    <t>Initial Operating Spares</t>
  </si>
  <si>
    <t>Scope of Work:</t>
  </si>
  <si>
    <t>Location:</t>
  </si>
  <si>
    <t>Ownership:</t>
  </si>
  <si>
    <t>Capacity:</t>
  </si>
  <si>
    <t xml:space="preserve">MW </t>
  </si>
  <si>
    <t>Equipment:</t>
  </si>
  <si>
    <t>SPRINT water injection assumed at a rate of 7.5 gpm</t>
  </si>
  <si>
    <t xml:space="preserve">Water source: </t>
  </si>
  <si>
    <t>(1) induced draft Cooling Tower with circ. water pumps</t>
  </si>
  <si>
    <t>No gas or electric distribution</t>
  </si>
  <si>
    <t>Facilities:</t>
  </si>
  <si>
    <t>Central control room and small lab area</t>
  </si>
  <si>
    <t>Sanitary facilities, to include lockers &amp; showers</t>
  </si>
  <si>
    <t>Fuel:</t>
  </si>
  <si>
    <t>Backup: None</t>
  </si>
  <si>
    <t>Operations Mode:</t>
  </si>
  <si>
    <t>PPA:</t>
  </si>
  <si>
    <t>Schedule:</t>
  </si>
  <si>
    <t xml:space="preserve">Commercial Operations Date: </t>
  </si>
  <si>
    <t>Commercial Office:</t>
  </si>
  <si>
    <t>Costs not included</t>
  </si>
  <si>
    <t>Other Facilities:</t>
  </si>
  <si>
    <t>Barge dock on river for fuel deliveries.</t>
  </si>
  <si>
    <t>Owners Engineer:</t>
  </si>
  <si>
    <t>List of O&amp;M Assumptions</t>
  </si>
  <si>
    <t>1) Base year for all costs and prices herein: current 2000 US $ (no escalation or inflation included).</t>
  </si>
  <si>
    <t>7A)  Type of combustion system to be Standard, non-DLE combustor, with water injection.</t>
  </si>
  <si>
    <t>8) Assume any major schedule maintenance will be performed during off-peak season.</t>
  </si>
  <si>
    <t>9) Gas turbine major scheduled maintenance pricing per GE Pricing catalog (George Graham e-mail dated 3/00).</t>
  </si>
  <si>
    <t xml:space="preserve">12) Water treatment chemicals costs per inhouse estimating model and performance dept tabulations (no Water Balance available). </t>
  </si>
  <si>
    <t>16)  Spare Parts estimate per GE recommended spares for stand alone domestic project, with some assumed adjustments.</t>
  </si>
  <si>
    <t xml:space="preserve">18)  Assumed Scope Split between Turnkey/Startup Contractor and Owner/Operator per enclosed. </t>
  </si>
  <si>
    <t>20)  Owners Engineer: Owner's responsibility (estimate not included).</t>
  </si>
  <si>
    <t>21)  Sustaining capital expenses intended to cover only replacement of initial procurement items at end of their useful life.</t>
  </si>
  <si>
    <t xml:space="preserve">                    </t>
  </si>
  <si>
    <t>Revenue and Property Book Accounting including customer and fuel supplier billing</t>
  </si>
  <si>
    <t>Tax Accounting including preparing Local and US tax returns</t>
  </si>
  <si>
    <t>Annual financial audits by outside auditors.</t>
  </si>
  <si>
    <t xml:space="preserve">Maintaining Bank accounts and treasury functions </t>
  </si>
  <si>
    <t>Commercial contracts and interface with Power Purchasers and Fuel Suppliers</t>
  </si>
  <si>
    <t>Fuel purchasing &amp; supply, logistics and scheduling</t>
  </si>
  <si>
    <t>Government and Public Relations</t>
  </si>
  <si>
    <t>Legal and contractual requirements</t>
  </si>
  <si>
    <t>Project Human resources (compensation and benefits plans)</t>
  </si>
  <si>
    <t>Interface with Lenders and Partners regarding funding and information requests</t>
  </si>
  <si>
    <t>Budgeting, Operating and Capital planning (Operator to provide plans per contract)</t>
  </si>
  <si>
    <t xml:space="preserve">Water rights and water usage costs </t>
  </si>
  <si>
    <t>Purchased (backfeed) power and other purchased utilities</t>
  </si>
  <si>
    <t>Buildings:  Administration, Warehouse and Shop facilities</t>
  </si>
  <si>
    <t>Operating or Environmental Permits</t>
  </si>
  <si>
    <t>Communications facilities (internal &amp; external)</t>
  </si>
  <si>
    <t>Security (At Owner's discretion)</t>
  </si>
  <si>
    <t>(US $)</t>
  </si>
  <si>
    <t>Expenses before Commercial Operation:</t>
  </si>
  <si>
    <t>US $</t>
  </si>
  <si>
    <t>O&amp;M Pre-Mobilization / Mobilization Expenses</t>
  </si>
  <si>
    <t>Pre-Mobilization Expenses</t>
  </si>
  <si>
    <t>Mobilization Payroll and Burden</t>
  </si>
  <si>
    <t>Mobilization Operating Expenses</t>
  </si>
  <si>
    <t>Mobilization Procurement Expenses</t>
  </si>
  <si>
    <t>Total O&amp;M Pre-Mobilization / Mobilization Expenses</t>
  </si>
  <si>
    <t>Housing Colony Mobilization Expenses</t>
  </si>
  <si>
    <t>NA</t>
  </si>
  <si>
    <t xml:space="preserve">Initial Operating Spares </t>
  </si>
  <si>
    <t xml:space="preserve">O&amp;M Mobilization Period Fee </t>
  </si>
  <si>
    <t>Operator Overhead Charge (G&amp;A)</t>
  </si>
  <si>
    <t>Expenses during Commercial Operation:</t>
  </si>
  <si>
    <t>Year 1</t>
  </si>
  <si>
    <t>Years 2+</t>
  </si>
  <si>
    <t>O&amp;M Expenses</t>
  </si>
  <si>
    <t>Payroll and Burden</t>
  </si>
  <si>
    <t>Administration &amp; Operations Expenses</t>
  </si>
  <si>
    <t>Maintenance Expenses (excl. GT Scheduled Maint. Program)</t>
  </si>
  <si>
    <t>Sustaining Capital Expenses</t>
  </si>
  <si>
    <t>Total O&amp;M Expenses (ex GT Scheduled Maint.)</t>
  </si>
  <si>
    <t>GT Lease Program Annual Membership (1 unit)</t>
  </si>
  <si>
    <t>Housing Colony Operating Expenses</t>
  </si>
  <si>
    <t xml:space="preserve">O&amp;M Annual Operating Fee </t>
  </si>
  <si>
    <t>O&amp;M Pre-Mobilization Expenses</t>
  </si>
  <si>
    <t>Mobilization Payroll &amp; Burden</t>
  </si>
  <si>
    <t>Employee Expenses</t>
  </si>
  <si>
    <t>Recruiting Expenses</t>
  </si>
  <si>
    <t>Relocation Expenses</t>
  </si>
  <si>
    <t>Outside Services</t>
  </si>
  <si>
    <t>Other Supplies &amp; Expenses</t>
  </si>
  <si>
    <t>Communications</t>
  </si>
  <si>
    <t>Temporary Offices/Facilities</t>
  </si>
  <si>
    <t>Training</t>
  </si>
  <si>
    <t>Manuals &amp; Procedures</t>
  </si>
  <si>
    <t>Permits</t>
  </si>
  <si>
    <t>Insurance</t>
  </si>
  <si>
    <t>Operations Support Personnel</t>
  </si>
  <si>
    <t>Total Mobilization Operating Expenses</t>
  </si>
  <si>
    <t>Office Furnishings &amp; Equipment</t>
  </si>
  <si>
    <t>Safety &amp; Environmental Equipment</t>
  </si>
  <si>
    <t xml:space="preserve">Vehicles &amp; Mobile Equipment </t>
  </si>
  <si>
    <t>Warehouse Furnishings &amp; Equipment</t>
  </si>
  <si>
    <t>Laboratory Equipment</t>
  </si>
  <si>
    <t>Shop Tools &amp; Equipment</t>
  </si>
  <si>
    <t>Chemicals, Lubricants, Hydraulic Fluids</t>
  </si>
  <si>
    <t>Total Mobilization Procurement Expenses</t>
  </si>
  <si>
    <t>O&amp;M Mobilization Period Fee</t>
  </si>
  <si>
    <t>Staff Mobilization Schedule</t>
  </si>
  <si>
    <t>MOB. MONTHS</t>
  </si>
  <si>
    <t>COD</t>
  </si>
  <si>
    <t>SCHEDULE</t>
  </si>
  <si>
    <t>Commissioning/Startup---------&gt;</t>
  </si>
  <si>
    <t>PLANT MANAGER</t>
  </si>
  <si>
    <t>CLERK</t>
  </si>
  <si>
    <t>O&amp;M SUPERVISOR</t>
  </si>
  <si>
    <t>FACILITY NEEDS</t>
  </si>
  <si>
    <t>ADMINISTRATION FACILITIES</t>
  </si>
  <si>
    <t>OFFICE EQUIPMENT</t>
  </si>
  <si>
    <t>WAREHOUSE/SHOP</t>
  </si>
  <si>
    <t>VEHICLES</t>
  </si>
  <si>
    <t>TRAINING FACILITIES</t>
  </si>
  <si>
    <t>TOOLS AND O&amp;M EQUIPMENT</t>
  </si>
  <si>
    <t>Staff</t>
  </si>
  <si>
    <t>Number</t>
  </si>
  <si>
    <t>Salary &amp;</t>
  </si>
  <si>
    <t>Total Salary</t>
  </si>
  <si>
    <t>No.</t>
  </si>
  <si>
    <t>Area</t>
  </si>
  <si>
    <t>of</t>
  </si>
  <si>
    <t>Benefits</t>
  </si>
  <si>
    <t>&amp; Benefits</t>
  </si>
  <si>
    <t>Personnel</t>
  </si>
  <si>
    <t>A,O or M</t>
  </si>
  <si>
    <t>Months</t>
  </si>
  <si>
    <t>US$/Month</t>
  </si>
  <si>
    <t>A</t>
  </si>
  <si>
    <t>MAINTENANCE MANAGER</t>
  </si>
  <si>
    <t>M</t>
  </si>
  <si>
    <t xml:space="preserve">PURCHASING / WAREHOUSE </t>
  </si>
  <si>
    <t>PLANT SUPERVISOR</t>
  </si>
  <si>
    <t>O,M</t>
  </si>
  <si>
    <t>TECHNICIAN III</t>
  </si>
  <si>
    <t>TECHNICIAN II</t>
  </si>
  <si>
    <t>TOTALS</t>
  </si>
  <si>
    <t>Note:</t>
  </si>
  <si>
    <t>Class</t>
  </si>
  <si>
    <t>Weeks</t>
  </si>
  <si>
    <t xml:space="preserve"> Weeks</t>
  </si>
  <si>
    <t>$M</t>
  </si>
  <si>
    <t>New Employee Orientation (1 day) *</t>
  </si>
  <si>
    <t>Plant Safety/Environmental/Firefighting (3 days) *</t>
  </si>
  <si>
    <t>Boiler Familiarization &amp; Operation (general vendor)</t>
  </si>
  <si>
    <t/>
  </si>
  <si>
    <t>Boiler controls (general vendor)</t>
  </si>
  <si>
    <t>Electrical System Maintenance (general vendor)</t>
  </si>
  <si>
    <t>DCS Maint. (equip. vendor)</t>
  </si>
  <si>
    <t>Total Class Training Cost</t>
  </si>
  <si>
    <t>Travel, lodging, facilities, misc.</t>
  </si>
  <si>
    <t>On site Training Coordinator/Instructor (4 wks x $2600/wk incl per diem + $1M travel) *</t>
  </si>
  <si>
    <t>Total Training Cost Estimate</t>
  </si>
  <si>
    <t>Net Training Cost Estimate ($M) for Operator/Owner</t>
  </si>
  <si>
    <t>Notes:</t>
  </si>
  <si>
    <t>1. Assumed cost of training (instructor, training materials, aids, manuals, etc.):</t>
  </si>
  <si>
    <t xml:space="preserve">        </t>
  </si>
  <si>
    <t>General Vendor Training - $8M/wk</t>
  </si>
  <si>
    <t>2. The asterisk (*) denotes training and expenses provided by Operator</t>
  </si>
  <si>
    <t>Assumed Turnkey/O&amp;M/Owner Scope Split</t>
  </si>
  <si>
    <t>Turnkey/</t>
  </si>
  <si>
    <t>Startup</t>
  </si>
  <si>
    <t>O&amp;M</t>
  </si>
  <si>
    <t>Owner</t>
  </si>
  <si>
    <t>Remarks/Comments</t>
  </si>
  <si>
    <t>OPERATING EXPENSES (pre-COD):</t>
  </si>
  <si>
    <t>Payroll and Benefits</t>
  </si>
  <si>
    <t xml:space="preserve">    for Owner Personnel</t>
  </si>
  <si>
    <t>x</t>
  </si>
  <si>
    <t xml:space="preserve">    for O&amp;M Personnel</t>
  </si>
  <si>
    <t xml:space="preserve">    for Turnkey/Startup Personnel</t>
  </si>
  <si>
    <t>Employee Expenses/Recruiting/Relocation</t>
  </si>
  <si>
    <t xml:space="preserve">    Vendor reps &amp; startup services</t>
  </si>
  <si>
    <t xml:space="preserve">    Security before COD</t>
  </si>
  <si>
    <t xml:space="preserve">    Security after COD</t>
  </si>
  <si>
    <t xml:space="preserve">    O&amp;M related services</t>
  </si>
  <si>
    <t xml:space="preserve">    Reliability Availability Maintainability (RAM) Study</t>
  </si>
  <si>
    <t>At Owner's discretion</t>
  </si>
  <si>
    <t xml:space="preserve">    Process Hazards Analysis (HAZOP)</t>
  </si>
  <si>
    <t>Communications (phone bills, etc.)</t>
  </si>
  <si>
    <t xml:space="preserve">    for Startup Personnel</t>
  </si>
  <si>
    <t>Offices/Buildings/Facilities (temporary)</t>
  </si>
  <si>
    <t xml:space="preserve">    for O&amp;M Personnel (admin, training, etc.)</t>
  </si>
  <si>
    <t xml:space="preserve">    for Startup/Commissioning Personnel</t>
  </si>
  <si>
    <t>Training for O&amp;M Personnel *</t>
  </si>
  <si>
    <t xml:space="preserve">    OJT during startup/commissioning</t>
  </si>
  <si>
    <t xml:space="preserve">    Basic Power Plant Training (&amp; all other training) </t>
  </si>
  <si>
    <t>Permits/Insurance</t>
  </si>
  <si>
    <t xml:space="preserve">    Construction &amp; Startup Contractor's name</t>
  </si>
  <si>
    <t>need permit matrix</t>
  </si>
  <si>
    <t xml:space="preserve">    Operator's name</t>
  </si>
  <si>
    <t>"</t>
  </si>
  <si>
    <t xml:space="preserve">    Owner's name</t>
  </si>
  <si>
    <t>Manuals, Procedures and Plans</t>
  </si>
  <si>
    <t xml:space="preserve">    Startup/Commissioning Plans &amp; Procedures</t>
  </si>
  <si>
    <t xml:space="preserve">    Job Data books</t>
  </si>
  <si>
    <t xml:space="preserve">    Engineering drawings (incl. "as builts")</t>
  </si>
  <si>
    <t>AutoCad 14 (or apprvd substitute)</t>
  </si>
  <si>
    <t xml:space="preserve">    Systems Descriptions</t>
  </si>
  <si>
    <t xml:space="preserve">    Test procedures &amp; report</t>
  </si>
  <si>
    <t xml:space="preserve">    O&amp;M Procedures</t>
  </si>
  <si>
    <t xml:space="preserve">    Admin and all other Plant procedures</t>
  </si>
  <si>
    <t>Punchlist resolution</t>
  </si>
  <si>
    <t>with O&amp;M walkdown</t>
  </si>
  <si>
    <t>Purchase and transportation of fuel to plant (startup)</t>
  </si>
  <si>
    <t>Schedule fuel deliveries from supplier</t>
  </si>
  <si>
    <t>Purchase of turbine generator startup power (backfeed)</t>
  </si>
  <si>
    <t>Purchase of construction power (from fence line)</t>
  </si>
  <si>
    <t>Purchase and delivery of Process water (hydrotests, etc)</t>
  </si>
  <si>
    <t>Steam Blows</t>
  </si>
  <si>
    <t>na</t>
  </si>
  <si>
    <t>Chemical Cleaning (including disposal)</t>
  </si>
  <si>
    <t>Oil Flushes</t>
  </si>
  <si>
    <t>*  O&amp;M has overall responsibility for training O&amp;M personnel, but Major Equip. Vendor training (for CT,  Chillers, Water</t>
  </si>
  <si>
    <t>27) Cooling Tower chemicals cost estimate assumes 3 cycles, 17,000 gpm flow rate and 10 deg F range. No water balance available for project</t>
  </si>
  <si>
    <r>
      <t>Water Systems &amp; Chemistry (general vendor)</t>
    </r>
    <r>
      <rPr>
        <vertAlign val="superscript"/>
        <sz val="10"/>
        <rFont val="Arial"/>
        <family val="2"/>
      </rPr>
      <t>4,5</t>
    </r>
  </si>
  <si>
    <t xml:space="preserve">   Treatment/Desal, and DCS) will be provided under the major equip. purchase orders (with O&amp;M participation in scoping).</t>
  </si>
  <si>
    <t>Warranty Implementation</t>
  </si>
  <si>
    <t>O&amp;M/Owner participate</t>
  </si>
  <si>
    <t>Pre-Mobilization expenses</t>
  </si>
  <si>
    <t xml:space="preserve">    O&amp;M engineering review/comments</t>
  </si>
  <si>
    <t xml:space="preserve">    Operating plans/budgets/estimates</t>
  </si>
  <si>
    <t xml:space="preserve">    Other Owner directed O&amp;M services</t>
  </si>
  <si>
    <t>Fuel/water quality checking (pre-COD)</t>
  </si>
  <si>
    <t>Procurement Expenses:</t>
  </si>
  <si>
    <t xml:space="preserve">    Stationary items (built-ins)</t>
  </si>
  <si>
    <t xml:space="preserve">    PABX (internal) telephone system &amp; wiring</t>
  </si>
  <si>
    <t xml:space="preserve">    LAN wiring</t>
  </si>
  <si>
    <t xml:space="preserve">    External communications (satellite dish)</t>
  </si>
  <si>
    <t xml:space="preserve">    Office/Building furniture</t>
  </si>
  <si>
    <t xml:space="preserve">    Office equipment (copiers, fax, etc.)</t>
  </si>
  <si>
    <t xml:space="preserve">    Computer hardware/software</t>
  </si>
  <si>
    <t xml:space="preserve">    CMMS computer system (incl training)</t>
  </si>
  <si>
    <t>Safety &amp; Environmental equipment</t>
  </si>
  <si>
    <t>Makeup to Reverse Osmosis</t>
  </si>
  <si>
    <t>216 gpm</t>
  </si>
  <si>
    <t>Makeup to Cooling Tower</t>
  </si>
  <si>
    <t>192 gpm</t>
  </si>
  <si>
    <t>Service Water</t>
  </si>
  <si>
    <t xml:space="preserve">  10 gpm</t>
  </si>
  <si>
    <t>Potable Water</t>
  </si>
  <si>
    <t xml:space="preserve">    2 gpm</t>
  </si>
  <si>
    <t>Blowdown from CoolingTower</t>
  </si>
  <si>
    <t xml:space="preserve">  41 gpm</t>
  </si>
  <si>
    <t>Wastewater Costs</t>
  </si>
  <si>
    <t>Supply</t>
  </si>
  <si>
    <t>Waste</t>
  </si>
  <si>
    <t>Waste Water Costs</t>
  </si>
  <si>
    <t xml:space="preserve">    Permanent Fire protection</t>
  </si>
  <si>
    <t xml:space="preserve">    Portable fire extinguishers (for offices &amp; buildings)</t>
  </si>
  <si>
    <t xml:space="preserve">    Portable fire extinguishers (exterior)</t>
  </si>
  <si>
    <t xml:space="preserve">    Safety showers/eye washes</t>
  </si>
  <si>
    <t xml:space="preserve">    Permanent Environmental testing equip.</t>
  </si>
  <si>
    <t xml:space="preserve">    Portable Environmental testing equip.</t>
  </si>
  <si>
    <t xml:space="preserve">    O&amp;M Personnel Safety/First Aid  equip.</t>
  </si>
  <si>
    <t>Vehicles &amp; Mobile Equipment</t>
  </si>
  <si>
    <t xml:space="preserve">    Construction/Startup Contractor requirements</t>
  </si>
  <si>
    <t>Warehouse/Shop Furnishings &amp; Equipment</t>
  </si>
  <si>
    <t xml:space="preserve">    Stationary items incl hoists (built-ins)</t>
  </si>
  <si>
    <t xml:space="preserve">    Non-stationary items (bins, furniture, etc.)</t>
  </si>
  <si>
    <t>Process Monitoring &amp; Laboratory Equipment</t>
  </si>
  <si>
    <t xml:space="preserve">    Installed analyzers/instruments</t>
  </si>
  <si>
    <t xml:space="preserve">    Stationary lab items (vent hoods, lab benches, etc.) </t>
  </si>
  <si>
    <t xml:space="preserve">    Analytical equipment, glassware, etc.</t>
  </si>
  <si>
    <t>Shop Tools and Equipment</t>
  </si>
  <si>
    <t xml:space="preserve">    Machine shop/Instrument shop tools</t>
  </si>
  <si>
    <t xml:space="preserve">    Maint. (incl I/C&amp;E) test equipment</t>
  </si>
  <si>
    <t xml:space="preserve">    Work benches, storage bins</t>
  </si>
  <si>
    <t xml:space="preserve">    Hand tools for O&amp;M personnel</t>
  </si>
  <si>
    <t xml:space="preserve">    Hand tools for Startup personnel</t>
  </si>
  <si>
    <t>Special Tools</t>
  </si>
  <si>
    <t xml:space="preserve">    Startup, Std Vendor supply</t>
  </si>
  <si>
    <t xml:space="preserve">    Optional vendor supply</t>
  </si>
  <si>
    <t xml:space="preserve">Incl with Vendor PO </t>
  </si>
  <si>
    <t>Chemicals, Lubricants, Fluids</t>
  </si>
  <si>
    <t xml:space="preserve">    Initial equipment/vessel fill</t>
  </si>
  <si>
    <t xml:space="preserve">    Consumption (pre-COD)</t>
  </si>
  <si>
    <t xml:space="preserve">    Consumption (post-COD)</t>
  </si>
  <si>
    <t xml:space="preserve">    Warehouse stock</t>
  </si>
  <si>
    <t>Spare parts*</t>
  </si>
  <si>
    <t xml:space="preserve">    Capital (Overhaul) Spares for major equip.</t>
  </si>
  <si>
    <t>In Owner's scope to accrue</t>
  </si>
  <si>
    <t xml:space="preserve">    Operating (Initial) Spares for major equip.</t>
  </si>
  <si>
    <t xml:space="preserve">    Warehouse stock &amp; BOP spare parts</t>
  </si>
  <si>
    <t>Installed Cranes</t>
  </si>
  <si>
    <t>* Turbine spare parts will be purchased based on competitive bids as part of and prior to Turbine vendors selection;</t>
  </si>
  <si>
    <t xml:space="preserve">   actual parts purchased will be approved by Owner.</t>
  </si>
  <si>
    <t>EstimateSummary</t>
  </si>
  <si>
    <t>Group Item</t>
  </si>
  <si>
    <t>Budget Item</t>
  </si>
  <si>
    <t>Line Item</t>
  </si>
  <si>
    <t>Detail/Basis</t>
  </si>
  <si>
    <t>Total (US $)</t>
  </si>
  <si>
    <t>LOCAL</t>
  </si>
  <si>
    <t>FOREIGN</t>
  </si>
  <si>
    <t>Calculation and Note Area</t>
  </si>
  <si>
    <t>O&amp;M Pre-Mobilization / Mobilization Estimate Backup/Detail</t>
  </si>
  <si>
    <t>O&amp;M Mobilization BudgetOperating ExpensesPublic Relations Title</t>
  </si>
  <si>
    <t>O&amp;M Mobilization Budget</t>
  </si>
  <si>
    <t>Operating Expenses</t>
  </si>
  <si>
    <t>Public Relations</t>
  </si>
  <si>
    <t>Recruiting PM</t>
  </si>
  <si>
    <t>payroll</t>
  </si>
  <si>
    <t>Plant Manager - 1 month pay/benefits</t>
  </si>
  <si>
    <t>2 trips x $1000/trip+ $150/day x 30 days</t>
  </si>
  <si>
    <t>O&amp;M Mobilization BudgetOperating ExpensesPublic Relations Total</t>
  </si>
  <si>
    <t>(Assumes Mob period begins COD less 6 months)</t>
  </si>
  <si>
    <t>Sub-Total</t>
  </si>
  <si>
    <t>O&amp;M Mobilization BudgetOperating ExpensesPayroll with burden Title</t>
  </si>
  <si>
    <t>Payroll with burden</t>
  </si>
  <si>
    <t>Total Company Payroll with benefits and 20% overtime on Opns/Maint.</t>
  </si>
  <si>
    <t xml:space="preserve">  (See detailed PltMobStaff schedule)</t>
  </si>
  <si>
    <t>O&amp;M Mobilization BudgetOperating ExpensesPayroll with burden Total</t>
  </si>
  <si>
    <t>O&amp;M Mobilization BudgetOperating ExpensesEmployee Expenses Title</t>
  </si>
  <si>
    <t>Travel related to Plant Mobilization</t>
  </si>
  <si>
    <t>Misc. (OT meals, Conferences,etc.)</t>
  </si>
  <si>
    <t>$200/month x 6 months</t>
  </si>
  <si>
    <t>Dues, Misc</t>
  </si>
  <si>
    <t>O&amp;M Mobilization BudgetOperating ExpensesEmployee Expenses Total</t>
  </si>
  <si>
    <t>O&amp;M Mobilization BudgetOperating ExpensesRecruiting Expenses Title</t>
  </si>
  <si>
    <t>HR/Home office support</t>
  </si>
  <si>
    <t>Advertisements</t>
  </si>
  <si>
    <t>Screening Tests</t>
  </si>
  <si>
    <t>$200/employee</t>
  </si>
  <si>
    <t>Misc expenses</t>
  </si>
  <si>
    <t>reproduction, postage, etc</t>
  </si>
  <si>
    <t>O&amp;M Mobilization BudgetOperating ExpensesRecruiting Expenses Total</t>
  </si>
  <si>
    <t>O&amp;M Mobilization BudgetOperating ExpensesRelocation Expenses Title</t>
  </si>
  <si>
    <t>Technician III (assume 1 needed)</t>
  </si>
  <si>
    <t>Rest of staff assumed obtained locally</t>
  </si>
  <si>
    <t>O&amp;M Mobilization BudgetOperating ExpensesRelocation Expenses Total</t>
  </si>
  <si>
    <t>O&amp;M Mobilization BudgetOperating ExpensesOutside Services Title</t>
  </si>
  <si>
    <t>Guards</t>
  </si>
  <si>
    <t>Turnkey responsibility</t>
  </si>
  <si>
    <t>Groundskeepers</t>
  </si>
  <si>
    <t>Janitors</t>
  </si>
  <si>
    <t>Legal</t>
  </si>
  <si>
    <t>Tax</t>
  </si>
  <si>
    <t>Accounting</t>
  </si>
  <si>
    <t>Safety</t>
  </si>
  <si>
    <t>Environmental</t>
  </si>
  <si>
    <t>Management</t>
  </si>
  <si>
    <t>Technical/Professional</t>
  </si>
  <si>
    <t>Trash/Waste Disposal</t>
  </si>
  <si>
    <t>Electrical Testing/Calibration</t>
  </si>
  <si>
    <t>Uniform services</t>
  </si>
  <si>
    <t>Office Equipment Maintenance</t>
  </si>
  <si>
    <t>Warehouse temporaries</t>
  </si>
  <si>
    <t>$20/hr x 160 hrs</t>
  </si>
  <si>
    <t>O&amp;M Mobilization BudgetOperating ExpensesOutside Services Total</t>
  </si>
  <si>
    <t>O&amp;M Mobilization BudgetOperating ExpensesOther Supplies &amp; Expenses Title</t>
  </si>
  <si>
    <t>Postage &amp; Freight</t>
  </si>
  <si>
    <t>$100/month x 6 months</t>
  </si>
  <si>
    <t>Office &amp; Misc. Supplies (usage)</t>
  </si>
  <si>
    <t>$500/month x 5 months</t>
  </si>
  <si>
    <t>Vehicle fuel and maint</t>
  </si>
  <si>
    <t>1 vehicles x 5 months x 1000miles/month x $1.5/14 miles + $500</t>
  </si>
  <si>
    <t>Janitorial Supplies (usage)</t>
  </si>
  <si>
    <t>Bldg. Utilities (water, power, gas)</t>
  </si>
  <si>
    <t>5 months x $500/month</t>
  </si>
  <si>
    <t>O&amp;M Mobilization BudgetOperating ExpensesOther Supplies &amp; Expenses Total</t>
  </si>
  <si>
    <t>O&amp;M Mobilization BudgetOperating ExpensesCommunications Title</t>
  </si>
  <si>
    <t xml:space="preserve">Phone Service </t>
  </si>
  <si>
    <t>5 months x $500/month (excludes cellular service)</t>
  </si>
  <si>
    <t>Cellular Phones</t>
  </si>
  <si>
    <t>O&amp;M Mobilization BudgetOperating ExpensesCommunications Total</t>
  </si>
  <si>
    <t>O&amp;M Mobilization BudgetOperating ExpensesMiscellaneous Office Expenses Title</t>
  </si>
  <si>
    <t>Miscellaneous Office Expenses</t>
  </si>
  <si>
    <t>Office Bldgs.</t>
  </si>
  <si>
    <t>Trailers (admin only, ex training)</t>
  </si>
  <si>
    <t>Sanitary facilities</t>
  </si>
  <si>
    <t>Misc. Furnishings</t>
  </si>
  <si>
    <t>Temporary Living Quarters</t>
  </si>
  <si>
    <t>O&amp;M Mobilization BudgetOperating ExpensesMiscellaneous Office Expenses Total</t>
  </si>
  <si>
    <t>O&amp;M Mobilization BudgetOperating ExpensesTraining Title</t>
  </si>
  <si>
    <t>Basic Plant Training</t>
  </si>
  <si>
    <t>See Training sheet</t>
  </si>
  <si>
    <t>Major Systems Training</t>
  </si>
  <si>
    <t>Plant Chemistry</t>
  </si>
  <si>
    <t>Control Room Training</t>
  </si>
  <si>
    <t>Basic Maintenance</t>
  </si>
  <si>
    <t>Electrical/Controls Maintenance</t>
  </si>
  <si>
    <t>Additional Vendor Training</t>
  </si>
  <si>
    <t>Per diem for instructors</t>
  </si>
  <si>
    <t>Facilities (trailer rental, hall)</t>
  </si>
  <si>
    <t xml:space="preserve">Travel </t>
  </si>
  <si>
    <t>Training Coordinator</t>
  </si>
  <si>
    <t>Additional Manuals/Documents</t>
  </si>
  <si>
    <t>Miscellaneous</t>
  </si>
  <si>
    <t>Translation</t>
  </si>
  <si>
    <t>O&amp;M Mobilization BudgetOperating ExpensesTraining Total</t>
  </si>
  <si>
    <t>O&amp;M Mobilization BudgetOperating ExpensesManuals/Operating Procedures Title</t>
  </si>
  <si>
    <t>Manuals/Operating Procedures</t>
  </si>
  <si>
    <t>Administration</t>
  </si>
  <si>
    <t>Operations check lists</t>
  </si>
  <si>
    <t xml:space="preserve">Maintenance </t>
  </si>
  <si>
    <t>Maintenance/CMMS (excluding data)</t>
  </si>
  <si>
    <t>Warehouse/Inventory</t>
  </si>
  <si>
    <t>Emergency Plans</t>
  </si>
  <si>
    <t>40 mandays @$400/manday</t>
  </si>
  <si>
    <t>Safety and Health</t>
  </si>
  <si>
    <t>Environmental Compliance</t>
  </si>
  <si>
    <t>Utility dispatch</t>
  </si>
  <si>
    <t>10 mandays @$400/manday</t>
  </si>
  <si>
    <t>Government Reporting</t>
  </si>
  <si>
    <t>Owner Reports</t>
  </si>
  <si>
    <t>Reproduction/Printing</t>
  </si>
  <si>
    <t>Freight</t>
  </si>
  <si>
    <t>5% of Reproduction cost</t>
  </si>
  <si>
    <t>O&amp;M Mobilization BudgetOperating ExpensesManuals/Operating Procedures Total</t>
  </si>
  <si>
    <t>O&amp;M Mobilization BudgetOperating ExpensesPermits Title</t>
  </si>
  <si>
    <t>Owner's Scope of Supply</t>
  </si>
  <si>
    <t>O&amp;M Mobilization BudgetOperating ExpensesPermits Total</t>
  </si>
  <si>
    <t>O&amp;M Mobilization BudgetOperating ExpensesInsurance Title</t>
  </si>
  <si>
    <t>Operator's Insurance</t>
  </si>
  <si>
    <t>O&amp;M Mobilization BudgetOperating ExpensesInsurance Total</t>
  </si>
  <si>
    <t>1ea.x$350/dayx30days (includes benefits)</t>
  </si>
  <si>
    <t xml:space="preserve">    Per diem </t>
  </si>
  <si>
    <t>1ea.x$125/dayx30days</t>
  </si>
  <si>
    <t xml:space="preserve">    Home leave, travel</t>
  </si>
  <si>
    <t>1ea.x$1000 tripx1trips (coach class)</t>
  </si>
  <si>
    <t>Basis: 1 Operating Engineer as operations support 1 months prior to COD</t>
  </si>
  <si>
    <t>O&amp;M Mobilization BudgetProcurement ExpensesOffice Furnishings, Equipment, Supplies Title</t>
  </si>
  <si>
    <t>Procurement Expenses</t>
  </si>
  <si>
    <t>Office Furnishings, Equipment, Supplies</t>
  </si>
  <si>
    <t>Offices (desk, chair, table, misc)</t>
  </si>
  <si>
    <t>4ea @ $800/set</t>
  </si>
  <si>
    <t>Chairs - misc.</t>
  </si>
  <si>
    <t>10ea @ $150</t>
  </si>
  <si>
    <t>Bookshelves</t>
  </si>
  <si>
    <t>10ea @ $75</t>
  </si>
  <si>
    <t>File Cabinets</t>
  </si>
  <si>
    <t>4ea @ $200</t>
  </si>
  <si>
    <t>Storage Shelves/Cabinets</t>
  </si>
  <si>
    <t>10ea @ $50</t>
  </si>
  <si>
    <t>Conference Room (table &amp; chairs)</t>
  </si>
  <si>
    <t>Lunch Room - Tables</t>
  </si>
  <si>
    <t>1ea @ $150</t>
  </si>
  <si>
    <t>Lunch Room - Chairs</t>
  </si>
  <si>
    <t>6ea @ $75</t>
  </si>
  <si>
    <t>Lunch Room - Microwave</t>
  </si>
  <si>
    <t>Lunch Room - Coffee Pot</t>
  </si>
  <si>
    <t>1 ea. @ $150</t>
  </si>
  <si>
    <t>Lunch Room - Refrig.</t>
  </si>
  <si>
    <t>1 ea @ $750</t>
  </si>
  <si>
    <t>Lunch Room - Misc</t>
  </si>
  <si>
    <t>Computer Tables</t>
  </si>
  <si>
    <t>5ea @ $200</t>
  </si>
  <si>
    <t>Computers w printers</t>
  </si>
  <si>
    <t>5ea @ $3000</t>
  </si>
  <si>
    <t>Systems Software</t>
  </si>
  <si>
    <t>5ea @ $500</t>
  </si>
  <si>
    <t xml:space="preserve">for one gas-fired LM6000 simple cycle peaking facility </t>
  </si>
  <si>
    <t xml:space="preserve">Full Operations and Maintenance services during the Operating Period </t>
  </si>
  <si>
    <t>Water injection for NOX control assumed at a rate of 44 gpm</t>
  </si>
  <si>
    <t>Distributed Control System provided at site</t>
  </si>
  <si>
    <t>3) Primary fuel to be Pipline Quality Natural Gas below required operating pressures, with no backup fuel.</t>
  </si>
  <si>
    <t>4) Water injection for Nox control at an assumed rate of 44 gpm; SPRINT at 7.5 gpm.</t>
  </si>
  <si>
    <t>Staffing Plan</t>
  </si>
  <si>
    <t xml:space="preserve">Fuel </t>
  </si>
  <si>
    <t>St Peter, Illinois (Ameren) Power Project, Rev 0</t>
  </si>
  <si>
    <t>St Peter, Illinois</t>
  </si>
  <si>
    <t>approx 70 miles East of St Louis</t>
  </si>
  <si>
    <t>Ameren to fully own and operate</t>
  </si>
  <si>
    <t>GE LM6000 PC SPRINT Gas Turbine packages with standard combustor (non-DLE)</t>
  </si>
  <si>
    <t>Fired Hours per year:</t>
  </si>
  <si>
    <t>No Winter season dispatch anticipated</t>
  </si>
  <si>
    <t>May - September dispatch season</t>
  </si>
  <si>
    <t>Selective Catalytic Reduction units</t>
  </si>
  <si>
    <t>Yes</t>
  </si>
  <si>
    <t>Gas compressors?:</t>
  </si>
  <si>
    <t>Chillers with condenser and chilled water pumps:</t>
  </si>
  <si>
    <t>Demin system: Reverse Osmosis and mixed bed equipment</t>
  </si>
  <si>
    <t xml:space="preserve">Installed </t>
  </si>
  <si>
    <t xml:space="preserve">Primary: </t>
  </si>
  <si>
    <t>Pipeline Quality Natural Gas</t>
  </si>
  <si>
    <t xml:space="preserve">2) O&amp;M personnel salaries and benefits per Enron experience at Wilton Center, no assumed union labor force in the project area. </t>
  </si>
  <si>
    <t xml:space="preserve">6) Gas turbine run hours/year: </t>
  </si>
  <si>
    <t>7)  Gas turbine starts/year:  assumed to be less than 150 per year with the above indicated dispatch schedule.</t>
  </si>
  <si>
    <t>14) Variable costs are based on an annual plant capacity factor of:</t>
  </si>
  <si>
    <t>17)  O&amp;M Staffing plan assumes a seasonal requirement for seven people during the peak season and a "core" staff of four people during the off season. Dispatch is anticipated for 5 summer and shoulder months out of the 12 months. No winter dispatch is anticipated.</t>
  </si>
  <si>
    <t>19) Turnkey Contractor:  Assumed to be Ameren.</t>
  </si>
  <si>
    <t>22) Necessary Admin staff and support are provided by Operator from existing home office resources and other sites.</t>
  </si>
  <si>
    <t>23) Along with O&amp;M Services, Owner to provide Commercial Office function.</t>
  </si>
  <si>
    <t xml:space="preserve">25) </t>
  </si>
  <si>
    <t>28) Estimate makes standard assumptions for labor practices (i.e. O/T after 40hrs/wk). Local labor practices  may differ.</t>
  </si>
  <si>
    <t>26) GT Major Maintenance Program cost per fired hour for the 20 year term is estimated to be:</t>
  </si>
  <si>
    <t>NOTE: A GT Major Maintenance Program accrual figure in cost per fired hour would need to be:</t>
  </si>
  <si>
    <t>h</t>
  </si>
  <si>
    <t>SEASONAL O&amp;M TECHNICIAN II</t>
  </si>
  <si>
    <t>Where is Ameren HQ?</t>
  </si>
  <si>
    <t>Local, Chicago or St Louis</t>
  </si>
  <si>
    <t>Seasonal O&amp;M Technicians</t>
  </si>
  <si>
    <t>Private auto to site &amp; temp living = ($300/trip + 30days*$50/day)x3</t>
  </si>
  <si>
    <t>Technician II (assume 0 needed)</t>
  </si>
  <si>
    <t>at 15% of base wages</t>
  </si>
  <si>
    <t>2.  Assumes that Operators will be on 7 days/week shifts to cover during peak and one shift for 8 hrs/day during off-peak. No weekend coverage planned in off-season (Oct-Apr).</t>
  </si>
  <si>
    <t xml:space="preserve">4 x $1,000/trip + 20 days x $150/day </t>
  </si>
  <si>
    <t>Season O&amp;M Tech T&amp;L</t>
  </si>
  <si>
    <t>5 months x $1500/month x 3 employee + $1000/churn x 3 employees</t>
  </si>
  <si>
    <t>3 x $2000 each</t>
  </si>
  <si>
    <r>
      <t>Balance of Plant (general vendor)</t>
    </r>
    <r>
      <rPr>
        <vertAlign val="superscript"/>
        <sz val="10"/>
        <rFont val="Arial"/>
        <family val="2"/>
      </rPr>
      <t>4</t>
    </r>
  </si>
  <si>
    <r>
      <t>DCS Operation &amp; Familiarization (equip. vendor)</t>
    </r>
    <r>
      <rPr>
        <vertAlign val="superscript"/>
        <sz val="10"/>
        <rFont val="Arial"/>
        <family val="2"/>
      </rPr>
      <t>3</t>
    </r>
  </si>
  <si>
    <t>Electrical/Controls Maintenance Training (2 x I/C/E Technicians)  (at OEM sites)</t>
  </si>
  <si>
    <t>3. LM6000 and MK VI Familiarization training assumed provided for by EPC Contractor/Equipment Supplier (in Equipment PO).</t>
  </si>
  <si>
    <t>4. Balance of Plant (gas compressors, chillers, water plant, etc) O&amp;M familiarization training assumed to be included in the EPC contract.</t>
  </si>
  <si>
    <t>5. Assume that Operator will receive training as part of a service contract entered into with Betz, Nalco, etc.</t>
  </si>
  <si>
    <t>$43/hr x 100 hrs/yr</t>
  </si>
  <si>
    <t>$200/month x 12 months</t>
  </si>
  <si>
    <t>2 drums / year</t>
  </si>
  <si>
    <t xml:space="preserve">$70,000 x (plant size in MW/414)^.6 </t>
  </si>
  <si>
    <t>$200/mo.</t>
  </si>
  <si>
    <t xml:space="preserve">$22,900 x (plant size in MW/414MW)^.6 </t>
  </si>
  <si>
    <t>2 stacks</t>
  </si>
  <si>
    <t>$3,375/yr x # of GT units</t>
  </si>
  <si>
    <t xml:space="preserve">$9,816 x (production in kpph/180 kpph)^.6 </t>
  </si>
  <si>
    <t>$179,000 x (plant size in MW/414MW)^.6 x 60%</t>
  </si>
  <si>
    <t xml:space="preserve">Material Cost (75% of total) = 75% x $94,000 x (# gens/4.5gens) </t>
  </si>
  <si>
    <t>$35,000 x # of GTs</t>
  </si>
  <si>
    <t>$22,000/gt x #hrs ea yr/2000 hrs x # gts</t>
  </si>
  <si>
    <t>semi-annual boroscope, calibration &amp; inspection by GE staff</t>
  </si>
  <si>
    <t>2% of cost $1,200,000/unit x # units</t>
  </si>
  <si>
    <t>INSTRUCTIONS:  Select the appropriate cooling water configuration (OT or CT); then choose a treatment option for that process.</t>
  </si>
  <si>
    <t xml:space="preserve">                              Default treatment process is shock chlorination using gaseous chlorine (feed 3 hrs/day at 10 ppm).</t>
  </si>
  <si>
    <t>Expected project capacity factor, % (default = 100):</t>
  </si>
  <si>
    <t>Hrs/year:</t>
  </si>
  <si>
    <t>Once through cooling water treatment calculations:</t>
  </si>
  <si>
    <t>Treatment</t>
  </si>
  <si>
    <t>Units/Million</t>
  </si>
  <si>
    <t>Cost/Million</t>
  </si>
  <si>
    <t>Million lb.</t>
  </si>
  <si>
    <t>Process</t>
  </si>
  <si>
    <t>OT Cooling</t>
  </si>
  <si>
    <t>Cost</t>
  </si>
  <si>
    <t>/Unit</t>
  </si>
  <si>
    <t xml:space="preserve">lb. Outlet </t>
  </si>
  <si>
    <t>=</t>
  </si>
  <si>
    <t>lb. Outlet</t>
  </si>
  <si>
    <t>Outlet Water</t>
  </si>
  <si>
    <t>Cost Per</t>
  </si>
  <si>
    <t>Per Year</t>
  </si>
  <si>
    <t>Chlorination:  --Choose ONE ONLY of the following treatment options--</t>
  </si>
  <si>
    <t>Chlorine Gas (3 hr/day @ 10 ppm)</t>
  </si>
  <si>
    <t>/lb.</t>
  </si>
  <si>
    <t>Chlorine Gas, continuous feed @ 2 ppm</t>
  </si>
  <si>
    <t>Hypochlorite solution feed (3 hr/day, 10ppm)</t>
  </si>
  <si>
    <t>/gal</t>
  </si>
  <si>
    <r>
      <t>Hypochlorite generation, (</t>
    </r>
    <r>
      <rPr>
        <i/>
        <sz val="10"/>
        <rFont val="Arial Narrow"/>
        <family val="2"/>
      </rPr>
      <t>in situ</t>
    </r>
    <r>
      <rPr>
        <sz val="10"/>
        <rFont val="Arial Narrow"/>
        <family val="2"/>
      </rPr>
      <t>)</t>
    </r>
  </si>
  <si>
    <t>/kWh</t>
  </si>
  <si>
    <t>(NO CALC)</t>
  </si>
  <si>
    <t>PLEASE Input chlorination cost for selected option only:</t>
  </si>
  <si>
    <t>Cooling tower treatment calculations:</t>
  </si>
  <si>
    <t>Selected Cycles of Concentration:</t>
  </si>
  <si>
    <t>CT Cooling</t>
  </si>
  <si>
    <t>Additional Cooling Tower Chemical Treatment</t>
  </si>
  <si>
    <t>Scale inhibitor</t>
  </si>
  <si>
    <t>Solids dispersant polymer</t>
  </si>
  <si>
    <t>Acid feed for pH/scale control</t>
  </si>
  <si>
    <t>Total additional chemical treatment costs:</t>
  </si>
  <si>
    <t>Total annual treatment cost:</t>
  </si>
  <si>
    <t>TOTAL STEAM PRODUCTION:</t>
  </si>
  <si>
    <t>lbs/hour</t>
  </si>
  <si>
    <t>MMlbs/year stm:</t>
  </si>
  <si>
    <t>TOTAL BOILER FEEDWATER MAKE-UP REQUIREMENTS:</t>
  </si>
  <si>
    <t>MMlbs/year BFW:</t>
  </si>
  <si>
    <t>TOTAL DEMIN. WATER PRODUCTION:</t>
  </si>
  <si>
    <t>MMlbs/year DI:</t>
  </si>
  <si>
    <t>Units/MMlbs</t>
  </si>
  <si>
    <t>OR</t>
  </si>
  <si>
    <t>Units/year</t>
  </si>
  <si>
    <t>Reverse Osmosis; pretreatment</t>
  </si>
  <si>
    <r>
      <t>Sulfuric Acid @ 93.2% H</t>
    </r>
    <r>
      <rPr>
        <vertAlign val="subscript"/>
        <sz val="10"/>
        <rFont val="Arial"/>
        <family val="2"/>
      </rPr>
      <t>2</t>
    </r>
    <r>
      <rPr>
        <sz val="10"/>
        <rFont val="Arial"/>
      </rPr>
      <t>SO</t>
    </r>
    <r>
      <rPr>
        <vertAlign val="subscript"/>
        <sz val="10"/>
        <rFont val="Arial"/>
        <family val="2"/>
      </rPr>
      <t>4</t>
    </r>
  </si>
  <si>
    <t xml:space="preserve">Antiscalant </t>
  </si>
  <si>
    <t>Reverse Osmosis Pretreat. Cost:</t>
  </si>
  <si>
    <t>Reverse Osmosis:</t>
  </si>
  <si>
    <t>Electrical Power - H.P. Pump</t>
  </si>
  <si>
    <t>Replacement Prefilter Cartridges</t>
  </si>
  <si>
    <t>/TIE</t>
  </si>
  <si>
    <t>Replacement Membrane Elements</t>
  </si>
  <si>
    <t>/Element</t>
  </si>
  <si>
    <t>elements/yr (3 yr life)</t>
  </si>
  <si>
    <t>Membrane Cleaning Chemicals</t>
  </si>
  <si>
    <t>/Elem./yr</t>
  </si>
  <si>
    <t>elements, total</t>
  </si>
  <si>
    <t>Reverse Osmosis Cost:</t>
  </si>
  <si>
    <t>Mixed Bed Ion Exchange</t>
  </si>
  <si>
    <t>(Final Demineralization):</t>
  </si>
  <si>
    <t>Caustic soda @ 100% NaOH</t>
  </si>
  <si>
    <t>Replacement Cation Resin</t>
  </si>
  <si>
    <t>/cu. ft.</t>
  </si>
  <si>
    <t>N/A</t>
  </si>
  <si>
    <t>Replacement Anion Resin</t>
  </si>
  <si>
    <t>Mixed Bed Ion Exchange Cost:</t>
  </si>
  <si>
    <t>Boiler/Steam Cycle treatment</t>
  </si>
  <si>
    <t>Phosphate product (blended liquid)</t>
  </si>
  <si>
    <t>Amine or amine blend</t>
  </si>
  <si>
    <t>Non-hydrazine oxygen scavenger</t>
  </si>
  <si>
    <t>Total Boiler Chemical Cost:</t>
  </si>
  <si>
    <t>ASSUMPTIONS:</t>
  </si>
  <si>
    <t>1)  Assumed TDS of groundwater = 1000 ppm (29.24 gr/gal cations + 29.24 gr/gal anions).</t>
  </si>
  <si>
    <t>2)  Assumed TDS to mixed beds after RO pretreatment = 20 ppm (0.585 gr/gal cations + 0.585 gr/gal anions).</t>
  </si>
  <si>
    <t>3)  DI plant configuration = 2 X 100% MB's (used to calculate resin replacement costs).</t>
  </si>
  <si>
    <t>4)  It is assumed that groundwater utilized for DI system make-up is NOT chlorinated (therefore, no chlorination nor</t>
  </si>
  <si>
    <t xml:space="preserve">     chlorine removal required); well water filtration requirements are minimal, thus no addt'l chemical costs.</t>
  </si>
  <si>
    <t>Chemical Cost Backup</t>
  </si>
  <si>
    <t>Chemical Cost Detail</t>
  </si>
  <si>
    <t>10 P&amp;Ids x 2 mandays each x $400/day</t>
  </si>
  <si>
    <t>1/2 of operating procedures</t>
  </si>
  <si>
    <t>Chemical Cost Estimate Backup</t>
  </si>
  <si>
    <t>15)  EPC Contract assumed to provide an allowance for GT, MK VI, DCS, BOP familiarization and operations training to O&amp;M staff.</t>
  </si>
  <si>
    <t xml:space="preserve">10)  Major scheduled maintenance intervals per OEM (GE): Hot Gas Path - 25,000 hrs; Major - 50,000 hours. </t>
  </si>
  <si>
    <t>assume at 3 cycles, ground water makeup</t>
  </si>
  <si>
    <t>Basis: source is 1000 ppm TDS ground water; CT flow 17000 gpm; range 10 deg F</t>
  </si>
  <si>
    <t xml:space="preserve">Phone service </t>
  </si>
  <si>
    <t>Basis: Enron Risk Mgmt</t>
  </si>
  <si>
    <t>46 lbs/hr/gt x 4 gts x 1300 hrs/year x $0.2/lb</t>
  </si>
  <si>
    <t>Fuel Handling &amp; Compression System</t>
  </si>
  <si>
    <t>Contingency</t>
  </si>
  <si>
    <t>Gas compression/yr</t>
  </si>
  <si>
    <t>system, metering, valves, piping</t>
  </si>
  <si>
    <t>Water Costs</t>
  </si>
  <si>
    <t>Water</t>
  </si>
  <si>
    <t>CMMS software/installation</t>
  </si>
  <si>
    <t>$10M License + $10M installation/training</t>
  </si>
  <si>
    <t>CMMS hardware, equipment</t>
  </si>
  <si>
    <t>1 PC's ($2500), printer</t>
  </si>
  <si>
    <t>SAP Acctg System</t>
  </si>
  <si>
    <t>Software &amp; License</t>
  </si>
  <si>
    <t>Training &amp; Implementation</t>
  </si>
  <si>
    <t>Copiers</t>
  </si>
  <si>
    <t>1ea @ $8000</t>
  </si>
  <si>
    <t>Typewriters</t>
  </si>
  <si>
    <t>1ea @ $250</t>
  </si>
  <si>
    <t>Local Area Network</t>
  </si>
  <si>
    <t>LAN $2M + Installation $1,000</t>
  </si>
  <si>
    <t>Calculators</t>
  </si>
  <si>
    <t>5ea @ $20</t>
  </si>
  <si>
    <t>Projectors (overhead)</t>
  </si>
  <si>
    <t>1ea @ $400</t>
  </si>
  <si>
    <t>TV/VCR/Camcorders</t>
  </si>
  <si>
    <t>1ea @ $750/$500/$750</t>
  </si>
  <si>
    <t>White Boards</t>
  </si>
  <si>
    <t>5ea @ $80</t>
  </si>
  <si>
    <t>FAX machine</t>
  </si>
  <si>
    <t>Misc Supplies</t>
  </si>
  <si>
    <t>pens, paper, staplers, envelopes, etc.</t>
  </si>
  <si>
    <t>Phones</t>
  </si>
  <si>
    <t>6ea @ $200</t>
  </si>
  <si>
    <t>Office Misc, pictures, plants, rugs, boards</t>
  </si>
  <si>
    <t>Janitorial supplies</t>
  </si>
  <si>
    <t>5% of cost</t>
  </si>
  <si>
    <t>O&amp;M Mobilization BudgetProcurement ExpensesOffice Furnishings, Equipment, Supplies Total</t>
  </si>
  <si>
    <t>O&amp;M Mobilization BudgetProcurement ExpensesSafety Equipment &amp; Supplies Title</t>
  </si>
  <si>
    <t>Safety Equipment &amp; Supplies</t>
  </si>
  <si>
    <t>Safety &amp; Environmental Equipment &amp; Supplies</t>
  </si>
  <si>
    <t>Personnel Safety equipment</t>
  </si>
  <si>
    <t>Safety glasses, Hard hats, goggles, face shields, gloves,</t>
  </si>
  <si>
    <t>locks, acid suits, SCBA respirators, safety shoes, etc.</t>
  </si>
  <si>
    <t>Portable Fire Extinguishers</t>
  </si>
  <si>
    <t>10ea. @ $120</t>
  </si>
  <si>
    <t>Firehose Cabinet Accessories</t>
  </si>
  <si>
    <t>First Aid equipment</t>
  </si>
  <si>
    <t>First Aid kit, stretcher, water jell blanket</t>
  </si>
  <si>
    <t>Safety test Equipment</t>
  </si>
  <si>
    <t>Biosystem unit, LEL &amp; O2 meter</t>
  </si>
  <si>
    <t>Environmental Test Equipment</t>
  </si>
  <si>
    <t>Noise level meter</t>
  </si>
  <si>
    <t>6" and 12" containment booms</t>
  </si>
  <si>
    <t xml:space="preserve">30 ton/hr skimmer </t>
  </si>
  <si>
    <t>Misc. anchors, tow bridles, buoys, etc.</t>
  </si>
  <si>
    <t>O&amp;M Mobilization BudgetProcurement ExpensesSafety Equipment &amp; Supplies Total</t>
  </si>
  <si>
    <t>O&amp;M Mobilization BudgetProcurement ExpensesVehicles &amp; Mobile Equipment Title</t>
  </si>
  <si>
    <t>Cars 4 WD w AC</t>
  </si>
  <si>
    <t>$26M</t>
  </si>
  <si>
    <t>1/2 ton Pickup Trucks</t>
  </si>
  <si>
    <t>1ea leased $2000 down &amp; lease</t>
  </si>
  <si>
    <t>700/mnth</t>
  </si>
  <si>
    <t>2 1/2 ton flat bed truck w winch</t>
  </si>
  <si>
    <t>$32M</t>
  </si>
  <si>
    <t>6 ton Forklift (outside)</t>
  </si>
  <si>
    <t>$38M</t>
  </si>
  <si>
    <t>3 ton Forklift (warehouse)</t>
  </si>
  <si>
    <t>1ea leased $1000 down &amp; lease</t>
  </si>
  <si>
    <t>500/mnth</t>
  </si>
  <si>
    <t>12 passenger Van w/o AC</t>
  </si>
  <si>
    <t>$24M</t>
  </si>
  <si>
    <t>18 passenger Van w/o AC</t>
  </si>
  <si>
    <t>$30M</t>
  </si>
  <si>
    <t>Firefighting equipment</t>
  </si>
  <si>
    <t>1ea. extinguisher cart</t>
  </si>
  <si>
    <t>$1M per</t>
  </si>
  <si>
    <t>Backhoe/heavy equipment</t>
  </si>
  <si>
    <t>Compressor water wash cart</t>
  </si>
  <si>
    <t>$10M</t>
  </si>
  <si>
    <t>250 cfm Air Compressor (trailer mtd)</t>
  </si>
  <si>
    <t>$16M</t>
  </si>
  <si>
    <t>400 amp welder(diesel drvr, trailer)</t>
  </si>
  <si>
    <t>$11M</t>
  </si>
  <si>
    <t>8 ton Crane</t>
  </si>
  <si>
    <t>$30M (used)</t>
  </si>
  <si>
    <t>Crew Boats</t>
  </si>
  <si>
    <t>$60M (used)</t>
  </si>
  <si>
    <t>Switch engine</t>
  </si>
  <si>
    <t>$300M</t>
  </si>
  <si>
    <t>Maintenance cart</t>
  </si>
  <si>
    <t>O&amp;M Mobilization BudgetProcurement ExpensesVehicles &amp; Mobile Equipment Total</t>
  </si>
  <si>
    <t>Basis: Purchasing Dept.</t>
  </si>
  <si>
    <t>O&amp;M Mobilization BudgetProcurement ExpensesWarehouse Furnishings &amp; Equipment Title</t>
  </si>
  <si>
    <t>Bins/Racks/shelves</t>
  </si>
  <si>
    <t>includes Lumber, nails, materials (to construct)</t>
  </si>
  <si>
    <t>Equipment/Tools</t>
  </si>
  <si>
    <t>dollies, scales, carpenter tools, banding &amp; labeling machines</t>
  </si>
  <si>
    <t>Furniture</t>
  </si>
  <si>
    <t>tables, desks, chairs, file cabinets</t>
  </si>
  <si>
    <t>Miscellaneous Supplies</t>
  </si>
  <si>
    <t>O&amp;M Mobilization BudgetProcurement ExpensesWarehouse Furnishings &amp; Equipment Total</t>
  </si>
  <si>
    <t>O&amp;M Mobilization BudgetProcurement ExpensesLaboratory Equipment Title</t>
  </si>
  <si>
    <t>Laboratory Analyzers (pH, conductivity, spectrophotometer)</t>
  </si>
  <si>
    <t>Glassware/Misc. Equipment (centrifuge, vacuum pump, PC,scale,oven)</t>
  </si>
  <si>
    <t>Furniture, cabinets, benches, tables, refrigerator</t>
  </si>
  <si>
    <t>Fuel Testing equipment</t>
  </si>
  <si>
    <t>Gas Chromatogragh/Atomic Absorption</t>
  </si>
  <si>
    <t>O&amp;M Mobilization BudgetProcurement ExpensesLaboratory Equipment Total</t>
  </si>
  <si>
    <t>Basis: Rino Manzano ccMail dtd 8/8/96</t>
  </si>
  <si>
    <t>O&amp;M Mobilization BudgetProcurement ExpensesShop Tools &amp; Equipment Title</t>
  </si>
  <si>
    <t>Mechanic Hand Tools</t>
  </si>
  <si>
    <t>tool boxes</t>
  </si>
  <si>
    <t>$1200 each</t>
  </si>
  <si>
    <t>I/E Tech Hand Tools</t>
  </si>
  <si>
    <t>$1500 each</t>
  </si>
  <si>
    <t>Consumables (Cleaning, Mech. supplies, compounds, I&amp;E supplies, hoses)</t>
  </si>
  <si>
    <t>Radios  (Basis: Houston 2-way Radio - Motorola HC1000, 2 channels)</t>
  </si>
  <si>
    <t>$1000 each</t>
  </si>
  <si>
    <t>Radio Base</t>
  </si>
  <si>
    <t>Mechanical Shop Tools &amp; Equip.</t>
  </si>
  <si>
    <t>High Pressure Hand Pump</t>
  </si>
  <si>
    <t>Nordstrom Hyper Grease Gun 5 gal.</t>
  </si>
  <si>
    <t>$3015 each</t>
  </si>
  <si>
    <t>Rockwell Hand Held High Pressure Grease Gun</t>
  </si>
  <si>
    <t>$960 each</t>
  </si>
  <si>
    <t>Hydraulic Torque Wrench</t>
  </si>
  <si>
    <t>$4000 each</t>
  </si>
  <si>
    <t>Centrifugal Pump</t>
  </si>
  <si>
    <t>$2500 each</t>
  </si>
  <si>
    <t>Pneumatic diaphram pump</t>
  </si>
  <si>
    <t>Bead Blaster</t>
  </si>
  <si>
    <t>$1800 each</t>
  </si>
  <si>
    <t>Sand Blaster</t>
  </si>
  <si>
    <t>$900 each</t>
  </si>
  <si>
    <t>Portable Air Compressor</t>
  </si>
  <si>
    <t>$600 each</t>
  </si>
  <si>
    <t>Hydraulic Press - 25 ton</t>
  </si>
  <si>
    <t>$1400 each</t>
  </si>
  <si>
    <t>O&amp;M Mobilization BudgetProcurement ExpensesShop Tools &amp; Equipment Total</t>
  </si>
  <si>
    <t>Post Hole Digger</t>
  </si>
  <si>
    <t>O&amp;M Mobilization BudgetProcurement ExpensesChemicals, Lubricants, Hydraulic Fluids Title</t>
  </si>
  <si>
    <t>Steel Work Bench</t>
  </si>
  <si>
    <t>$160 each</t>
  </si>
  <si>
    <t>$250 each</t>
  </si>
  <si>
    <t>Storage Cabinets</t>
  </si>
  <si>
    <t>$300 each</t>
  </si>
  <si>
    <t>Parts Washer</t>
  </si>
  <si>
    <t>Bench Grinder</t>
  </si>
  <si>
    <t>$400 each</t>
  </si>
  <si>
    <t>O&amp;M Mobilization BudgetProcurement ExpensesChemicals, Lubricants, Hydraulic Fluids Total</t>
  </si>
  <si>
    <t>Drill Press</t>
  </si>
  <si>
    <t>$2375 each</t>
  </si>
  <si>
    <t>O&amp;M Mobilization BudgetO&amp;M Mobilization Fee Title</t>
  </si>
  <si>
    <t>O&amp;M Mobilization Fee</t>
  </si>
  <si>
    <t>AC/DC Welder Generator</t>
  </si>
  <si>
    <t>$3100 each</t>
  </si>
  <si>
    <t>Assortment Hammer Wrenches</t>
  </si>
  <si>
    <t>$5000 each</t>
  </si>
  <si>
    <t>Flange Spreader</t>
  </si>
  <si>
    <t>Hoists /Come-a-longs</t>
  </si>
  <si>
    <t>Miscellaneous small hand tools</t>
  </si>
  <si>
    <t>$5000 set</t>
  </si>
  <si>
    <t>O&amp;M Mobilization BudgetO&amp;M Mobilization Fee Total</t>
  </si>
  <si>
    <t>I/E Shop Tools &amp; Test Equipment</t>
  </si>
  <si>
    <t>Gas Detector Calibration Kit</t>
  </si>
  <si>
    <t>$500 each</t>
  </si>
  <si>
    <t>O&amp;M Mobilization BudgetOwner Optional Items Title</t>
  </si>
  <si>
    <t>Owner Optional Items</t>
  </si>
  <si>
    <t>Flow, Press, &amp; Temp Transmitter Communicators</t>
  </si>
  <si>
    <t>Digital Thickness Gauge</t>
  </si>
  <si>
    <t>UV IR Portable Test Kit</t>
  </si>
  <si>
    <t>IRD Vibration Meter</t>
  </si>
  <si>
    <t>$8000 each</t>
  </si>
  <si>
    <t>Fluke Digital Multimeter</t>
  </si>
  <si>
    <t>$350 each</t>
  </si>
  <si>
    <t>O&amp;M Mobilization BudgetOwner Optional Items Total</t>
  </si>
  <si>
    <t>Thermocoupler Calibrator</t>
  </si>
  <si>
    <t>$950 each</t>
  </si>
  <si>
    <t>Precision Pressure Calibrator</t>
  </si>
  <si>
    <t>$5700 each</t>
  </si>
  <si>
    <t>Simpson Multimeter</t>
  </si>
  <si>
    <t>RTD Calibrator</t>
  </si>
  <si>
    <t>$700 each</t>
  </si>
  <si>
    <t>Test Gauges 0 -1500 psig.</t>
  </si>
  <si>
    <t>$1000 set</t>
  </si>
  <si>
    <t>Gravitometer</t>
  </si>
  <si>
    <t>$5850 each</t>
  </si>
  <si>
    <t>PK Tester</t>
  </si>
  <si>
    <t>$4065 each</t>
  </si>
  <si>
    <t>Pipeline Locator</t>
  </si>
  <si>
    <t>$3900 each</t>
  </si>
  <si>
    <t xml:space="preserve">Test/Troubleshooting Equipment </t>
  </si>
  <si>
    <t>Beta Engine Analyzer</t>
  </si>
  <si>
    <t>$60,000 each</t>
  </si>
  <si>
    <t>O&amp;M Mobilization BudgetCapital, Operating and BOP Spares (1998$) Title</t>
  </si>
  <si>
    <t>Capital, Operating and BOP Spares (1996$)</t>
  </si>
  <si>
    <t>Oscilloscope</t>
  </si>
  <si>
    <t>$3000 each</t>
  </si>
  <si>
    <t>Capital, Operating and BOP Spares (1998$)</t>
  </si>
  <si>
    <t>Bore Scope (probe, light source and photo)</t>
  </si>
  <si>
    <t>$15,000 each</t>
  </si>
  <si>
    <t>Combustible Gas Detector</t>
  </si>
  <si>
    <t>$1795 each</t>
  </si>
  <si>
    <t>O&amp;M Mobilization BudgetCapital, Operating and BOP Spares (1998$) Total</t>
  </si>
  <si>
    <t>Warehouse Stock</t>
  </si>
  <si>
    <t xml:space="preserve">1month's worth x chemicals </t>
  </si>
  <si>
    <t>5% of cost (included above)</t>
  </si>
  <si>
    <t>Fixed Fee</t>
  </si>
  <si>
    <t>Included in the "Benefits" calculations</t>
  </si>
  <si>
    <t>Commercial Office Mobilization</t>
  </si>
  <si>
    <t>Within the Owner's scope</t>
  </si>
  <si>
    <t>Capital, Operating and BOP Spares</t>
  </si>
  <si>
    <t>BOP</t>
  </si>
  <si>
    <t>Freight &amp; Insurance</t>
  </si>
  <si>
    <t>Payroll &amp; Burden</t>
  </si>
  <si>
    <t>Administration and Operations Expenses</t>
  </si>
  <si>
    <t>Total Administration &amp; Operations Expenses</t>
  </si>
  <si>
    <t>Total Maintenance</t>
  </si>
  <si>
    <t>Total O&amp;M Expenses (excl GT Scheduled Maint. Program)</t>
  </si>
  <si>
    <t xml:space="preserve">GT Lease Program Annual Membership (1 unit) </t>
  </si>
  <si>
    <t>Commercial Operations Staffing Plan</t>
  </si>
  <si>
    <t>(US$)</t>
  </si>
  <si>
    <t>INDIVIDUAL</t>
  </si>
  <si>
    <t>TOTAL ANNUAL</t>
  </si>
  <si>
    <t>STAFFING</t>
  </si>
  <si>
    <t>SALARY</t>
  </si>
  <si>
    <t>HOURLY RATE</t>
  </si>
  <si>
    <t>SALARY &amp; WAGES</t>
  </si>
  <si>
    <t>BENEFITS</t>
  </si>
  <si>
    <t>TOTAL</t>
  </si>
  <si>
    <t xml:space="preserve">TOTAL </t>
  </si>
  <si>
    <t>POSITIONS</t>
  </si>
  <si>
    <t>ANNUAL*</t>
  </si>
  <si>
    <t>Annual</t>
  </si>
  <si>
    <t>Hours</t>
  </si>
  <si>
    <t xml:space="preserve"> </t>
  </si>
  <si>
    <t>IN US $</t>
  </si>
  <si>
    <t>Straight Time Domestic Rates</t>
  </si>
  <si>
    <t>Employee Cost Breakdown</t>
  </si>
  <si>
    <t>Base</t>
  </si>
  <si>
    <t>Payroll</t>
  </si>
  <si>
    <t>Workers</t>
  </si>
  <si>
    <t>Group</t>
  </si>
  <si>
    <t>General</t>
  </si>
  <si>
    <t>Position or</t>
  </si>
  <si>
    <t>Hourly</t>
  </si>
  <si>
    <t>Comp.</t>
  </si>
  <si>
    <t>O/H</t>
  </si>
  <si>
    <t>Ins.</t>
  </si>
  <si>
    <t>Liability</t>
  </si>
  <si>
    <t>Pension</t>
  </si>
  <si>
    <t>Burdened</t>
  </si>
  <si>
    <t>Employee Name</t>
  </si>
  <si>
    <t>Rate</t>
  </si>
  <si>
    <t>Burdens</t>
  </si>
  <si>
    <t>Alloc.</t>
  </si>
  <si>
    <t>Prem.</t>
  </si>
  <si>
    <t>Total</t>
  </si>
  <si>
    <t>Salary</t>
  </si>
  <si>
    <t>Plant Manager</t>
  </si>
  <si>
    <t>Maintenance Manager</t>
  </si>
  <si>
    <t>Purchasing / Warehouse</t>
  </si>
  <si>
    <t>Operations &amp; Maint.</t>
  </si>
  <si>
    <t>Supervisor</t>
  </si>
  <si>
    <t>Over Time Domestic Rates</t>
  </si>
  <si>
    <t>Payroll &amp; Burden (Total over project life)</t>
  </si>
  <si>
    <t>See detailed sheet</t>
  </si>
  <si>
    <t>Basis: HR data</t>
  </si>
  <si>
    <t>Travel Expenses/Overtime Meals</t>
  </si>
  <si>
    <t>Conferences/Training</t>
  </si>
  <si>
    <t>Fees &amp; Dues</t>
  </si>
  <si>
    <t>Ground water for cooling tower makeup</t>
  </si>
  <si>
    <t>Ground water for supply to reverse osmosis/demin process</t>
  </si>
  <si>
    <t xml:space="preserve">No Remote monitoring or control </t>
  </si>
  <si>
    <t>Maintenance shop with bay</t>
  </si>
  <si>
    <t>Warehouse</t>
  </si>
  <si>
    <t>Administrative Office space</t>
  </si>
  <si>
    <t>Continuous Emissions Monitoring units</t>
  </si>
  <si>
    <t xml:space="preserve">13) Chemical costs and 25% of annual maintnenace are assumed variable with dispatch; all other costs are fixed. </t>
  </si>
  <si>
    <t xml:space="preserve">Owner's Insurance </t>
  </si>
  <si>
    <t xml:space="preserve">Taxes </t>
  </si>
  <si>
    <t>Escalation</t>
  </si>
  <si>
    <t>Lease Engine Membership fees (At Owner's discretion)</t>
  </si>
  <si>
    <t>Emissions fees, discharge fees or waste water charges</t>
  </si>
  <si>
    <t>2 trips x $1500/trip + perdiem @ $150/day x 10 days</t>
  </si>
  <si>
    <t>O&amp;M TECHNICIAN III</t>
  </si>
  <si>
    <t>O &amp; M</t>
  </si>
  <si>
    <t>20% of base</t>
  </si>
  <si>
    <t>cover HHG shipment, misc</t>
  </si>
  <si>
    <t>Plant Mgr (assume non-Enron)</t>
  </si>
  <si>
    <t>Candidate travel, expenses</t>
  </si>
  <si>
    <t>2 trips x $1000/trip+ $150/day x 4 days</t>
  </si>
  <si>
    <t xml:space="preserve">1ea. x 6 months x $300/month </t>
  </si>
  <si>
    <t>Pagers</t>
  </si>
  <si>
    <t>pagers 6 x $20/month x 4 months</t>
  </si>
  <si>
    <t>Assume admin facilties complete COD minus 2 months</t>
  </si>
  <si>
    <t>1 mandays @$400/manday</t>
  </si>
  <si>
    <t>5 mandays @$400/manday</t>
  </si>
  <si>
    <t>2000 US $</t>
  </si>
  <si>
    <t>5) Plant to be considered available year round with the exception of scheduled maintenance outages (Mar-April;Oct-Nov).</t>
  </si>
  <si>
    <t>Notice To Proceed:</t>
  </si>
  <si>
    <t>Travel Expenses in to/fro Houston;living</t>
  </si>
  <si>
    <t>recruiting;advertising</t>
  </si>
  <si>
    <t>miscellaneous comms, postage,etc</t>
  </si>
  <si>
    <t>$250/month x 4 months</t>
  </si>
  <si>
    <t>6 trips x $1500/trip</t>
  </si>
  <si>
    <t>2 trips x $1000/trip + 8 days per diem x $150/day</t>
  </si>
  <si>
    <t>15 days x 8hrs/day x $60/hr</t>
  </si>
  <si>
    <t>480 hrs x $43/hr</t>
  </si>
  <si>
    <t>$800/month x 5 months</t>
  </si>
  <si>
    <t>1 trips x $1000/trip + 4 days per diem x $150/day</t>
  </si>
  <si>
    <t>Covered in fee</t>
  </si>
  <si>
    <t>Labor for all OEC staff assumed covered in Operator's Fee and O/H allocation</t>
  </si>
  <si>
    <t>1 x $1000/months x 4 months</t>
  </si>
  <si>
    <t>Basic Plant Training (All New Hires) (1session at site)</t>
  </si>
  <si>
    <r>
      <t>GTG controls MK VI (equip vendor)</t>
    </r>
    <r>
      <rPr>
        <vertAlign val="superscript"/>
        <sz val="10"/>
        <rFont val="Arial"/>
        <family val="2"/>
      </rPr>
      <t>3</t>
    </r>
  </si>
  <si>
    <t>Specialized Operator Training (All Operators) (1 session at site)</t>
  </si>
  <si>
    <t>Less Training provided by Equipment supplier (incl in Purchase PO)</t>
  </si>
  <si>
    <t>20 mandays @$400/manday</t>
  </si>
  <si>
    <t>6ea @ $150 + $1000</t>
  </si>
  <si>
    <t>1 ea @ $150</t>
  </si>
  <si>
    <t>Worker's Compensation</t>
  </si>
  <si>
    <t>Auto Liability</t>
  </si>
  <si>
    <t>3rd Party/General Liability</t>
  </si>
  <si>
    <t>$400/yr/licensed vehicle</t>
  </si>
  <si>
    <t>Insurance costs per Paul Clayton</t>
  </si>
  <si>
    <t>1.  Benefits amounts includes Operator G&amp;A allocation.</t>
  </si>
  <si>
    <t>Cash</t>
  </si>
  <si>
    <t>Balance</t>
  </si>
  <si>
    <t>Purchasing Support</t>
  </si>
  <si>
    <t>120 hrs x $12/hr</t>
  </si>
  <si>
    <t>Misc services at  40 hrs x $100/hr</t>
  </si>
  <si>
    <t>$500/month x 12 months</t>
  </si>
  <si>
    <t>$250/month x 12 months</t>
  </si>
  <si>
    <t>2 x $600/month x 12 months/yr</t>
  </si>
  <si>
    <t>4 trips x $1000/trip + 8 days perdiem x $150/day</t>
  </si>
  <si>
    <t>1 phones x $300/month</t>
  </si>
  <si>
    <t>6 x $5/month x 12 months</t>
  </si>
  <si>
    <t>0.15% of Total Expenses</t>
  </si>
  <si>
    <t>$200/employee/yr</t>
  </si>
  <si>
    <t>multiplied by factor of 60% due to no STG at this plant</t>
  </si>
  <si>
    <t>Scaled on generator MW and # generators</t>
  </si>
  <si>
    <t>Basis: Vineland, NJ experience</t>
  </si>
  <si>
    <t>75% Fixed / 25% Variable</t>
  </si>
  <si>
    <t>11) Water Source: Ground water. TDS is assumed to be 1000 ppm. Owner/Originator to provide sample analysis when available.</t>
  </si>
  <si>
    <t>Map (not included)</t>
  </si>
  <si>
    <t>Personnel Benefits (Confidential)</t>
  </si>
  <si>
    <t>O&amp;M Estimate Backup/Detail (Proprietary)</t>
  </si>
  <si>
    <t>Pre-Mob / Mobilization Estimate Backup/Detail (Proprietary)</t>
  </si>
  <si>
    <t>GT Scheduled Major Maint. Program (20 Year term)</t>
  </si>
  <si>
    <t>Maintenance Accrual should be:</t>
  </si>
  <si>
    <t>$/Fired Hr for 20 year term is calculated as:</t>
  </si>
  <si>
    <t xml:space="preserve">GT Scheduled Major Maintenance ($/fired hour for 20 Yr term) </t>
  </si>
  <si>
    <t>TBD</t>
  </si>
  <si>
    <t>Average of 3 and 20 year terms modeled</t>
  </si>
  <si>
    <t>Employees Expense</t>
  </si>
  <si>
    <t>$250/month</t>
  </si>
  <si>
    <t>Entertainment Expense</t>
  </si>
  <si>
    <t>$150/employee</t>
  </si>
  <si>
    <t>Recruiting</t>
  </si>
  <si>
    <t>Basis: OEC experience</t>
  </si>
  <si>
    <t>Permanent Contract Labor</t>
  </si>
  <si>
    <t>Janitorial</t>
  </si>
  <si>
    <t>$800/month x 12 months</t>
  </si>
  <si>
    <t>Groundskeeping/Landscaping</t>
  </si>
  <si>
    <t>$400/month x 12 months</t>
  </si>
  <si>
    <t>Uniform Services</t>
  </si>
  <si>
    <t>Lab Services</t>
  </si>
  <si>
    <t>costs shown in Lab Expenses category</t>
  </si>
  <si>
    <t>Basis:</t>
  </si>
  <si>
    <t xml:space="preserve">Environmental Expense </t>
  </si>
  <si>
    <t>Training/Awards</t>
  </si>
  <si>
    <t>RATA testing</t>
  </si>
  <si>
    <t>Materials &amp; Supplies</t>
  </si>
  <si>
    <t>Calibration/test gases</t>
  </si>
  <si>
    <t>Technical/Professional Services</t>
  </si>
  <si>
    <t xml:space="preserve">2 trip x $1M/trip + 4 days perdiem x $125/day </t>
  </si>
  <si>
    <t>80 manhrs x $75/hr (audit)</t>
  </si>
  <si>
    <t>covered in O/H</t>
  </si>
  <si>
    <t>Trailer Leasing Mixed Beds</t>
  </si>
  <si>
    <t>Basis: Vineland, NJ experience (1 x LM6000 avg annual maint = $57,000 @ 2000 hrs)</t>
  </si>
  <si>
    <t>.</t>
  </si>
  <si>
    <t>SCR + Ammonia system</t>
  </si>
  <si>
    <t>Selective Catalytic Reduction &amp; Ammonia System</t>
  </si>
  <si>
    <t>3 YEAR</t>
  </si>
  <si>
    <t>AVERAGE</t>
  </si>
  <si>
    <t>20 YEAR</t>
  </si>
  <si>
    <t xml:space="preserve">Chemicals </t>
  </si>
  <si>
    <t>Fixed</t>
  </si>
  <si>
    <t>Variable</t>
  </si>
  <si>
    <t xml:space="preserve">SCR Catalyst Replacement Accrual ($/fired hour) </t>
  </si>
  <si>
    <t xml:space="preserve">Commercial Office Mobilization Expenses </t>
  </si>
  <si>
    <t xml:space="preserve">Owners' Engineer Expenses </t>
  </si>
  <si>
    <t xml:space="preserve">Commercial Office Expenses </t>
  </si>
  <si>
    <t>$/kW</t>
  </si>
  <si>
    <t>FOM ($/kW-yr)</t>
  </si>
  <si>
    <t>VOM ($/mWh)</t>
  </si>
  <si>
    <t>30) GT Major Maintenance not accrued for in the estimate.</t>
  </si>
  <si>
    <t xml:space="preserve">Map </t>
  </si>
  <si>
    <t>Maintenance Expenses</t>
  </si>
  <si>
    <t>Other Outside Services</t>
  </si>
  <si>
    <t>Non-Hazardous Waste Handling</t>
  </si>
  <si>
    <t>Other</t>
  </si>
  <si>
    <t>Safety Expense</t>
  </si>
  <si>
    <t>Company Membership &amp; Dues</t>
  </si>
  <si>
    <t>Routine Safety Supplies</t>
  </si>
  <si>
    <t xml:space="preserve">2 x $1M/trip + 4 days perdiem x $125/day </t>
  </si>
  <si>
    <t>Labor covered in O/H</t>
  </si>
  <si>
    <t>Safety Equipment Rentals</t>
  </si>
  <si>
    <t>Buildings &amp; Grounds</t>
  </si>
  <si>
    <t>HVAC</t>
  </si>
  <si>
    <t>Scaled on MW</t>
  </si>
  <si>
    <t>Building repairs &amp; painting</t>
  </si>
  <si>
    <t>Road repairs</t>
  </si>
  <si>
    <t>Outside services Contract labor</t>
  </si>
  <si>
    <t>Equipment Rentals</t>
  </si>
  <si>
    <t>Other Rents</t>
  </si>
  <si>
    <t>Supplies</t>
  </si>
  <si>
    <t>Basis: Tx City/Clear Lake experience</t>
  </si>
  <si>
    <t>Office Supplies &amp; Expenses</t>
  </si>
  <si>
    <t>Postage &amp; Express Mail</t>
  </si>
  <si>
    <t>Outside Services Contract Labor</t>
  </si>
  <si>
    <t>Home office support covered in overheads</t>
  </si>
  <si>
    <t>Office Equipment Maint.</t>
  </si>
  <si>
    <t>Regional Mgmt Support</t>
  </si>
  <si>
    <t>Regulatory</t>
  </si>
  <si>
    <t>Owner's scope</t>
  </si>
  <si>
    <t>Garbage &amp; Trash</t>
  </si>
  <si>
    <t>Office Equipment Rental</t>
  </si>
  <si>
    <t>Radio parts/repair</t>
  </si>
  <si>
    <t>50% of Subic</t>
  </si>
  <si>
    <t>PC Hardware (purchase)</t>
  </si>
  <si>
    <t>Same as Subic for items &lt; $1000, otherwise in Sus. Capital</t>
  </si>
  <si>
    <t>PC Software</t>
  </si>
  <si>
    <t>1 CMMS licenses @ $750 ea.+ upgrades</t>
  </si>
  <si>
    <t>PC Hardware Rental/Lease</t>
  </si>
  <si>
    <t>PC Maintenance</t>
  </si>
  <si>
    <t>Misc Freight Expenses</t>
  </si>
  <si>
    <t>Utilities (office water, power, gas)</t>
  </si>
  <si>
    <t>Assumed in Plant's House Load</t>
  </si>
  <si>
    <t>Public relations/Contributions</t>
  </si>
  <si>
    <t>Boat maintenance/repair</t>
  </si>
  <si>
    <t>Vehicle &amp; mobile equipment Lease</t>
  </si>
  <si>
    <t>Vehicle maintenance/repair</t>
  </si>
  <si>
    <t>$500/vehicle/year</t>
  </si>
  <si>
    <t>Vehicle fuel</t>
  </si>
  <si>
    <t>see detail below</t>
  </si>
  <si>
    <t>Boat fuel</t>
  </si>
  <si>
    <t>Cellular phone service</t>
  </si>
  <si>
    <t>Control Room/Laboratory Expenses</t>
  </si>
  <si>
    <t>Lab analysis monthly, annual, etc</t>
  </si>
  <si>
    <t>Reagents &amp; Supplies</t>
  </si>
  <si>
    <t>Rental Equipment</t>
  </si>
  <si>
    <t>Analyzer Repairs</t>
  </si>
  <si>
    <t>Contract Labor/Temporaries</t>
  </si>
  <si>
    <t>5% of 75% of total</t>
  </si>
  <si>
    <t>Basis: OEC/Vineland Experience</t>
  </si>
  <si>
    <t>Operations Support (Year 1 Only)</t>
  </si>
  <si>
    <t xml:space="preserve">1ea.x$125/dayx30days </t>
  </si>
  <si>
    <t>1ea.x$1000 trip x 1trips (coach class)</t>
  </si>
  <si>
    <t xml:space="preserve">   Tax Protection (over 6 months)</t>
  </si>
  <si>
    <t>n/a</t>
  </si>
  <si>
    <t>Ops engineer for 1 month to aid in Initial Operating Period</t>
  </si>
  <si>
    <t>Chemicals &amp; Water Treatment</t>
  </si>
  <si>
    <t>Demin Acid/Caustic</t>
  </si>
  <si>
    <t>Resin Replacement</t>
  </si>
  <si>
    <t>CT Chemicals</t>
  </si>
  <si>
    <t>Boiler Chemicals</t>
  </si>
  <si>
    <t>Desal RO Chemicals &amp; Membrane replacement</t>
  </si>
  <si>
    <t>Potable Water Chemicals</t>
  </si>
  <si>
    <t>SCR Ammonia usage</t>
  </si>
  <si>
    <t>Hydrogen (generators)</t>
  </si>
  <si>
    <t>Assume air cooled</t>
  </si>
  <si>
    <t>Waste Water Treatment</t>
  </si>
  <si>
    <t>GT Water Wash Detergent</t>
  </si>
  <si>
    <t>freight</t>
  </si>
  <si>
    <t>5% of total</t>
  </si>
  <si>
    <t>Painting</t>
  </si>
  <si>
    <t>Paint &amp; Materials</t>
  </si>
  <si>
    <t>Outside Contract Services</t>
  </si>
  <si>
    <t>Equipment rental</t>
  </si>
  <si>
    <t>Basis: 13 years of Actuals from Tx City/Clear Lake Plants</t>
  </si>
  <si>
    <t>Instruments &amp; Controls</t>
  </si>
  <si>
    <t>Repair Parts</t>
  </si>
  <si>
    <t>variable</t>
  </si>
  <si>
    <t>Outside Repair Services</t>
  </si>
  <si>
    <t>fixed</t>
  </si>
  <si>
    <t>Basis: Vineland, NJ experience (1 x LM6000)</t>
  </si>
  <si>
    <t>Water Treatment System</t>
  </si>
  <si>
    <t>scaled on throughput and hrs of operation</t>
  </si>
  <si>
    <t>Outside Contract Labor</t>
  </si>
  <si>
    <t>Cooling System &amp; Chillers</t>
  </si>
  <si>
    <t>Scaled on plant size</t>
  </si>
  <si>
    <t>Electrical/Substation/Interconnects</t>
  </si>
  <si>
    <t>Electric Meter Calibration &amp; Testing</t>
  </si>
  <si>
    <t>Scaled cost = Labor Cost + Materials Cost</t>
  </si>
  <si>
    <t xml:space="preserve">Labor cost (25% of total) = 25% x $94,000 </t>
  </si>
  <si>
    <t xml:space="preserve">                                           x (46.5MW/104MW)^0.6  </t>
  </si>
  <si>
    <t>5% of 11% of total</t>
  </si>
  <si>
    <t>Gas Turbines (excluding overhaul maint.)</t>
  </si>
  <si>
    <t>preventive and corrective maintenance, to include</t>
  </si>
  <si>
    <t xml:space="preserve">Equipment rental </t>
  </si>
  <si>
    <t>assumed to cover a few routine TIL installations each year</t>
  </si>
  <si>
    <t>Does not include a membership into the Lease Engine Program</t>
  </si>
  <si>
    <t>HRSG</t>
  </si>
  <si>
    <t>Chemical Feed system</t>
  </si>
  <si>
    <t>$3500/yr x 8700hrs/2500 hrs</t>
  </si>
  <si>
    <t>Condensate system</t>
  </si>
  <si>
    <t>feedwater system</t>
  </si>
  <si>
    <t>Steam distribution system</t>
  </si>
  <si>
    <t>Auxiliary boiler</t>
  </si>
  <si>
    <t>Assuming minimal usage each year</t>
  </si>
  <si>
    <t>Basis: OEC Vineland Experience</t>
  </si>
  <si>
    <t>Steam Turbine (including Scheduled Maint.)</t>
  </si>
  <si>
    <t>Non-scheduled maint. parts/repairs</t>
  </si>
  <si>
    <t>Scheduled Maint.</t>
  </si>
  <si>
    <t>NOT IN SCOPE OF WORK</t>
  </si>
  <si>
    <t>Auxiliary Parts</t>
  </si>
  <si>
    <t>Potable Water System</t>
  </si>
  <si>
    <t>Miscellaneous Maintenance Expense</t>
  </si>
  <si>
    <t>Warehouse Supplies</t>
  </si>
  <si>
    <t>Vehicle Fuel/Gasoline</t>
  </si>
  <si>
    <t>Vehicle Repairs &amp; Maintenance</t>
  </si>
  <si>
    <t>Vehicle Lease</t>
  </si>
  <si>
    <t>Equipment/tools rental</t>
  </si>
  <si>
    <t>Lubricants/Turbine Oil/Grease/Compounds</t>
  </si>
  <si>
    <t>Tools &amp; Tool Repair</t>
  </si>
  <si>
    <t>Maint. Materials &amp; Supplies</t>
  </si>
  <si>
    <t>CEMS maint</t>
  </si>
  <si>
    <t>Fire Protection System</t>
  </si>
  <si>
    <t>Wastewater System</t>
  </si>
  <si>
    <t>Instrument Air system</t>
  </si>
  <si>
    <t>Radio Parts and repairs</t>
  </si>
  <si>
    <t>BOP Repairs</t>
  </si>
  <si>
    <t>Hydrogen</t>
  </si>
  <si>
    <t>O&amp;M Annual Fee</t>
  </si>
  <si>
    <t>This is included in benefits loading under payroll</t>
  </si>
  <si>
    <t>Basis: Eval team concensus</t>
  </si>
  <si>
    <t>Major Equipment Maintenance Program (20 year total)</t>
  </si>
  <si>
    <t>Commercial Office Expenses</t>
  </si>
  <si>
    <t>Administrative/Technical</t>
  </si>
  <si>
    <t>Sustaining Project Expenses</t>
  </si>
  <si>
    <t>10% of procurement items</t>
  </si>
  <si>
    <t>Vehicular Fuel Usage</t>
  </si>
  <si>
    <t>1 Trucks:</t>
  </si>
  <si>
    <t>1 x gal/15 miles x $1.3/gal x 30,000 miles/yr</t>
  </si>
  <si>
    <t>0 Van &amp; 1 Flat-bed Truck:</t>
  </si>
  <si>
    <t>2 x gal/ 10 miles x $1.5/gal x 20 miles/day x 365 days/year</t>
  </si>
  <si>
    <t>1 Forklifts:</t>
  </si>
  <si>
    <t>1 x 2 gal/hr x $1.5/gal x 1 hr/day x 180 days/yr</t>
  </si>
  <si>
    <t>0 Crane:</t>
  </si>
  <si>
    <t>5 gal/hr x $1.5/gal x 40 days/yr x 8 hours/day</t>
  </si>
  <si>
    <t>0 Crew Boats:</t>
  </si>
  <si>
    <t>20 gal/hr x 1hr/30 miles x 30 miles x 2rd trips/d x365 days/yr x $1.5/gal x 2.0 (idle factor)</t>
  </si>
  <si>
    <t>THESE COSTS ARE ALREADY INCLUDED ABOVE IN "OFFICE SUPPLIES/EXPENSES"</t>
  </si>
  <si>
    <t xml:space="preserve">Basis: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</si>
</sst>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71" formatCode="0.0"/>
    <numFmt numFmtId="174" formatCode="0.000"/>
    <numFmt numFmtId="175" formatCode="_(* #,##0.000_);_(* \(#,##0.000\);_(* &quot;-&quot;??_);_(@_)"/>
    <numFmt numFmtId="185" formatCode="_(&quot;$&quot;* #,##0_);_(&quot;$&quot;* \(#,##0\);_(&quot;$&quot;* &quot;-&quot;??_);_(@_)"/>
    <numFmt numFmtId="186" formatCode="0.0%"/>
    <numFmt numFmtId="210" formatCode="_-&quot;£&quot;* #,##0_-;\-&quot;£&quot;* #,##0_-;_-&quot;£&quot;* &quot;-&quot;_-;_-@_-"/>
    <numFmt numFmtId="211" formatCode="_-* #,##0_-;\-* #,##0_-;_-* &quot;-&quot;_-;_-@_-"/>
    <numFmt numFmtId="212" formatCode="_-&quot;£&quot;* #,##0.00_-;\-&quot;£&quot;* #,##0.00_-;_-&quot;£&quot;* &quot;-&quot;??_-;_-@_-"/>
    <numFmt numFmtId="213" formatCode="_-* #,##0.00_-;\-* #,##0.00_-;_-* &quot;-&quot;??_-;_-@_-"/>
    <numFmt numFmtId="214" formatCode="#,##0.000"/>
    <numFmt numFmtId="227" formatCode="mmmm\-yy"/>
    <numFmt numFmtId="228" formatCode="&quot;$&quot;#,##0"/>
    <numFmt numFmtId="230" formatCode="#,##0.000_);\(#,##0.000\)"/>
    <numFmt numFmtId="278" formatCode="&quot;$&quot;#,##0.00"/>
    <numFmt numFmtId="299" formatCode="#,##0.0000000000000_);\(#,##0.0000000000000\)"/>
    <numFmt numFmtId="303" formatCode="&quot;$&quot;#,##0;\(&quot;$&quot;#,##0\)"/>
    <numFmt numFmtId="309" formatCode="\(0\);\(0\)"/>
  </numFmts>
  <fonts count="57">
    <font>
      <sz val="10"/>
      <name val="Arial"/>
    </font>
    <font>
      <sz val="10"/>
      <name val="Arial"/>
    </font>
    <font>
      <sz val="10"/>
      <name val="Times New Roman"/>
    </font>
    <font>
      <sz val="12"/>
      <name val="Helv"/>
    </font>
    <font>
      <sz val="12"/>
      <name val="Arial MT"/>
    </font>
    <font>
      <sz val="8"/>
      <name val="Arial"/>
    </font>
    <font>
      <b/>
      <sz val="10"/>
      <name val="Arial"/>
    </font>
    <font>
      <i/>
      <sz val="10"/>
      <name val="Arial"/>
    </font>
    <font>
      <b/>
      <sz val="12"/>
      <color indexed="8"/>
      <name val="Arial"/>
      <family val="2"/>
    </font>
    <font>
      <b/>
      <sz val="12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Arial"/>
    </font>
    <font>
      <b/>
      <u/>
      <sz val="12"/>
      <name val="Arial"/>
      <family val="2"/>
    </font>
    <font>
      <u/>
      <sz val="10"/>
      <name val="Arial"/>
      <family val="2"/>
    </font>
    <font>
      <vertAlign val="superscript"/>
      <sz val="10"/>
      <name val="Arial"/>
      <family val="2"/>
    </font>
    <font>
      <b/>
      <i/>
      <sz val="10"/>
      <name val="Arial"/>
    </font>
    <font>
      <sz val="12"/>
      <name val="Arial"/>
      <family val="2"/>
    </font>
    <font>
      <sz val="10"/>
      <color indexed="20"/>
      <name val="Arial"/>
      <family val="2"/>
    </font>
    <font>
      <b/>
      <u/>
      <sz val="10"/>
      <name val="Arial"/>
      <family val="2"/>
    </font>
    <font>
      <b/>
      <i/>
      <sz val="12"/>
      <name val="Arial"/>
      <family val="2"/>
    </font>
    <font>
      <sz val="14"/>
      <name val="Arial"/>
      <family val="2"/>
    </font>
    <font>
      <b/>
      <i/>
      <sz val="10"/>
      <name val="Arial"/>
      <family val="2"/>
    </font>
    <font>
      <b/>
      <sz val="14"/>
      <name val="Arial"/>
    </font>
    <font>
      <b/>
      <i/>
      <sz val="10"/>
      <color indexed="8"/>
      <name val="Arial"/>
      <family val="2"/>
    </font>
    <font>
      <sz val="10"/>
      <name val="Times New Roman"/>
      <family val="1"/>
    </font>
    <font>
      <b/>
      <sz val="12"/>
      <name val="Arial"/>
      <family val="2"/>
    </font>
    <font>
      <b/>
      <sz val="10"/>
      <name val="Arial MT"/>
    </font>
    <font>
      <b/>
      <sz val="10"/>
      <color indexed="19"/>
      <name val="Arial"/>
      <family val="2"/>
    </font>
    <font>
      <b/>
      <sz val="10"/>
      <color indexed="19"/>
      <name val="Arial MT"/>
    </font>
    <font>
      <b/>
      <sz val="12"/>
      <name val="Arial MT"/>
    </font>
    <font>
      <sz val="10"/>
      <color indexed="19"/>
      <name val="Arial"/>
      <family val="2"/>
    </font>
    <font>
      <sz val="10"/>
      <name val="Arial MT"/>
    </font>
    <font>
      <b/>
      <i/>
      <sz val="12"/>
      <color indexed="8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4"/>
      <name val="Arial Narrow"/>
      <family val="2"/>
    </font>
    <font>
      <b/>
      <sz val="10"/>
      <color indexed="10"/>
      <name val="Arial"/>
      <family val="2"/>
    </font>
    <font>
      <b/>
      <sz val="12"/>
      <name val="Arial Narrow"/>
      <family val="2"/>
    </font>
    <font>
      <sz val="12"/>
      <name val="Arial Narrow"/>
      <family val="2"/>
    </font>
    <font>
      <b/>
      <sz val="8"/>
      <color indexed="81"/>
      <name val="Tahoma"/>
    </font>
    <font>
      <sz val="8"/>
      <color indexed="81"/>
      <name val="Tahoma"/>
    </font>
    <font>
      <i/>
      <sz val="13"/>
      <name val="Arial Narrow"/>
      <family val="2"/>
    </font>
    <font>
      <b/>
      <sz val="11"/>
      <name val="Arial"/>
      <family val="2"/>
    </font>
    <font>
      <b/>
      <sz val="10"/>
      <name val="Arial Narrow"/>
      <family val="2"/>
    </font>
    <font>
      <sz val="10"/>
      <name val="Arial Rounded MT Bold"/>
    </font>
    <font>
      <sz val="10"/>
      <name val="Arial Narrow"/>
      <family val="2"/>
    </font>
    <font>
      <sz val="10"/>
      <name val="Arial Rounded MT Bold"/>
      <family val="2"/>
    </font>
    <font>
      <i/>
      <sz val="10"/>
      <name val="Arial Narrow"/>
      <family val="2"/>
    </font>
    <font>
      <b/>
      <sz val="11"/>
      <name val="Arial Narrow"/>
      <family val="2"/>
    </font>
    <font>
      <vertAlign val="subscript"/>
      <sz val="10"/>
      <name val="Arial"/>
      <family val="2"/>
    </font>
    <font>
      <b/>
      <i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lightUp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7"/>
        <bgColor indexed="64"/>
      </patternFill>
    </fill>
  </fills>
  <borders count="9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38"/>
      </left>
      <right style="thick">
        <color indexed="38"/>
      </right>
      <top style="thick">
        <color indexed="38"/>
      </top>
      <bottom style="thick">
        <color indexed="38"/>
      </bottom>
      <diagonal/>
    </border>
    <border>
      <left/>
      <right/>
      <top style="thick">
        <color indexed="38"/>
      </top>
      <bottom style="thick">
        <color indexed="38"/>
      </bottom>
      <diagonal/>
    </border>
    <border>
      <left/>
      <right style="thick">
        <color indexed="38"/>
      </right>
      <top style="thick">
        <color indexed="38"/>
      </top>
      <bottom style="thick">
        <color indexed="3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38"/>
      </bottom>
      <diagonal/>
    </border>
    <border>
      <left style="thick">
        <color indexed="38"/>
      </left>
      <right/>
      <top style="thick">
        <color indexed="38"/>
      </top>
      <bottom style="thick">
        <color indexed="38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57"/>
      </left>
      <right/>
      <top style="thick">
        <color indexed="57"/>
      </top>
      <bottom style="thick">
        <color indexed="38"/>
      </bottom>
      <diagonal/>
    </border>
    <border>
      <left/>
      <right/>
      <top style="thick">
        <color indexed="57"/>
      </top>
      <bottom style="thick">
        <color indexed="38"/>
      </bottom>
      <diagonal/>
    </border>
    <border>
      <left/>
      <right style="thick">
        <color indexed="38"/>
      </right>
      <top style="thick">
        <color indexed="57"/>
      </top>
      <bottom style="thick">
        <color indexed="38"/>
      </bottom>
      <diagonal/>
    </border>
    <border>
      <left style="medium">
        <color indexed="64"/>
      </left>
      <right style="thick">
        <color indexed="38"/>
      </right>
      <top style="thick">
        <color indexed="57"/>
      </top>
      <bottom style="thick">
        <color indexed="38"/>
      </bottom>
      <diagonal/>
    </border>
    <border>
      <left style="thick">
        <color indexed="57"/>
      </left>
      <right/>
      <top style="thick">
        <color indexed="57"/>
      </top>
      <bottom style="thick">
        <color indexed="57"/>
      </bottom>
      <diagonal/>
    </border>
    <border>
      <left/>
      <right/>
      <top style="thick">
        <color indexed="57"/>
      </top>
      <bottom style="thick">
        <color indexed="57"/>
      </bottom>
      <diagonal/>
    </border>
    <border>
      <left/>
      <right style="thick">
        <color indexed="57"/>
      </right>
      <top style="thick">
        <color indexed="57"/>
      </top>
      <bottom style="thick">
        <color indexed="57"/>
      </bottom>
      <diagonal/>
    </border>
    <border>
      <left style="thick">
        <color indexed="38"/>
      </left>
      <right style="thick">
        <color indexed="38"/>
      </right>
      <top style="thick">
        <color indexed="38"/>
      </top>
      <bottom/>
      <diagonal/>
    </border>
    <border>
      <left style="thick">
        <color indexed="38"/>
      </left>
      <right style="thick">
        <color indexed="38"/>
      </right>
      <top/>
      <bottom style="thick">
        <color indexed="38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57"/>
      </bottom>
      <diagonal/>
    </border>
    <border>
      <left/>
      <right style="thin">
        <color indexed="64"/>
      </right>
      <top style="thick">
        <color indexed="3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57"/>
      </left>
      <right style="thick">
        <color indexed="57"/>
      </right>
      <top style="thick">
        <color indexed="57"/>
      </top>
      <bottom style="thick">
        <color indexed="57"/>
      </bottom>
      <diagonal/>
    </border>
  </borders>
  <cellStyleXfs count="7">
    <xf numFmtId="0" fontId="0" fillId="0" borderId="0"/>
    <xf numFmtId="0" fontId="7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303" fontId="1" fillId="0" borderId="0" applyNumberFormat="0" applyFont="0" applyFill="0" applyBorder="0" applyAlignment="0" applyProtection="0"/>
    <xf numFmtId="0" fontId="5" fillId="0" borderId="0"/>
    <xf numFmtId="9" fontId="1" fillId="0" borderId="0" applyFont="0" applyFill="0" applyBorder="0" applyAlignment="0" applyProtection="0"/>
  </cellStyleXfs>
  <cellXfs count="709">
    <xf numFmtId="0" fontId="0" fillId="0" borderId="0" xfId="0"/>
    <xf numFmtId="3" fontId="8" fillId="0" borderId="0" xfId="0" applyNumberFormat="1" applyFont="1" applyAlignment="1" applyProtection="1">
      <alignment horizontal="centerContinuous"/>
    </xf>
    <xf numFmtId="0" fontId="0" fillId="0" borderId="0" xfId="0" applyAlignment="1" applyProtection="1">
      <alignment horizontal="centerContinuous"/>
      <protection locked="0"/>
    </xf>
    <xf numFmtId="0" fontId="0" fillId="0" borderId="0" xfId="0" applyProtection="1">
      <protection locked="0"/>
    </xf>
    <xf numFmtId="3" fontId="9" fillId="0" borderId="0" xfId="0" applyNumberFormat="1" applyFont="1" applyAlignment="1" applyProtection="1">
      <alignment horizontal="centerContinuous"/>
      <protection locked="0"/>
    </xf>
    <xf numFmtId="0" fontId="0" fillId="0" borderId="0" xfId="0" applyAlignment="1" applyProtection="1">
      <protection locked="0"/>
    </xf>
    <xf numFmtId="0" fontId="6" fillId="0" borderId="0" xfId="0" applyFont="1" applyAlignment="1" applyProtection="1">
      <protection locked="0"/>
    </xf>
    <xf numFmtId="0" fontId="0" fillId="0" borderId="0" xfId="0" applyAlignment="1" applyProtection="1">
      <alignment horizontal="right"/>
      <protection locked="0"/>
    </xf>
    <xf numFmtId="0" fontId="6" fillId="0" borderId="0" xfId="0" applyFont="1"/>
    <xf numFmtId="0" fontId="0" fillId="0" borderId="0" xfId="0" quotePrefix="1" applyAlignment="1" applyProtection="1">
      <alignment horizontal="right"/>
      <protection locked="0"/>
    </xf>
    <xf numFmtId="3" fontId="9" fillId="0" borderId="0" xfId="0" applyNumberFormat="1" applyFont="1" applyAlignment="1" applyProtection="1">
      <alignment horizontal="centerContinuous"/>
    </xf>
    <xf numFmtId="0" fontId="10" fillId="0" borderId="0" xfId="0" applyFont="1"/>
    <xf numFmtId="0" fontId="0" fillId="0" borderId="0" xfId="0" applyAlignment="1">
      <alignment horizontal="center"/>
    </xf>
    <xf numFmtId="0" fontId="11" fillId="0" borderId="0" xfId="0" applyFont="1"/>
    <xf numFmtId="227" fontId="0" fillId="0" borderId="0" xfId="0" applyNumberFormat="1" applyAlignment="1">
      <alignment horizontal="left"/>
    </xf>
    <xf numFmtId="3" fontId="8" fillId="0" borderId="0" xfId="0" applyNumberFormat="1" applyFont="1" applyAlignment="1" applyProtection="1">
      <alignment horizontal="centerContinuous"/>
      <protection locked="0"/>
    </xf>
    <xf numFmtId="3" fontId="12" fillId="0" borderId="0" xfId="0" applyNumberFormat="1" applyFont="1" applyAlignment="1" applyProtection="1">
      <protection locked="0"/>
    </xf>
    <xf numFmtId="3" fontId="12" fillId="0" borderId="0" xfId="0" applyNumberFormat="1" applyFont="1" applyAlignment="1" applyProtection="1">
      <alignment horizontal="centerContinuous"/>
      <protection locked="0"/>
    </xf>
    <xf numFmtId="0" fontId="10" fillId="0" borderId="0" xfId="0" applyFont="1" applyProtection="1"/>
    <xf numFmtId="0" fontId="0" fillId="0" borderId="0" xfId="0" applyBorder="1" applyProtection="1"/>
    <xf numFmtId="0" fontId="12" fillId="0" borderId="0" xfId="0" applyFont="1" applyBorder="1" applyProtection="1">
      <protection locked="0"/>
    </xf>
    <xf numFmtId="0" fontId="12" fillId="0" borderId="0" xfId="0" applyFont="1" applyProtection="1">
      <protection locked="0"/>
    </xf>
    <xf numFmtId="3" fontId="12" fillId="0" borderId="0" xfId="0" applyNumberFormat="1" applyFont="1" applyProtection="1">
      <protection locked="0"/>
    </xf>
    <xf numFmtId="3" fontId="12" fillId="0" borderId="0" xfId="0" applyNumberFormat="1" applyFont="1" applyProtection="1"/>
    <xf numFmtId="0" fontId="11" fillId="0" borderId="0" xfId="0" applyFont="1" applyProtection="1"/>
    <xf numFmtId="0" fontId="11" fillId="0" borderId="0" xfId="0" applyFont="1" applyBorder="1" applyProtection="1"/>
    <xf numFmtId="9" fontId="12" fillId="0" borderId="0" xfId="0" applyNumberFormat="1" applyFont="1" applyProtection="1">
      <protection locked="0"/>
    </xf>
    <xf numFmtId="214" fontId="12" fillId="0" borderId="0" xfId="0" applyNumberFormat="1" applyFont="1" applyProtection="1">
      <protection locked="0"/>
    </xf>
    <xf numFmtId="0" fontId="11" fillId="0" borderId="0" xfId="0" applyFont="1" applyProtection="1">
      <protection locked="0"/>
    </xf>
    <xf numFmtId="0" fontId="12" fillId="0" borderId="0" xfId="0" applyFont="1"/>
    <xf numFmtId="0" fontId="10" fillId="0" borderId="0" xfId="0" applyFont="1" applyBorder="1" applyProtection="1"/>
    <xf numFmtId="0" fontId="13" fillId="0" borderId="0" xfId="0" applyFont="1" applyProtection="1">
      <protection locked="0"/>
    </xf>
    <xf numFmtId="0" fontId="14" fillId="0" borderId="0" xfId="0" applyFont="1" applyProtection="1">
      <protection locked="0"/>
    </xf>
    <xf numFmtId="3" fontId="0" fillId="0" borderId="0" xfId="0" applyNumberFormat="1" applyProtection="1">
      <protection locked="0"/>
    </xf>
    <xf numFmtId="3" fontId="15" fillId="0" borderId="0" xfId="0" applyNumberFormat="1" applyFont="1" applyProtection="1">
      <protection locked="0"/>
    </xf>
    <xf numFmtId="3" fontId="0" fillId="0" borderId="0" xfId="0" applyNumberFormat="1" applyAlignment="1" applyProtection="1">
      <alignment horizontal="center"/>
      <protection locked="0"/>
    </xf>
    <xf numFmtId="3" fontId="0" fillId="0" borderId="0" xfId="0" applyNumberFormat="1" applyBorder="1" applyProtection="1">
      <protection locked="0"/>
    </xf>
    <xf numFmtId="3" fontId="16" fillId="0" borderId="0" xfId="0" applyNumberFormat="1" applyFont="1" applyBorder="1" applyAlignment="1" applyProtection="1">
      <alignment horizontal="center"/>
      <protection locked="0"/>
    </xf>
    <xf numFmtId="3" fontId="0" fillId="0" borderId="1" xfId="0" applyNumberFormat="1" applyBorder="1" applyAlignment="1" applyProtection="1">
      <alignment horizontal="centerContinuous"/>
      <protection locked="0"/>
    </xf>
    <xf numFmtId="0" fontId="6" fillId="0" borderId="0" xfId="0" applyFont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2" xfId="0" applyBorder="1" applyProtection="1">
      <protection locked="0"/>
    </xf>
    <xf numFmtId="3" fontId="0" fillId="0" borderId="3" xfId="0" applyNumberForma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6" fillId="0" borderId="0" xfId="0" applyFont="1" applyBorder="1" applyProtection="1">
      <protection locked="0"/>
    </xf>
    <xf numFmtId="3" fontId="0" fillId="0" borderId="4" xfId="0" applyNumberFormat="1" applyBorder="1" applyAlignment="1" applyProtection="1">
      <alignment horizont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3" fontId="0" fillId="0" borderId="0" xfId="0" applyNumberFormat="1" applyBorder="1" applyAlignment="1" applyProtection="1">
      <alignment horizontal="center"/>
      <protection locked="0"/>
    </xf>
    <xf numFmtId="166" fontId="1" fillId="0" borderId="2" xfId="2" applyNumberFormat="1" applyFont="1" applyBorder="1" applyAlignment="1" applyProtection="1">
      <alignment horizontal="center"/>
      <protection locked="0"/>
    </xf>
    <xf numFmtId="166" fontId="1" fillId="0" borderId="3" xfId="2" applyNumberFormat="1" applyBorder="1" applyAlignment="1" applyProtection="1">
      <alignment horizontal="center"/>
      <protection locked="0"/>
    </xf>
    <xf numFmtId="166" fontId="1" fillId="0" borderId="0" xfId="2" applyNumberForma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center"/>
      <protection locked="0"/>
    </xf>
    <xf numFmtId="3" fontId="0" fillId="0" borderId="1" xfId="0" applyNumberFormat="1" applyBorder="1" applyAlignment="1" applyProtection="1">
      <alignment horizontal="center"/>
      <protection locked="0"/>
    </xf>
    <xf numFmtId="166" fontId="1" fillId="0" borderId="1" xfId="2" applyNumberFormat="1" applyBorder="1" applyAlignment="1" applyProtection="1">
      <alignment horizontal="center"/>
      <protection locked="0"/>
    </xf>
    <xf numFmtId="166" fontId="11" fillId="0" borderId="4" xfId="2" applyNumberFormat="1" applyFont="1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43" fontId="0" fillId="0" borderId="0" xfId="0" applyNumberFormat="1" applyProtection="1">
      <protection locked="0"/>
    </xf>
    <xf numFmtId="0" fontId="0" fillId="0" borderId="0" xfId="0" applyBorder="1" applyAlignment="1" applyProtection="1">
      <alignment horizontal="right"/>
      <protection locked="0"/>
    </xf>
    <xf numFmtId="4" fontId="0" fillId="0" borderId="1" xfId="0" applyNumberFormat="1" applyBorder="1" applyAlignment="1" applyProtection="1">
      <alignment horizontal="center"/>
      <protection locked="0"/>
    </xf>
    <xf numFmtId="4" fontId="0" fillId="0" borderId="0" xfId="0" applyNumberFormat="1" applyBorder="1" applyAlignment="1" applyProtection="1">
      <alignment horizontal="center"/>
      <protection locked="0"/>
    </xf>
    <xf numFmtId="0" fontId="6" fillId="0" borderId="0" xfId="0" applyFont="1" applyBorder="1" applyAlignment="1" applyProtection="1">
      <alignment horizontal="left"/>
      <protection locked="0"/>
    </xf>
    <xf numFmtId="166" fontId="1" fillId="0" borderId="1" xfId="2" applyNumberFormat="1" applyFont="1" applyBorder="1" applyProtection="1">
      <protection locked="0"/>
    </xf>
    <xf numFmtId="0" fontId="10" fillId="0" borderId="0" xfId="0" applyFont="1" applyProtection="1">
      <protection locked="0"/>
    </xf>
    <xf numFmtId="166" fontId="1" fillId="0" borderId="1" xfId="2" applyNumberFormat="1" applyBorder="1" applyProtection="1">
      <protection locked="0"/>
    </xf>
    <xf numFmtId="166" fontId="1" fillId="0" borderId="6" xfId="2" applyNumberFormat="1" applyBorder="1" applyProtection="1">
      <protection locked="0"/>
    </xf>
    <xf numFmtId="166" fontId="1" fillId="0" borderId="4" xfId="2" applyNumberFormat="1" applyBorder="1" applyProtection="1">
      <protection locked="0"/>
    </xf>
    <xf numFmtId="166" fontId="1" fillId="0" borderId="7" xfId="2" applyNumberFormat="1" applyBorder="1" applyProtection="1">
      <protection locked="0"/>
    </xf>
    <xf numFmtId="0" fontId="0" fillId="0" borderId="0" xfId="0" applyProtection="1"/>
    <xf numFmtId="3" fontId="0" fillId="0" borderId="0" xfId="0" applyNumberFormat="1" applyProtection="1"/>
    <xf numFmtId="3" fontId="0" fillId="0" borderId="0" xfId="0" applyNumberFormat="1" applyAlignment="1" applyProtection="1">
      <alignment horizontal="centerContinuous"/>
      <protection locked="0"/>
    </xf>
    <xf numFmtId="3" fontId="18" fillId="0" borderId="0" xfId="0" applyNumberFormat="1" applyFont="1" applyProtection="1">
      <protection locked="0"/>
    </xf>
    <xf numFmtId="3" fontId="7" fillId="0" borderId="0" xfId="0" applyNumberFormat="1" applyFont="1" applyProtection="1">
      <protection locked="0"/>
    </xf>
    <xf numFmtId="3" fontId="16" fillId="0" borderId="0" xfId="0" applyNumberFormat="1" applyFont="1" applyAlignment="1" applyProtection="1">
      <alignment horizontal="center"/>
      <protection locked="0"/>
    </xf>
    <xf numFmtId="3" fontId="6" fillId="0" borderId="1" xfId="0" applyNumberFormat="1" applyFont="1" applyBorder="1" applyAlignment="1" applyProtection="1">
      <alignment horizontal="center"/>
      <protection locked="0"/>
    </xf>
    <xf numFmtId="0" fontId="11" fillId="0" borderId="0" xfId="0" applyFont="1" applyBorder="1" applyAlignment="1" applyProtection="1">
      <alignment horizontal="center"/>
      <protection locked="0"/>
    </xf>
    <xf numFmtId="3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3" fontId="0" fillId="0" borderId="4" xfId="0" applyNumberFormat="1" applyBorder="1" applyProtection="1">
      <protection locked="0"/>
    </xf>
    <xf numFmtId="3" fontId="0" fillId="0" borderId="2" xfId="0" applyNumberFormat="1" applyBorder="1" applyProtection="1">
      <protection locked="0"/>
    </xf>
    <xf numFmtId="3" fontId="0" fillId="0" borderId="2" xfId="0" applyNumberFormat="1" applyBorder="1" applyAlignment="1" applyProtection="1">
      <alignment horizontal="center"/>
      <protection locked="0"/>
    </xf>
    <xf numFmtId="3" fontId="0" fillId="0" borderId="1" xfId="0" applyNumberFormat="1" applyBorder="1" applyProtection="1">
      <protection locked="0"/>
    </xf>
    <xf numFmtId="0" fontId="9" fillId="0" borderId="0" xfId="0" applyFont="1" applyAlignment="1" applyProtection="1">
      <alignment horizontal="centerContinuous"/>
      <protection locked="0"/>
    </xf>
    <xf numFmtId="0" fontId="19" fillId="0" borderId="0" xfId="0" applyFont="1" applyAlignment="1">
      <alignment horizontal="centerContinuous"/>
    </xf>
    <xf numFmtId="0" fontId="19" fillId="0" borderId="0" xfId="0" applyFont="1" applyBorder="1" applyAlignment="1">
      <alignment horizontal="centerContinuous"/>
    </xf>
    <xf numFmtId="0" fontId="19" fillId="0" borderId="0" xfId="0" applyFont="1" applyAlignment="1">
      <alignment horizontal="left"/>
    </xf>
    <xf numFmtId="0" fontId="19" fillId="0" borderId="9" xfId="0" applyFont="1" applyBorder="1" applyAlignment="1">
      <alignment horizontal="left"/>
    </xf>
    <xf numFmtId="0" fontId="19" fillId="0" borderId="10" xfId="0" applyFont="1" applyBorder="1" applyAlignment="1"/>
    <xf numFmtId="0" fontId="19" fillId="0" borderId="11" xfId="0" applyFont="1" applyBorder="1" applyAlignment="1"/>
    <xf numFmtId="0" fontId="19" fillId="0" borderId="11" xfId="0" applyFont="1" applyBorder="1" applyAlignment="1">
      <alignment horizontal="left"/>
    </xf>
    <xf numFmtId="0" fontId="19" fillId="0" borderId="12" xfId="0" applyFont="1" applyBorder="1" applyAlignment="1"/>
    <xf numFmtId="0" fontId="19" fillId="0" borderId="13" xfId="0" applyFont="1" applyBorder="1" applyAlignment="1"/>
    <xf numFmtId="0" fontId="0" fillId="0" borderId="12" xfId="0" applyBorder="1"/>
    <xf numFmtId="0" fontId="0" fillId="0" borderId="10" xfId="0" applyBorder="1"/>
    <xf numFmtId="0" fontId="0" fillId="0" borderId="13" xfId="0" applyBorder="1"/>
    <xf numFmtId="0" fontId="19" fillId="0" borderId="13" xfId="0" applyFont="1" applyBorder="1" applyAlignment="1">
      <alignment horizontal="centerContinuous"/>
    </xf>
    <xf numFmtId="0" fontId="19" fillId="0" borderId="9" xfId="0" applyFont="1" applyBorder="1" applyAlignment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9" fillId="0" borderId="17" xfId="0" applyFont="1" applyBorder="1" applyAlignment="1">
      <alignment horizontal="left"/>
    </xf>
    <xf numFmtId="0" fontId="19" fillId="0" borderId="18" xfId="0" applyFont="1" applyBorder="1" applyAlignment="1">
      <alignment horizontal="left"/>
    </xf>
    <xf numFmtId="0" fontId="19" fillId="0" borderId="19" xfId="0" applyFont="1" applyBorder="1" applyAlignment="1">
      <alignment horizontal="left"/>
    </xf>
    <xf numFmtId="0" fontId="19" fillId="0" borderId="0" xfId="0" applyFont="1" applyBorder="1"/>
    <xf numFmtId="0" fontId="19" fillId="0" borderId="19" xfId="0" applyFont="1" applyBorder="1"/>
    <xf numFmtId="0" fontId="0" fillId="0" borderId="19" xfId="0" applyBorder="1"/>
    <xf numFmtId="0" fontId="19" fillId="0" borderId="18" xfId="0" applyFont="1" applyBorder="1"/>
    <xf numFmtId="0" fontId="0" fillId="0" borderId="18" xfId="0" applyBorder="1"/>
    <xf numFmtId="0" fontId="19" fillId="0" borderId="20" xfId="0" applyFont="1" applyBorder="1"/>
    <xf numFmtId="0" fontId="0" fillId="0" borderId="0" xfId="0" applyBorder="1"/>
    <xf numFmtId="0" fontId="19" fillId="0" borderId="21" xfId="0" applyFont="1" applyBorder="1"/>
    <xf numFmtId="0" fontId="0" fillId="0" borderId="22" xfId="0" applyBorder="1"/>
    <xf numFmtId="0" fontId="0" fillId="0" borderId="23" xfId="0" applyBorder="1"/>
    <xf numFmtId="0" fontId="19" fillId="2" borderId="13" xfId="0" applyFont="1" applyFill="1" applyBorder="1"/>
    <xf numFmtId="0" fontId="19" fillId="2" borderId="11" xfId="0" applyFont="1" applyFill="1" applyBorder="1"/>
    <xf numFmtId="0" fontId="19" fillId="2" borderId="24" xfId="0" applyFont="1" applyFill="1" applyBorder="1"/>
    <xf numFmtId="0" fontId="19" fillId="2" borderId="25" xfId="0" applyFont="1" applyFill="1" applyBorder="1"/>
    <xf numFmtId="0" fontId="19" fillId="2" borderId="26" xfId="0" applyFont="1" applyFill="1" applyBorder="1"/>
    <xf numFmtId="0" fontId="19" fillId="0" borderId="21" xfId="0" applyFont="1" applyFill="1" applyBorder="1"/>
    <xf numFmtId="0" fontId="19" fillId="0" borderId="14" xfId="0" applyFont="1" applyFill="1" applyBorder="1"/>
    <xf numFmtId="0" fontId="19" fillId="0" borderId="17" xfId="0" applyFont="1" applyFill="1" applyBorder="1"/>
    <xf numFmtId="0" fontId="19" fillId="0" borderId="15" xfId="0" applyFont="1" applyFill="1" applyBorder="1"/>
    <xf numFmtId="0" fontId="19" fillId="0" borderId="18" xfId="0" applyFont="1" applyFill="1" applyBorder="1"/>
    <xf numFmtId="0" fontId="19" fillId="0" borderId="19" xfId="0" applyFont="1" applyFill="1" applyBorder="1"/>
    <xf numFmtId="0" fontId="0" fillId="0" borderId="2" xfId="0" applyBorder="1" applyAlignment="1" applyProtection="1">
      <alignment horizontal="centerContinuous"/>
    </xf>
    <xf numFmtId="0" fontId="0" fillId="0" borderId="3" xfId="0" applyBorder="1" applyAlignment="1" applyProtection="1">
      <alignment horizontal="centerContinuous"/>
    </xf>
    <xf numFmtId="0" fontId="0" fillId="0" borderId="4" xfId="0" applyBorder="1" applyAlignment="1" applyProtection="1">
      <alignment horizontal="center"/>
    </xf>
    <xf numFmtId="0" fontId="0" fillId="0" borderId="4" xfId="0" applyBorder="1" applyAlignment="1" applyProtection="1">
      <alignment horizontal="centerContinuous"/>
    </xf>
    <xf numFmtId="0" fontId="0" fillId="0" borderId="2" xfId="0" applyBorder="1" applyAlignment="1" applyProtection="1">
      <alignment horizontal="center"/>
    </xf>
    <xf numFmtId="166" fontId="1" fillId="0" borderId="27" xfId="2" applyNumberFormat="1" applyBorder="1" applyProtection="1"/>
    <xf numFmtId="166" fontId="1" fillId="0" borderId="2" xfId="2" applyNumberFormat="1" applyBorder="1" applyProtection="1"/>
    <xf numFmtId="0" fontId="0" fillId="0" borderId="3" xfId="0" applyFill="1" applyBorder="1" applyAlignment="1" applyProtection="1">
      <alignment horizontal="center"/>
    </xf>
    <xf numFmtId="0" fontId="0" fillId="0" borderId="0" xfId="0" applyFill="1" applyBorder="1" applyAlignment="1" applyProtection="1">
      <alignment horizontal="center"/>
    </xf>
    <xf numFmtId="228" fontId="1" fillId="0" borderId="0" xfId="2" applyNumberFormat="1" applyFont="1" applyBorder="1" applyAlignment="1" applyProtection="1">
      <alignment horizontal="center"/>
    </xf>
    <xf numFmtId="5" fontId="1" fillId="0" borderId="3" xfId="2" applyNumberFormat="1" applyBorder="1" applyAlignment="1" applyProtection="1">
      <alignment horizontal="center"/>
    </xf>
    <xf numFmtId="0" fontId="0" fillId="0" borderId="28" xfId="0" applyBorder="1" applyAlignment="1" applyProtection="1">
      <alignment horizontal="centerContinuous"/>
    </xf>
    <xf numFmtId="5" fontId="1" fillId="0" borderId="28" xfId="2" applyNumberFormat="1" applyBorder="1" applyAlignment="1" applyProtection="1">
      <alignment horizontal="center"/>
    </xf>
    <xf numFmtId="5" fontId="1" fillId="0" borderId="4" xfId="2" applyNumberFormat="1" applyBorder="1" applyAlignment="1" applyProtection="1">
      <alignment horizontal="center"/>
    </xf>
    <xf numFmtId="0" fontId="0" fillId="0" borderId="0" xfId="0" applyBorder="1" applyAlignment="1" applyProtection="1">
      <alignment horizontal="centerContinuous"/>
    </xf>
    <xf numFmtId="5" fontId="1" fillId="0" borderId="0" xfId="2" applyNumberFormat="1" applyBorder="1" applyAlignment="1" applyProtection="1">
      <alignment horizontal="center"/>
    </xf>
    <xf numFmtId="5" fontId="0" fillId="0" borderId="0" xfId="0" applyNumberFormat="1" applyBorder="1" applyAlignment="1" applyProtection="1">
      <alignment horizontal="center"/>
    </xf>
    <xf numFmtId="0" fontId="0" fillId="0" borderId="1" xfId="0" applyBorder="1" applyAlignment="1" applyProtection="1">
      <alignment horizontal="centerContinuous"/>
    </xf>
    <xf numFmtId="0" fontId="0" fillId="0" borderId="29" xfId="0" applyBorder="1" applyAlignment="1" applyProtection="1"/>
    <xf numFmtId="0" fontId="0" fillId="0" borderId="30" xfId="0" applyBorder="1" applyAlignment="1" applyProtection="1"/>
    <xf numFmtId="5" fontId="0" fillId="0" borderId="31" xfId="0" applyNumberFormat="1" applyBorder="1" applyAlignment="1" applyProtection="1">
      <alignment horizontal="center"/>
    </xf>
    <xf numFmtId="5" fontId="20" fillId="0" borderId="1" xfId="2" applyNumberFormat="1" applyFont="1" applyBorder="1" applyAlignment="1" applyProtection="1">
      <alignment horizontal="center"/>
    </xf>
    <xf numFmtId="0" fontId="0" fillId="0" borderId="0" xfId="0" applyAlignment="1" applyProtection="1">
      <alignment horizontal="centerContinuous"/>
    </xf>
    <xf numFmtId="0" fontId="11" fillId="0" borderId="9" xfId="0" applyFont="1" applyBorder="1" applyAlignment="1" applyProtection="1">
      <alignment horizontal="right"/>
      <protection locked="0"/>
    </xf>
    <xf numFmtId="171" fontId="0" fillId="0" borderId="0" xfId="0" applyNumberFormat="1" applyProtection="1">
      <protection locked="0"/>
    </xf>
    <xf numFmtId="166" fontId="1" fillId="0" borderId="0" xfId="2" applyNumberFormat="1" applyProtection="1">
      <protection locked="0"/>
    </xf>
    <xf numFmtId="171" fontId="0" fillId="0" borderId="9" xfId="0" applyNumberFormat="1" applyBorder="1" applyProtection="1">
      <protection locked="0"/>
    </xf>
    <xf numFmtId="166" fontId="1" fillId="0" borderId="9" xfId="2" applyNumberFormat="1" applyBorder="1" applyProtection="1">
      <protection locked="0"/>
    </xf>
    <xf numFmtId="171" fontId="1" fillId="0" borderId="0" xfId="2" applyNumberFormat="1" applyProtection="1">
      <protection locked="0"/>
    </xf>
    <xf numFmtId="1" fontId="1" fillId="0" borderId="9" xfId="2" applyNumberFormat="1" applyBorder="1" applyProtection="1">
      <protection locked="0"/>
    </xf>
    <xf numFmtId="0" fontId="0" fillId="0" borderId="0" xfId="0" quotePrefix="1" applyProtection="1">
      <protection locked="0"/>
    </xf>
    <xf numFmtId="171" fontId="11" fillId="0" borderId="9" xfId="0" applyNumberFormat="1" applyFont="1" applyBorder="1" applyProtection="1">
      <protection locked="0"/>
    </xf>
    <xf numFmtId="166" fontId="11" fillId="0" borderId="9" xfId="2" applyNumberFormat="1" applyFont="1" applyBorder="1" applyProtection="1">
      <protection locked="0"/>
    </xf>
    <xf numFmtId="1" fontId="1" fillId="0" borderId="0" xfId="2" applyNumberFormat="1" applyProtection="1">
      <protection locked="0"/>
    </xf>
    <xf numFmtId="1" fontId="0" fillId="0" borderId="0" xfId="0" applyNumberFormat="1" applyProtection="1">
      <protection locked="0"/>
    </xf>
    <xf numFmtId="0" fontId="1" fillId="0" borderId="0" xfId="0" applyFont="1" applyProtection="1">
      <protection locked="0"/>
    </xf>
    <xf numFmtId="1" fontId="11" fillId="0" borderId="9" xfId="2" applyNumberFormat="1" applyFont="1" applyBorder="1" applyProtection="1">
      <protection locked="0"/>
    </xf>
    <xf numFmtId="166" fontId="11" fillId="0" borderId="0" xfId="2" applyNumberFormat="1" applyFont="1" applyProtection="1">
      <protection locked="0"/>
    </xf>
    <xf numFmtId="22" fontId="0" fillId="0" borderId="0" xfId="0" applyNumberFormat="1" applyProtection="1">
      <protection locked="0"/>
    </xf>
    <xf numFmtId="3" fontId="9" fillId="0" borderId="0" xfId="0" applyNumberFormat="1" applyFont="1" applyAlignment="1">
      <alignment horizontal="centerContinuous"/>
    </xf>
    <xf numFmtId="0" fontId="0" fillId="0" borderId="0" xfId="0" applyAlignment="1">
      <alignment horizontal="centerContinuous"/>
    </xf>
    <xf numFmtId="0" fontId="9" fillId="0" borderId="0" xfId="0" applyFont="1" applyAlignment="1">
      <alignment horizontal="centerContinuous"/>
    </xf>
    <xf numFmtId="0" fontId="10" fillId="0" borderId="9" xfId="0" applyFont="1" applyBorder="1" applyAlignment="1">
      <alignment horizontal="center"/>
    </xf>
    <xf numFmtId="0" fontId="10" fillId="0" borderId="9" xfId="0" applyFont="1" applyBorder="1" applyAlignment="1">
      <alignment horizontal="centerContinuous"/>
    </xf>
    <xf numFmtId="0" fontId="10" fillId="0" borderId="9" xfId="0" applyFont="1" applyBorder="1"/>
    <xf numFmtId="0" fontId="21" fillId="0" borderId="10" xfId="0" applyFont="1" applyBorder="1" applyAlignment="1">
      <alignment horizontal="center"/>
    </xf>
    <xf numFmtId="0" fontId="21" fillId="0" borderId="10" xfId="0" applyFont="1" applyBorder="1" applyAlignment="1"/>
    <xf numFmtId="0" fontId="0" fillId="0" borderId="10" xfId="0" applyBorder="1" applyAlignment="1">
      <alignment horizontal="center"/>
    </xf>
    <xf numFmtId="0" fontId="0" fillId="0" borderId="10" xfId="0" applyBorder="1" applyAlignment="1"/>
    <xf numFmtId="0" fontId="1" fillId="0" borderId="0" xfId="0" applyFont="1"/>
    <xf numFmtId="0" fontId="1" fillId="0" borderId="10" xfId="0" applyFont="1" applyBorder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Continuous"/>
    </xf>
    <xf numFmtId="0" fontId="0" fillId="0" borderId="0" xfId="0" quotePrefix="1"/>
    <xf numFmtId="0" fontId="18" fillId="0" borderId="0" xfId="0" applyFont="1" applyProtection="1">
      <protection locked="0"/>
    </xf>
    <xf numFmtId="0" fontId="22" fillId="3" borderId="32" xfId="0" applyFont="1" applyFill="1" applyBorder="1" applyProtection="1">
      <protection locked="0"/>
    </xf>
    <xf numFmtId="0" fontId="22" fillId="3" borderId="33" xfId="0" applyFont="1" applyFill="1" applyBorder="1" applyProtection="1">
      <protection locked="0"/>
    </xf>
    <xf numFmtId="0" fontId="22" fillId="3" borderId="34" xfId="0" applyFont="1" applyFill="1" applyBorder="1" applyProtection="1">
      <protection locked="0"/>
    </xf>
    <xf numFmtId="0" fontId="10" fillId="3" borderId="1" xfId="0" applyFont="1" applyFill="1" applyBorder="1" applyAlignment="1" applyProtection="1">
      <alignment horizontal="centerContinuous" vertical="center"/>
      <protection locked="0"/>
    </xf>
    <xf numFmtId="0" fontId="23" fillId="0" borderId="0" xfId="0" applyFont="1" applyAlignment="1" applyProtection="1">
      <alignment horizontal="left"/>
      <protection locked="0"/>
    </xf>
    <xf numFmtId="3" fontId="9" fillId="4" borderId="27" xfId="0" applyNumberFormat="1" applyFont="1" applyFill="1" applyBorder="1" applyAlignment="1" applyProtection="1">
      <alignment horizontal="left"/>
      <protection locked="0"/>
    </xf>
    <xf numFmtId="0" fontId="22" fillId="4" borderId="27" xfId="0" applyFont="1" applyFill="1" applyBorder="1" applyAlignment="1" applyProtection="1">
      <alignment horizontal="centerContinuous"/>
      <protection locked="0"/>
    </xf>
    <xf numFmtId="0" fontId="24" fillId="4" borderId="35" xfId="0" applyFont="1" applyFill="1" applyBorder="1" applyAlignment="1" applyProtection="1">
      <alignment horizontal="centerContinuous" vertical="center"/>
      <protection locked="0"/>
    </xf>
    <xf numFmtId="0" fontId="25" fillId="4" borderId="6" xfId="0" applyFont="1" applyFill="1" applyBorder="1" applyProtection="1">
      <protection locked="0"/>
    </xf>
    <xf numFmtId="0" fontId="22" fillId="4" borderId="28" xfId="0" applyFont="1" applyFill="1" applyBorder="1" applyProtection="1">
      <protection locked="0"/>
    </xf>
    <xf numFmtId="0" fontId="24" fillId="4" borderId="7" xfId="0" applyFont="1" applyFill="1" applyBorder="1" applyAlignment="1" applyProtection="1">
      <alignment horizontal="centerContinuous" vertical="center"/>
      <protection locked="0"/>
    </xf>
    <xf numFmtId="0" fontId="24" fillId="4" borderId="36" xfId="1" applyFont="1" applyFill="1" applyBorder="1" applyAlignment="1" applyProtection="1">
      <alignment horizontal="left"/>
      <protection locked="0"/>
    </xf>
    <xf numFmtId="0" fontId="18" fillId="4" borderId="37" xfId="0" applyFont="1" applyFill="1" applyBorder="1" applyProtection="1">
      <protection locked="0"/>
    </xf>
    <xf numFmtId="0" fontId="7" fillId="4" borderId="38" xfId="0" applyFont="1" applyFill="1" applyBorder="1" applyProtection="1">
      <protection locked="0"/>
    </xf>
    <xf numFmtId="3" fontId="18" fillId="4" borderId="1" xfId="1" applyNumberFormat="1" applyFont="1" applyFill="1" applyBorder="1" applyProtection="1">
      <protection locked="0"/>
    </xf>
    <xf numFmtId="9" fontId="11" fillId="4" borderId="1" xfId="6" applyFont="1" applyFill="1" applyBorder="1" applyProtection="1">
      <protection locked="0"/>
    </xf>
    <xf numFmtId="0" fontId="7" fillId="0" borderId="0" xfId="1" applyProtection="1">
      <protection locked="0"/>
    </xf>
    <xf numFmtId="0" fontId="0" fillId="0" borderId="39" xfId="0" applyBorder="1" applyProtection="1">
      <protection locked="0"/>
    </xf>
    <xf numFmtId="0" fontId="0" fillId="0" borderId="8" xfId="0" applyBorder="1" applyProtection="1">
      <protection locked="0"/>
    </xf>
    <xf numFmtId="3" fontId="0" fillId="5" borderId="1" xfId="0" applyNumberFormat="1" applyFill="1" applyBorder="1" applyProtection="1">
      <protection locked="0"/>
    </xf>
    <xf numFmtId="0" fontId="18" fillId="3" borderId="40" xfId="1" applyFont="1" applyFill="1" applyBorder="1" applyAlignment="1" applyProtection="1">
      <alignment horizontal="right"/>
      <protection locked="0"/>
    </xf>
    <xf numFmtId="3" fontId="18" fillId="5" borderId="1" xfId="1" applyNumberFormat="1" applyFont="1" applyFill="1" applyBorder="1" applyProtection="1">
      <protection locked="0"/>
    </xf>
    <xf numFmtId="0" fontId="24" fillId="4" borderId="41" xfId="1" applyFont="1" applyFill="1" applyBorder="1" applyAlignment="1" applyProtection="1">
      <alignment horizontal="left"/>
      <protection locked="0"/>
    </xf>
    <xf numFmtId="0" fontId="18" fillId="4" borderId="11" xfId="0" applyFont="1" applyFill="1" applyBorder="1" applyProtection="1">
      <protection locked="0"/>
    </xf>
    <xf numFmtId="0" fontId="7" fillId="4" borderId="13" xfId="0" applyFont="1" applyFill="1" applyBorder="1" applyProtection="1">
      <protection locked="0"/>
    </xf>
    <xf numFmtId="0" fontId="7" fillId="4" borderId="8" xfId="0" applyFont="1" applyFill="1" applyBorder="1" applyProtection="1">
      <protection locked="0"/>
    </xf>
    <xf numFmtId="9" fontId="11" fillId="4" borderId="1" xfId="0" applyNumberFormat="1" applyFont="1" applyFill="1" applyBorder="1" applyProtection="1">
      <protection locked="0"/>
    </xf>
    <xf numFmtId="0" fontId="7" fillId="4" borderId="31" xfId="0" applyFont="1" applyFill="1" applyBorder="1" applyProtection="1">
      <protection locked="0"/>
    </xf>
    <xf numFmtId="0" fontId="7" fillId="0" borderId="0" xfId="1" applyNumberFormat="1" applyProtection="1">
      <protection locked="0"/>
    </xf>
    <xf numFmtId="0" fontId="0" fillId="0" borderId="39" xfId="0" applyFill="1" applyBorder="1" applyProtection="1"/>
    <xf numFmtId="0" fontId="0" fillId="0" borderId="0" xfId="0" applyFill="1" applyBorder="1" applyProtection="1"/>
    <xf numFmtId="0" fontId="18" fillId="4" borderId="41" xfId="1" applyFont="1" applyFill="1" applyBorder="1" applyAlignment="1" applyProtection="1">
      <alignment horizontal="left"/>
      <protection locked="0"/>
    </xf>
    <xf numFmtId="0" fontId="7" fillId="4" borderId="11" xfId="1" applyFill="1" applyBorder="1" applyProtection="1">
      <protection locked="0"/>
    </xf>
    <xf numFmtId="0" fontId="18" fillId="4" borderId="13" xfId="1" applyFont="1" applyFill="1" applyBorder="1" applyAlignment="1" applyProtection="1">
      <alignment horizontal="right"/>
      <protection locked="0"/>
    </xf>
    <xf numFmtId="0" fontId="12" fillId="0" borderId="39" xfId="0" applyFont="1" applyBorder="1" applyProtection="1">
      <protection locked="0"/>
    </xf>
    <xf numFmtId="0" fontId="12" fillId="0" borderId="8" xfId="0" applyFont="1" applyBorder="1" applyProtection="1">
      <protection locked="0"/>
    </xf>
    <xf numFmtId="3" fontId="12" fillId="5" borderId="1" xfId="0" applyNumberFormat="1" applyFont="1" applyFill="1" applyBorder="1" applyProtection="1">
      <protection locked="0"/>
    </xf>
    <xf numFmtId="3" fontId="11" fillId="5" borderId="1" xfId="1" applyNumberFormat="1" applyFont="1" applyFill="1" applyBorder="1" applyProtection="1">
      <protection locked="0"/>
    </xf>
    <xf numFmtId="0" fontId="26" fillId="3" borderId="40" xfId="1" applyFont="1" applyFill="1" applyBorder="1" applyAlignment="1" applyProtection="1">
      <alignment horizontal="right"/>
      <protection locked="0"/>
    </xf>
    <xf numFmtId="3" fontId="26" fillId="5" borderId="1" xfId="1" applyNumberFormat="1" applyFont="1" applyFill="1" applyBorder="1" applyProtection="1">
      <protection locked="0"/>
    </xf>
    <xf numFmtId="0" fontId="11" fillId="0" borderId="39" xfId="0" applyFont="1" applyBorder="1" applyProtection="1">
      <protection locked="0"/>
    </xf>
    <xf numFmtId="0" fontId="11" fillId="0" borderId="0" xfId="0" applyFont="1" applyBorder="1" applyProtection="1">
      <protection locked="0"/>
    </xf>
    <xf numFmtId="0" fontId="11" fillId="0" borderId="8" xfId="0" applyFont="1" applyBorder="1" applyProtection="1">
      <protection locked="0"/>
    </xf>
    <xf numFmtId="3" fontId="11" fillId="5" borderId="1" xfId="0" applyNumberFormat="1" applyFont="1" applyFill="1" applyBorder="1" applyProtection="1">
      <protection locked="0"/>
    </xf>
    <xf numFmtId="6" fontId="11" fillId="0" borderId="8" xfId="0" applyNumberFormat="1" applyFont="1" applyBorder="1" applyProtection="1">
      <protection locked="0"/>
    </xf>
    <xf numFmtId="6" fontId="11" fillId="0" borderId="8" xfId="0" applyNumberFormat="1" applyFont="1" applyBorder="1" applyAlignment="1" applyProtection="1">
      <alignment horizontal="left"/>
      <protection locked="0"/>
    </xf>
    <xf numFmtId="0" fontId="1" fillId="0" borderId="0" xfId="5" applyFont="1" applyBorder="1"/>
    <xf numFmtId="5" fontId="1" fillId="0" borderId="0" xfId="5" applyNumberFormat="1" applyFont="1" applyBorder="1"/>
    <xf numFmtId="0" fontId="11" fillId="0" borderId="39" xfId="5" applyFont="1" applyBorder="1"/>
    <xf numFmtId="0" fontId="11" fillId="0" borderId="0" xfId="5" applyFont="1" applyBorder="1"/>
    <xf numFmtId="5" fontId="11" fillId="0" borderId="0" xfId="5" applyNumberFormat="1" applyFont="1" applyBorder="1"/>
    <xf numFmtId="0" fontId="27" fillId="0" borderId="39" xfId="0" applyFont="1" applyBorder="1" applyProtection="1">
      <protection locked="0"/>
    </xf>
    <xf numFmtId="9" fontId="11" fillId="0" borderId="0" xfId="0" applyNumberFormat="1" applyFont="1" applyBorder="1" applyProtection="1">
      <protection locked="0"/>
    </xf>
    <xf numFmtId="0" fontId="11" fillId="0" borderId="42" xfId="0" applyFont="1" applyBorder="1" applyProtection="1">
      <protection locked="0"/>
    </xf>
    <xf numFmtId="0" fontId="11" fillId="0" borderId="9" xfId="0" applyFont="1" applyBorder="1" applyProtection="1">
      <protection locked="0"/>
    </xf>
    <xf numFmtId="0" fontId="24" fillId="3" borderId="40" xfId="1" applyFont="1" applyFill="1" applyBorder="1" applyAlignment="1" applyProtection="1">
      <alignment horizontal="right"/>
      <protection locked="0"/>
    </xf>
    <xf numFmtId="3" fontId="24" fillId="5" borderId="1" xfId="1" applyNumberFormat="1" applyFont="1" applyFill="1" applyBorder="1" applyProtection="1">
      <protection locked="0"/>
    </xf>
    <xf numFmtId="0" fontId="0" fillId="0" borderId="42" xfId="0" applyBorder="1" applyProtection="1">
      <protection locked="0"/>
    </xf>
    <xf numFmtId="0" fontId="0" fillId="0" borderId="9" xfId="0" applyBorder="1" applyProtection="1">
      <protection locked="0"/>
    </xf>
    <xf numFmtId="9" fontId="0" fillId="0" borderId="8" xfId="0" applyNumberFormat="1" applyBorder="1" applyProtection="1">
      <protection locked="0"/>
    </xf>
    <xf numFmtId="9" fontId="1" fillId="5" borderId="1" xfId="6" applyFill="1" applyBorder="1" applyProtection="1">
      <protection locked="0"/>
    </xf>
    <xf numFmtId="9" fontId="18" fillId="5" borderId="1" xfId="6" applyFont="1" applyFill="1" applyBorder="1" applyProtection="1">
      <protection locked="0"/>
    </xf>
    <xf numFmtId="10" fontId="0" fillId="0" borderId="0" xfId="0" applyNumberFormat="1" applyBorder="1" applyAlignment="1" applyProtection="1">
      <alignment horizontal="left"/>
      <protection locked="0"/>
    </xf>
    <xf numFmtId="0" fontId="0" fillId="0" borderId="6" xfId="0" applyBorder="1" applyProtection="1">
      <protection locked="0"/>
    </xf>
    <xf numFmtId="0" fontId="0" fillId="0" borderId="28" xfId="0" applyBorder="1" applyProtection="1">
      <protection locked="0"/>
    </xf>
    <xf numFmtId="0" fontId="18" fillId="3" borderId="43" xfId="1" applyFont="1" applyFill="1" applyBorder="1" applyAlignment="1" applyProtection="1">
      <alignment horizontal="right"/>
      <protection locked="0"/>
    </xf>
    <xf numFmtId="0" fontId="7" fillId="0" borderId="0" xfId="0" applyFont="1" applyProtection="1">
      <protection locked="0"/>
    </xf>
    <xf numFmtId="0" fontId="0" fillId="0" borderId="5" xfId="0" applyBorder="1"/>
    <xf numFmtId="0" fontId="0" fillId="0" borderId="2" xfId="0" applyBorder="1"/>
    <xf numFmtId="0" fontId="16" fillId="0" borderId="0" xfId="0" applyFont="1" applyBorder="1" applyAlignment="1" applyProtection="1">
      <alignment horizontal="center"/>
      <protection locked="0"/>
    </xf>
    <xf numFmtId="3" fontId="6" fillId="0" borderId="6" xfId="0" applyNumberFormat="1" applyFont="1" applyBorder="1" applyAlignment="1" applyProtection="1">
      <alignment horizontal="centerContinuous"/>
      <protection locked="0"/>
    </xf>
    <xf numFmtId="3" fontId="6" fillId="0" borderId="4" xfId="0" applyNumberFormat="1" applyFont="1" applyBorder="1" applyAlignment="1" applyProtection="1">
      <alignment horizontal="center"/>
      <protection locked="0"/>
    </xf>
    <xf numFmtId="0" fontId="0" fillId="0" borderId="35" xfId="0" applyBorder="1" applyProtection="1">
      <protection locked="0"/>
    </xf>
    <xf numFmtId="3" fontId="0" fillId="0" borderId="8" xfId="0" applyNumberFormat="1" applyBorder="1" applyProtection="1">
      <protection locked="0"/>
    </xf>
    <xf numFmtId="0" fontId="6" fillId="0" borderId="0" xfId="0" quotePrefix="1" applyFont="1" applyBorder="1" applyProtection="1">
      <protection locked="0"/>
    </xf>
    <xf numFmtId="166" fontId="1" fillId="0" borderId="0" xfId="2" applyNumberFormat="1" applyBorder="1" applyProtection="1">
      <protection locked="0"/>
    </xf>
    <xf numFmtId="166" fontId="0" fillId="0" borderId="0" xfId="0" applyNumberFormat="1" applyBorder="1" applyAlignment="1" applyProtection="1">
      <alignment horizontal="left"/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0" fontId="9" fillId="0" borderId="0" xfId="0" applyFont="1" applyAlignment="1">
      <alignment horizontal="center"/>
    </xf>
    <xf numFmtId="0" fontId="9" fillId="0" borderId="0" xfId="0" applyFont="1" applyBorder="1"/>
    <xf numFmtId="0" fontId="0" fillId="0" borderId="2" xfId="0" applyBorder="1" applyAlignment="1">
      <alignment horizontal="center"/>
    </xf>
    <xf numFmtId="0" fontId="0" fillId="0" borderId="2" xfId="0" applyBorder="1" applyAlignment="1" applyProtection="1">
      <alignment horizontal="centerContinuous"/>
      <protection locked="0"/>
    </xf>
    <xf numFmtId="0" fontId="0" fillId="0" borderId="4" xfId="0" applyBorder="1" applyAlignment="1">
      <alignment horizontal="center"/>
    </xf>
    <xf numFmtId="0" fontId="0" fillId="0" borderId="4" xfId="0" applyBorder="1" applyAlignment="1" applyProtection="1">
      <alignment horizontal="centerContinuous"/>
      <protection locked="0"/>
    </xf>
    <xf numFmtId="0" fontId="0" fillId="0" borderId="4" xfId="0" applyBorder="1" applyAlignment="1">
      <alignment horizontal="centerContinuous"/>
    </xf>
    <xf numFmtId="0" fontId="18" fillId="0" borderId="0" xfId="0" applyFont="1" applyBorder="1"/>
    <xf numFmtId="0" fontId="0" fillId="0" borderId="3" xfId="0" applyBorder="1" applyAlignment="1">
      <alignment horizontal="center"/>
    </xf>
    <xf numFmtId="0" fontId="0" fillId="0" borderId="3" xfId="0" applyBorder="1"/>
    <xf numFmtId="228" fontId="0" fillId="0" borderId="3" xfId="0" applyNumberFormat="1" applyBorder="1" applyAlignment="1">
      <alignment horizontal="center"/>
    </xf>
    <xf numFmtId="228" fontId="1" fillId="0" borderId="3" xfId="2" applyNumberFormat="1" applyBorder="1"/>
    <xf numFmtId="278" fontId="0" fillId="0" borderId="3" xfId="0" applyNumberFormat="1" applyBorder="1" applyAlignment="1">
      <alignment horizontal="center"/>
    </xf>
    <xf numFmtId="228" fontId="0" fillId="0" borderId="3" xfId="0" applyNumberFormat="1" applyBorder="1" applyAlignment="1">
      <alignment horizontal="centerContinuous"/>
    </xf>
    <xf numFmtId="0" fontId="1" fillId="0" borderId="3" xfId="0" applyFont="1" applyBorder="1" applyAlignment="1">
      <alignment horizontal="center"/>
    </xf>
    <xf numFmtId="0" fontId="1" fillId="0" borderId="0" xfId="0" applyFont="1" applyBorder="1"/>
    <xf numFmtId="0" fontId="11" fillId="0" borderId="4" xfId="0" applyFont="1" applyBorder="1" applyAlignment="1">
      <alignment horizontal="center"/>
    </xf>
    <xf numFmtId="228" fontId="11" fillId="0" borderId="3" xfId="0" applyNumberFormat="1" applyFont="1" applyBorder="1" applyAlignment="1">
      <alignment horizontal="centerContinuous"/>
    </xf>
    <xf numFmtId="228" fontId="0" fillId="0" borderId="3" xfId="0" applyNumberFormat="1" applyBorder="1"/>
    <xf numFmtId="0" fontId="6" fillId="0" borderId="0" xfId="0" applyFont="1" applyBorder="1"/>
    <xf numFmtId="0" fontId="6" fillId="0" borderId="1" xfId="0" applyFont="1" applyBorder="1" applyAlignment="1">
      <alignment horizontal="center"/>
    </xf>
    <xf numFmtId="228" fontId="0" fillId="0" borderId="1" xfId="0" applyNumberFormat="1" applyBorder="1"/>
    <xf numFmtId="228" fontId="6" fillId="0" borderId="1" xfId="2" applyNumberFormat="1" applyFont="1" applyBorder="1"/>
    <xf numFmtId="0" fontId="0" fillId="0" borderId="0" xfId="0" applyBorder="1" applyAlignment="1">
      <alignment horizontal="center"/>
    </xf>
    <xf numFmtId="166" fontId="1" fillId="0" borderId="0" xfId="2" applyNumberFormat="1" applyBorder="1"/>
    <xf numFmtId="43" fontId="1" fillId="0" borderId="0" xfId="2" applyNumberFormat="1" applyBorder="1"/>
    <xf numFmtId="0" fontId="28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0" fillId="5" borderId="0" xfId="0" applyFill="1" applyAlignment="1" applyProtection="1">
      <alignment horizontal="center"/>
    </xf>
    <xf numFmtId="5" fontId="0" fillId="0" borderId="0" xfId="0" applyNumberFormat="1" applyAlignment="1" applyProtection="1">
      <alignment horizontal="center"/>
    </xf>
    <xf numFmtId="0" fontId="28" fillId="0" borderId="0" xfId="0" applyFont="1" applyProtection="1"/>
    <xf numFmtId="0" fontId="11" fillId="0" borderId="44" xfId="0" applyFont="1" applyBorder="1" applyProtection="1"/>
    <xf numFmtId="230" fontId="11" fillId="0" borderId="44" xfId="0" applyNumberFormat="1" applyFont="1" applyBorder="1" applyProtection="1"/>
    <xf numFmtId="0" fontId="10" fillId="0" borderId="45" xfId="0" applyFont="1" applyBorder="1" applyAlignment="1" applyProtection="1">
      <alignment horizontal="center"/>
    </xf>
    <xf numFmtId="230" fontId="10" fillId="0" borderId="46" xfId="0" applyNumberFormat="1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  <xf numFmtId="0" fontId="10" fillId="0" borderId="47" xfId="0" applyFont="1" applyBorder="1" applyAlignment="1" applyProtection="1">
      <alignment horizontal="center"/>
    </xf>
    <xf numFmtId="0" fontId="0" fillId="0" borderId="48" xfId="0" applyBorder="1" applyProtection="1"/>
    <xf numFmtId="0" fontId="10" fillId="0" borderId="49" xfId="0" applyFont="1" applyBorder="1" applyAlignment="1" applyProtection="1">
      <alignment horizontal="center"/>
    </xf>
    <xf numFmtId="0" fontId="10" fillId="0" borderId="50" xfId="0" applyFont="1" applyBorder="1" applyAlignment="1" applyProtection="1">
      <alignment horizontal="center"/>
    </xf>
    <xf numFmtId="9" fontId="10" fillId="0" borderId="50" xfId="0" applyNumberFormat="1" applyFont="1" applyBorder="1" applyAlignment="1" applyProtection="1">
      <alignment horizontal="center"/>
    </xf>
    <xf numFmtId="9" fontId="10" fillId="0" borderId="0" xfId="0" applyNumberFormat="1" applyFont="1" applyBorder="1" applyAlignment="1" applyProtection="1">
      <alignment horizontal="center"/>
    </xf>
    <xf numFmtId="0" fontId="0" fillId="0" borderId="51" xfId="0" applyBorder="1" applyProtection="1"/>
    <xf numFmtId="0" fontId="10" fillId="0" borderId="0" xfId="0" applyFont="1" applyBorder="1" applyAlignment="1" applyProtection="1">
      <alignment horizontal="center"/>
    </xf>
    <xf numFmtId="230" fontId="10" fillId="0" borderId="50" xfId="0" applyNumberFormat="1" applyFont="1" applyBorder="1" applyAlignment="1" applyProtection="1">
      <alignment horizontal="center"/>
    </xf>
    <xf numFmtId="0" fontId="29" fillId="0" borderId="51" xfId="0" applyFont="1" applyBorder="1" applyAlignment="1" applyProtection="1">
      <alignment horizontal="center"/>
    </xf>
    <xf numFmtId="10" fontId="30" fillId="5" borderId="0" xfId="6" applyNumberFormat="1" applyFont="1" applyFill="1" applyBorder="1" applyAlignment="1" applyProtection="1">
      <alignment horizontal="center"/>
    </xf>
    <xf numFmtId="230" fontId="10" fillId="0" borderId="0" xfId="0" applyNumberFormat="1" applyFont="1" applyBorder="1" applyAlignment="1" applyProtection="1">
      <alignment horizontal="center"/>
    </xf>
    <xf numFmtId="0" fontId="0" fillId="0" borderId="52" xfId="0" applyBorder="1" applyProtection="1"/>
    <xf numFmtId="0" fontId="32" fillId="0" borderId="10" xfId="0" applyFont="1" applyBorder="1" applyAlignment="1" applyProtection="1">
      <alignment horizontal="center"/>
    </xf>
    <xf numFmtId="0" fontId="10" fillId="0" borderId="10" xfId="0" applyFont="1" applyBorder="1" applyAlignment="1" applyProtection="1">
      <alignment horizontal="center"/>
    </xf>
    <xf numFmtId="230" fontId="10" fillId="0" borderId="10" xfId="0" applyNumberFormat="1" applyFont="1" applyBorder="1" applyAlignment="1" applyProtection="1">
      <alignment horizontal="center"/>
    </xf>
    <xf numFmtId="0" fontId="0" fillId="0" borderId="10" xfId="0" applyBorder="1" applyProtection="1"/>
    <xf numFmtId="0" fontId="0" fillId="0" borderId="10" xfId="0" applyBorder="1" applyAlignment="1" applyProtection="1">
      <alignment horizontal="left"/>
    </xf>
    <xf numFmtId="39" fontId="33" fillId="5" borderId="10" xfId="0" applyNumberFormat="1" applyFont="1" applyFill="1" applyBorder="1" applyProtection="1"/>
    <xf numFmtId="230" fontId="11" fillId="0" borderId="10" xfId="0" applyNumberFormat="1" applyFont="1" applyBorder="1" applyProtection="1"/>
    <xf numFmtId="166" fontId="11" fillId="0" borderId="10" xfId="2" applyNumberFormat="1" applyFont="1" applyBorder="1" applyProtection="1"/>
    <xf numFmtId="0" fontId="34" fillId="0" borderId="10" xfId="0" applyFont="1" applyBorder="1" applyAlignment="1" applyProtection="1">
      <alignment horizontal="left"/>
    </xf>
    <xf numFmtId="39" fontId="33" fillId="5" borderId="0" xfId="0" applyNumberFormat="1" applyFont="1" applyFill="1" applyProtection="1"/>
    <xf numFmtId="39" fontId="11" fillId="0" borderId="0" xfId="0" applyNumberFormat="1" applyFont="1" applyProtection="1"/>
    <xf numFmtId="0" fontId="10" fillId="0" borderId="48" xfId="0" applyFont="1" applyBorder="1" applyAlignment="1" applyProtection="1">
      <alignment horizontal="center"/>
    </xf>
    <xf numFmtId="0" fontId="10" fillId="0" borderId="51" xfId="0" applyFont="1" applyBorder="1" applyAlignment="1" applyProtection="1">
      <alignment horizontal="center"/>
    </xf>
    <xf numFmtId="10" fontId="10" fillId="0" borderId="50" xfId="6" applyNumberFormat="1" applyFont="1" applyBorder="1" applyAlignment="1" applyProtection="1">
      <alignment horizontal="center"/>
    </xf>
    <xf numFmtId="44" fontId="10" fillId="0" borderId="50" xfId="6" applyNumberFormat="1" applyFont="1" applyBorder="1" applyAlignment="1" applyProtection="1">
      <alignment horizontal="center"/>
    </xf>
    <xf numFmtId="230" fontId="10" fillId="0" borderId="52" xfId="0" applyNumberFormat="1" applyFont="1" applyBorder="1" applyAlignment="1" applyProtection="1">
      <alignment horizontal="center"/>
    </xf>
    <xf numFmtId="39" fontId="11" fillId="0" borderId="10" xfId="0" applyNumberFormat="1" applyFont="1" applyBorder="1" applyProtection="1"/>
    <xf numFmtId="14" fontId="12" fillId="0" borderId="0" xfId="0" applyNumberFormat="1" applyFont="1" applyProtection="1">
      <protection locked="0"/>
    </xf>
    <xf numFmtId="0" fontId="35" fillId="3" borderId="32" xfId="0" applyFont="1" applyFill="1" applyBorder="1" applyProtection="1">
      <protection locked="0"/>
    </xf>
    <xf numFmtId="0" fontId="35" fillId="3" borderId="33" xfId="0" applyFont="1" applyFill="1" applyBorder="1" applyProtection="1">
      <protection locked="0"/>
    </xf>
    <xf numFmtId="0" fontId="35" fillId="3" borderId="34" xfId="0" applyFont="1" applyFill="1" applyBorder="1" applyProtection="1">
      <protection locked="0"/>
    </xf>
    <xf numFmtId="0" fontId="36" fillId="0" borderId="0" xfId="0" applyFont="1" applyAlignment="1" applyProtection="1">
      <alignment horizontal="left"/>
      <protection locked="0"/>
    </xf>
    <xf numFmtId="0" fontId="12" fillId="0" borderId="0" xfId="0" applyFont="1" applyAlignment="1" applyProtection="1">
      <alignment horizontal="center"/>
      <protection locked="0"/>
    </xf>
    <xf numFmtId="3" fontId="37" fillId="4" borderId="27" xfId="0" applyNumberFormat="1" applyFont="1" applyFill="1" applyBorder="1" applyAlignment="1" applyProtection="1">
      <alignment horizontal="left"/>
      <protection locked="0"/>
    </xf>
    <xf numFmtId="0" fontId="12" fillId="4" borderId="27" xfId="0" applyFont="1" applyFill="1" applyBorder="1" applyAlignment="1" applyProtection="1">
      <alignment horizontal="centerContinuous"/>
      <protection locked="0"/>
    </xf>
    <xf numFmtId="0" fontId="26" fillId="4" borderId="27" xfId="1" applyFont="1" applyFill="1" applyBorder="1" applyAlignment="1" applyProtection="1">
      <alignment horizontal="centerContinuous"/>
      <protection locked="0"/>
    </xf>
    <xf numFmtId="0" fontId="38" fillId="0" borderId="0" xfId="1" applyFont="1" applyProtection="1">
      <protection locked="0"/>
    </xf>
    <xf numFmtId="0" fontId="37" fillId="4" borderId="6" xfId="0" applyFont="1" applyFill="1" applyBorder="1" applyProtection="1">
      <protection locked="0"/>
    </xf>
    <xf numFmtId="0" fontId="12" fillId="4" borderId="28" xfId="0" applyFont="1" applyFill="1" applyBorder="1" applyProtection="1">
      <protection locked="0"/>
    </xf>
    <xf numFmtId="0" fontId="26" fillId="4" borderId="28" xfId="1" applyFont="1" applyFill="1" applyBorder="1" applyAlignment="1" applyProtection="1">
      <alignment horizontal="right"/>
      <protection locked="0"/>
    </xf>
    <xf numFmtId="0" fontId="26" fillId="4" borderId="36" xfId="1" applyFont="1" applyFill="1" applyBorder="1" applyAlignment="1" applyProtection="1">
      <alignment horizontal="left"/>
      <protection locked="0"/>
    </xf>
    <xf numFmtId="0" fontId="38" fillId="4" borderId="37" xfId="1" applyFont="1" applyFill="1" applyBorder="1" applyProtection="1">
      <protection locked="0"/>
    </xf>
    <xf numFmtId="0" fontId="26" fillId="4" borderId="38" xfId="1" applyFont="1" applyFill="1" applyBorder="1" applyAlignment="1" applyProtection="1">
      <alignment horizontal="right"/>
      <protection locked="0"/>
    </xf>
    <xf numFmtId="3" fontId="26" fillId="4" borderId="1" xfId="1" applyNumberFormat="1" applyFont="1" applyFill="1" applyBorder="1" applyProtection="1">
      <protection locked="0"/>
    </xf>
    <xf numFmtId="166" fontId="12" fillId="0" borderId="8" xfId="2" applyNumberFormat="1" applyFont="1" applyBorder="1" applyProtection="1">
      <protection locked="0"/>
    </xf>
    <xf numFmtId="166" fontId="12" fillId="0" borderId="0" xfId="2" applyNumberFormat="1" applyFont="1" applyProtection="1">
      <protection locked="0"/>
    </xf>
    <xf numFmtId="0" fontId="26" fillId="4" borderId="41" xfId="1" applyFont="1" applyFill="1" applyBorder="1" applyAlignment="1" applyProtection="1">
      <alignment horizontal="left"/>
      <protection locked="0"/>
    </xf>
    <xf numFmtId="0" fontId="38" fillId="4" borderId="11" xfId="1" applyFont="1" applyFill="1" applyBorder="1" applyProtection="1">
      <protection locked="0"/>
    </xf>
    <xf numFmtId="0" fontId="26" fillId="4" borderId="13" xfId="1" applyFont="1" applyFill="1" applyBorder="1" applyAlignment="1" applyProtection="1">
      <alignment horizontal="right"/>
      <protection locked="0"/>
    </xf>
    <xf numFmtId="9" fontId="12" fillId="0" borderId="8" xfId="6" applyFont="1" applyBorder="1" applyProtection="1">
      <protection locked="0"/>
    </xf>
    <xf numFmtId="9" fontId="12" fillId="0" borderId="8" xfId="0" applyNumberFormat="1" applyFont="1" applyBorder="1" applyProtection="1">
      <protection locked="0"/>
    </xf>
    <xf numFmtId="6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 applyBorder="1" applyProtection="1">
      <protection locked="0"/>
    </xf>
    <xf numFmtId="3" fontId="38" fillId="0" borderId="0" xfId="1" applyNumberFormat="1" applyFont="1" applyProtection="1">
      <protection locked="0"/>
    </xf>
    <xf numFmtId="0" fontId="26" fillId="4" borderId="53" xfId="1" applyFont="1" applyFill="1" applyBorder="1" applyAlignment="1" applyProtection="1">
      <alignment horizontal="left"/>
      <protection locked="0"/>
    </xf>
    <xf numFmtId="0" fontId="38" fillId="4" borderId="10" xfId="1" applyFont="1" applyFill="1" applyBorder="1" applyProtection="1">
      <protection locked="0"/>
    </xf>
    <xf numFmtId="0" fontId="26" fillId="4" borderId="40" xfId="1" applyFont="1" applyFill="1" applyBorder="1" applyAlignment="1" applyProtection="1">
      <alignment horizontal="right"/>
      <protection locked="0"/>
    </xf>
    <xf numFmtId="44" fontId="12" fillId="0" borderId="8" xfId="3" applyFont="1" applyBorder="1" applyProtection="1">
      <protection locked="0"/>
    </xf>
    <xf numFmtId="6" fontId="12" fillId="0" borderId="8" xfId="0" applyNumberFormat="1" applyFont="1" applyBorder="1" applyProtection="1">
      <protection locked="0"/>
    </xf>
    <xf numFmtId="0" fontId="26" fillId="3" borderId="43" xfId="1" applyFont="1" applyFill="1" applyBorder="1" applyAlignment="1" applyProtection="1">
      <alignment horizontal="right"/>
      <protection locked="0"/>
    </xf>
    <xf numFmtId="0" fontId="13" fillId="0" borderId="39" xfId="0" applyFont="1" applyBorder="1" applyProtection="1">
      <protection locked="0"/>
    </xf>
    <xf numFmtId="0" fontId="12" fillId="0" borderId="6" xfId="0" applyFont="1" applyBorder="1" applyProtection="1">
      <protection locked="0"/>
    </xf>
    <xf numFmtId="0" fontId="12" fillId="0" borderId="28" xfId="0" applyFont="1" applyBorder="1" applyProtection="1">
      <protection locked="0"/>
    </xf>
    <xf numFmtId="41" fontId="12" fillId="0" borderId="0" xfId="0" applyNumberFormat="1" applyFont="1" applyAlignment="1" applyProtection="1">
      <alignment horizontal="right"/>
      <protection locked="0"/>
    </xf>
    <xf numFmtId="0" fontId="38" fillId="0" borderId="0" xfId="0" applyFont="1" applyProtection="1">
      <protection locked="0"/>
    </xf>
    <xf numFmtId="3" fontId="39" fillId="0" borderId="0" xfId="0" applyNumberFormat="1" applyFont="1" applyAlignment="1">
      <alignment horizontal="center"/>
    </xf>
    <xf numFmtId="0" fontId="40" fillId="0" borderId="0" xfId="0" applyFont="1" applyAlignment="1">
      <alignment horizontal="center"/>
    </xf>
    <xf numFmtId="0" fontId="40" fillId="0" borderId="5" xfId="0" applyFont="1" applyBorder="1"/>
    <xf numFmtId="0" fontId="0" fillId="0" borderId="27" xfId="0" applyBorder="1"/>
    <xf numFmtId="0" fontId="40" fillId="0" borderId="1" xfId="0" applyFont="1" applyBorder="1" applyAlignment="1">
      <alignment horizontal="center"/>
    </xf>
    <xf numFmtId="0" fontId="40" fillId="0" borderId="27" xfId="0" applyFont="1" applyBorder="1"/>
    <xf numFmtId="0" fontId="0" fillId="0" borderId="35" xfId="0" applyBorder="1"/>
    <xf numFmtId="0" fontId="40" fillId="0" borderId="39" xfId="0" applyFont="1" applyBorder="1"/>
    <xf numFmtId="228" fontId="41" fillId="0" borderId="0" xfId="0" applyNumberFormat="1" applyFont="1" applyBorder="1" applyAlignment="1">
      <alignment horizontal="right"/>
    </xf>
    <xf numFmtId="0" fontId="25" fillId="0" borderId="0" xfId="0" applyFont="1" applyBorder="1"/>
    <xf numFmtId="0" fontId="0" fillId="0" borderId="8" xfId="0" applyBorder="1"/>
    <xf numFmtId="0" fontId="0" fillId="0" borderId="39" xfId="0" applyBorder="1"/>
    <xf numFmtId="0" fontId="23" fillId="0" borderId="0" xfId="0" applyFont="1" applyBorder="1"/>
    <xf numFmtId="228" fontId="41" fillId="0" borderId="0" xfId="0" applyNumberFormat="1" applyFont="1" applyBorder="1" applyAlignment="1"/>
    <xf numFmtId="278" fontId="41" fillId="0" borderId="54" xfId="0" applyNumberFormat="1" applyFont="1" applyBorder="1" applyAlignment="1">
      <alignment horizontal="center"/>
    </xf>
    <xf numFmtId="0" fontId="0" fillId="0" borderId="6" xfId="0" applyBorder="1"/>
    <xf numFmtId="0" fontId="0" fillId="0" borderId="28" xfId="0" applyBorder="1"/>
    <xf numFmtId="0" fontId="0" fillId="0" borderId="7" xfId="0" applyBorder="1"/>
    <xf numFmtId="0" fontId="28" fillId="0" borderId="39" xfId="0" applyFont="1" applyBorder="1"/>
    <xf numFmtId="228" fontId="0" fillId="0" borderId="0" xfId="0" applyNumberFormat="1" applyBorder="1" applyAlignment="1">
      <alignment horizontal="center"/>
    </xf>
    <xf numFmtId="228" fontId="28" fillId="0" borderId="52" xfId="0" applyNumberFormat="1" applyFont="1" applyBorder="1" applyAlignment="1">
      <alignment horizontal="center"/>
    </xf>
    <xf numFmtId="228" fontId="0" fillId="0" borderId="27" xfId="0" applyNumberFormat="1" applyBorder="1" applyAlignment="1">
      <alignment horizontal="center"/>
    </xf>
    <xf numFmtId="0" fontId="6" fillId="0" borderId="39" xfId="4" applyNumberFormat="1" applyFont="1" applyBorder="1"/>
    <xf numFmtId="0" fontId="1" fillId="0" borderId="0" xfId="4" applyNumberFormat="1" applyBorder="1" applyAlignment="1">
      <alignment horizontal="center"/>
    </xf>
    <xf numFmtId="0" fontId="1" fillId="0" borderId="0" xfId="4" applyNumberFormat="1" applyBorder="1"/>
    <xf numFmtId="6" fontId="10" fillId="6" borderId="10" xfId="4" applyNumberFormat="1" applyFont="1" applyFill="1" applyBorder="1" applyAlignment="1">
      <alignment horizontal="right"/>
    </xf>
    <xf numFmtId="0" fontId="10" fillId="0" borderId="0" xfId="4" applyNumberFormat="1" applyFont="1" applyBorder="1" applyAlignment="1">
      <alignment horizontal="center"/>
    </xf>
    <xf numFmtId="228" fontId="0" fillId="0" borderId="0" xfId="0" applyNumberFormat="1" applyBorder="1" applyAlignment="1">
      <alignment horizontal="left"/>
    </xf>
    <xf numFmtId="0" fontId="10" fillId="0" borderId="0" xfId="4" applyNumberFormat="1" applyFont="1" applyBorder="1" applyAlignment="1">
      <alignment horizontal="left"/>
    </xf>
    <xf numFmtId="6" fontId="42" fillId="6" borderId="10" xfId="4" applyNumberFormat="1" applyFont="1" applyFill="1" applyBorder="1" applyAlignment="1">
      <alignment horizontal="right"/>
    </xf>
    <xf numFmtId="0" fontId="11" fillId="0" borderId="0" xfId="4" applyNumberFormat="1" applyFont="1" applyBorder="1" applyAlignment="1">
      <alignment horizontal="left"/>
    </xf>
    <xf numFmtId="0" fontId="0" fillId="0" borderId="39" xfId="0" applyBorder="1" applyAlignment="1">
      <alignment horizontal="right"/>
    </xf>
    <xf numFmtId="9" fontId="10" fillId="0" borderId="0" xfId="0" applyNumberFormat="1" applyFont="1" applyBorder="1"/>
    <xf numFmtId="0" fontId="10" fillId="0" borderId="12" xfId="0" applyFont="1" applyBorder="1" applyAlignment="1">
      <alignment horizontal="center"/>
    </xf>
    <xf numFmtId="0" fontId="10" fillId="0" borderId="13" xfId="0" applyFont="1" applyBorder="1"/>
    <xf numFmtId="3" fontId="0" fillId="0" borderId="10" xfId="0" applyNumberFormat="1" applyBorder="1" applyAlignment="1">
      <alignment horizontal="center"/>
    </xf>
    <xf numFmtId="228" fontId="0" fillId="0" borderId="10" xfId="0" applyNumberFormat="1" applyBorder="1" applyAlignment="1">
      <alignment horizontal="center"/>
    </xf>
    <xf numFmtId="0" fontId="43" fillId="0" borderId="39" xfId="0" applyFont="1" applyBorder="1" applyAlignment="1">
      <alignment horizontal="right"/>
    </xf>
    <xf numFmtId="228" fontId="43" fillId="0" borderId="0" xfId="0" applyNumberFormat="1" applyFont="1" applyBorder="1" applyAlignment="1">
      <alignment horizontal="center"/>
    </xf>
    <xf numFmtId="228" fontId="10" fillId="0" borderId="1" xfId="0" applyNumberFormat="1" applyFont="1" applyBorder="1"/>
    <xf numFmtId="0" fontId="44" fillId="0" borderId="39" xfId="0" applyFont="1" applyBorder="1"/>
    <xf numFmtId="228" fontId="0" fillId="0" borderId="8" xfId="0" applyNumberFormat="1" applyBorder="1"/>
    <xf numFmtId="0" fontId="40" fillId="0" borderId="4" xfId="0" applyFont="1" applyBorder="1" applyAlignment="1">
      <alignment horizontal="center"/>
    </xf>
    <xf numFmtId="0" fontId="40" fillId="0" borderId="0" xfId="0" applyFont="1" applyBorder="1"/>
    <xf numFmtId="228" fontId="41" fillId="0" borderId="54" xfId="0" applyNumberFormat="1" applyFont="1" applyBorder="1" applyAlignment="1">
      <alignment horizontal="center"/>
    </xf>
    <xf numFmtId="0" fontId="28" fillId="0" borderId="5" xfId="0" applyFont="1" applyBorder="1"/>
    <xf numFmtId="228" fontId="28" fillId="0" borderId="27" xfId="0" applyNumberFormat="1" applyFont="1" applyBorder="1" applyAlignment="1">
      <alignment horizontal="center"/>
    </xf>
    <xf numFmtId="6" fontId="0" fillId="0" borderId="0" xfId="0" applyNumberFormat="1" applyProtection="1">
      <protection locked="0"/>
    </xf>
    <xf numFmtId="1" fontId="0" fillId="0" borderId="0" xfId="0" applyNumberFormat="1"/>
    <xf numFmtId="0" fontId="10" fillId="0" borderId="42" xfId="0" applyFont="1" applyBorder="1" applyAlignment="1">
      <alignment horizontal="center"/>
    </xf>
    <xf numFmtId="0" fontId="10" fillId="0" borderId="55" xfId="0" applyFont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8" xfId="0" applyBorder="1" applyAlignment="1">
      <alignment horizontal="center"/>
    </xf>
    <xf numFmtId="10" fontId="31" fillId="5" borderId="52" xfId="6" applyNumberFormat="1" applyFont="1" applyFill="1" applyBorder="1" applyAlignment="1" applyProtection="1">
      <alignment horizontal="center"/>
    </xf>
    <xf numFmtId="3" fontId="0" fillId="0" borderId="0" xfId="0" applyNumberFormat="1" applyBorder="1" applyAlignment="1">
      <alignment horizontal="center"/>
    </xf>
    <xf numFmtId="44" fontId="0" fillId="0" borderId="8" xfId="3" applyFont="1" applyBorder="1" applyAlignment="1">
      <alignment horizontal="center"/>
    </xf>
    <xf numFmtId="3" fontId="0" fillId="0" borderId="0" xfId="0" applyNumberFormat="1" applyBorder="1"/>
    <xf numFmtId="44" fontId="0" fillId="0" borderId="8" xfId="3" applyFont="1" applyBorder="1"/>
    <xf numFmtId="44" fontId="0" fillId="0" borderId="1" xfId="0" applyNumberFormat="1" applyBorder="1"/>
    <xf numFmtId="3" fontId="0" fillId="0" borderId="3" xfId="0" applyNumberFormat="1" applyBorder="1" applyAlignment="1">
      <alignment horizontal="center"/>
    </xf>
    <xf numFmtId="3" fontId="0" fillId="0" borderId="3" xfId="0" applyNumberFormat="1" applyBorder="1" applyAlignment="1">
      <alignment horizontal="centerContinuous"/>
    </xf>
    <xf numFmtId="3" fontId="11" fillId="0" borderId="3" xfId="0" applyNumberFormat="1" applyFont="1" applyBorder="1" applyAlignment="1">
      <alignment horizontal="centerContinuous"/>
    </xf>
    <xf numFmtId="0" fontId="10" fillId="0" borderId="56" xfId="0" applyFont="1" applyBorder="1" applyAlignment="1" applyProtection="1">
      <alignment horizontal="center"/>
    </xf>
    <xf numFmtId="10" fontId="30" fillId="5" borderId="57" xfId="6" applyNumberFormat="1" applyFont="1" applyFill="1" applyBorder="1" applyAlignment="1" applyProtection="1">
      <alignment horizontal="center"/>
    </xf>
    <xf numFmtId="44" fontId="30" fillId="5" borderId="57" xfId="3" applyFont="1" applyFill="1" applyBorder="1" applyAlignment="1" applyProtection="1">
      <alignment horizontal="center"/>
    </xf>
    <xf numFmtId="10" fontId="30" fillId="5" borderId="58" xfId="6" applyNumberFormat="1" applyFont="1" applyFill="1" applyBorder="1" applyAlignment="1" applyProtection="1">
      <alignment horizontal="center"/>
    </xf>
    <xf numFmtId="39" fontId="0" fillId="0" borderId="0" xfId="0" applyNumberFormat="1" applyProtection="1"/>
    <xf numFmtId="0" fontId="10" fillId="0" borderId="2" xfId="0" applyFont="1" applyBorder="1" applyAlignment="1">
      <alignment horizontal="center"/>
    </xf>
    <xf numFmtId="3" fontId="10" fillId="0" borderId="0" xfId="0" applyNumberFormat="1" applyFont="1"/>
    <xf numFmtId="166" fontId="11" fillId="0" borderId="0" xfId="2" applyNumberFormat="1" applyFont="1" applyBorder="1" applyAlignment="1" applyProtection="1">
      <alignment horizontal="center"/>
      <protection locked="0"/>
    </xf>
    <xf numFmtId="214" fontId="0" fillId="0" borderId="0" xfId="0" applyNumberFormat="1" applyBorder="1" applyProtection="1">
      <protection locked="0"/>
    </xf>
    <xf numFmtId="0" fontId="10" fillId="0" borderId="6" xfId="0" applyFont="1" applyBorder="1" applyAlignment="1" applyProtection="1">
      <alignment horizontal="center"/>
      <protection locked="0"/>
    </xf>
    <xf numFmtId="0" fontId="10" fillId="0" borderId="7" xfId="0" applyFont="1" applyBorder="1" applyAlignment="1" applyProtection="1">
      <alignment horizontal="center"/>
      <protection locked="0"/>
    </xf>
    <xf numFmtId="0" fontId="0" fillId="0" borderId="5" xfId="0" applyBorder="1" applyProtection="1">
      <protection locked="0"/>
    </xf>
    <xf numFmtId="174" fontId="0" fillId="0" borderId="39" xfId="0" applyNumberFormat="1" applyBorder="1" applyProtection="1">
      <protection locked="0"/>
    </xf>
    <xf numFmtId="174" fontId="0" fillId="0" borderId="8" xfId="0" applyNumberFormat="1" applyBorder="1" applyProtection="1">
      <protection locked="0"/>
    </xf>
    <xf numFmtId="174" fontId="0" fillId="0" borderId="6" xfId="0" applyNumberFormat="1" applyBorder="1" applyProtection="1">
      <protection locked="0"/>
    </xf>
    <xf numFmtId="3" fontId="0" fillId="0" borderId="39" xfId="0" applyNumberFormat="1" applyBorder="1" applyProtection="1">
      <protection locked="0"/>
    </xf>
    <xf numFmtId="3" fontId="0" fillId="0" borderId="39" xfId="0" applyNumberFormat="1" applyBorder="1" applyAlignment="1" applyProtection="1">
      <alignment horizontal="center"/>
      <protection locked="0"/>
    </xf>
    <xf numFmtId="174" fontId="0" fillId="0" borderId="7" xfId="0" applyNumberFormat="1" applyBorder="1" applyProtection="1">
      <protection locked="0"/>
    </xf>
    <xf numFmtId="43" fontId="0" fillId="0" borderId="29" xfId="0" applyNumberFormat="1" applyBorder="1" applyProtection="1">
      <protection locked="0"/>
    </xf>
    <xf numFmtId="3" fontId="0" fillId="0" borderId="31" xfId="0" applyNumberFormat="1" applyBorder="1" applyProtection="1">
      <protection locked="0"/>
    </xf>
    <xf numFmtId="214" fontId="0" fillId="0" borderId="1" xfId="0" applyNumberFormat="1" applyBorder="1" applyAlignment="1" applyProtection="1">
      <alignment horizontal="center"/>
      <protection locked="0"/>
    </xf>
    <xf numFmtId="214" fontId="0" fillId="0" borderId="4" xfId="0" applyNumberFormat="1" applyBorder="1" applyAlignment="1" applyProtection="1">
      <alignment horizontal="center"/>
      <protection locked="0"/>
    </xf>
    <xf numFmtId="299" fontId="0" fillId="0" borderId="0" xfId="0" applyNumberFormat="1" applyProtection="1"/>
    <xf numFmtId="38" fontId="12" fillId="5" borderId="1" xfId="0" applyNumberFormat="1" applyFont="1" applyFill="1" applyBorder="1" applyProtection="1">
      <protection locked="0"/>
    </xf>
    <xf numFmtId="1" fontId="0" fillId="0" borderId="0" xfId="0" applyNumberFormat="1" applyAlignment="1">
      <alignment horizontal="center"/>
    </xf>
    <xf numFmtId="9" fontId="12" fillId="0" borderId="0" xfId="6" applyFont="1" applyProtection="1">
      <protection locked="0"/>
    </xf>
    <xf numFmtId="10" fontId="0" fillId="0" borderId="0" xfId="0" applyNumberFormat="1"/>
    <xf numFmtId="10" fontId="11" fillId="0" borderId="0" xfId="6" applyNumberFormat="1" applyFont="1" applyProtection="1"/>
    <xf numFmtId="166" fontId="1" fillId="0" borderId="1" xfId="2" applyNumberFormat="1" applyFont="1" applyBorder="1" applyAlignment="1" applyProtection="1">
      <alignment horizontal="center"/>
      <protection locked="0"/>
    </xf>
    <xf numFmtId="3" fontId="0" fillId="5" borderId="10" xfId="0" applyNumberFormat="1" applyFill="1" applyBorder="1"/>
    <xf numFmtId="8" fontId="0" fillId="0" borderId="0" xfId="0" applyNumberFormat="1" applyProtection="1">
      <protection locked="0"/>
    </xf>
    <xf numFmtId="175" fontId="1" fillId="0" borderId="1" xfId="2" applyNumberFormat="1" applyBorder="1" applyAlignment="1" applyProtection="1">
      <protection locked="0"/>
    </xf>
    <xf numFmtId="0" fontId="0" fillId="0" borderId="0" xfId="0" applyAlignment="1">
      <alignment horizontal="left"/>
    </xf>
    <xf numFmtId="309" fontId="0" fillId="5" borderId="10" xfId="0" applyNumberFormat="1" applyFill="1" applyBorder="1" applyAlignment="1">
      <alignment horizontal="center"/>
    </xf>
    <xf numFmtId="0" fontId="0" fillId="5" borderId="10" xfId="0" applyFill="1" applyBorder="1"/>
    <xf numFmtId="0" fontId="0" fillId="5" borderId="12" xfId="0" applyFill="1" applyBorder="1"/>
    <xf numFmtId="0" fontId="0" fillId="5" borderId="11" xfId="0" applyFill="1" applyBorder="1"/>
    <xf numFmtId="0" fontId="0" fillId="5" borderId="13" xfId="0" applyFill="1" applyBorder="1"/>
    <xf numFmtId="3" fontId="12" fillId="0" borderId="0" xfId="0" applyNumberFormat="1" applyFont="1" applyAlignment="1" applyProtection="1">
      <alignment horizontal="left"/>
      <protection locked="0"/>
    </xf>
    <xf numFmtId="186" fontId="12" fillId="0" borderId="0" xfId="6" applyNumberFormat="1" applyFont="1" applyProtection="1">
      <protection locked="0"/>
    </xf>
    <xf numFmtId="0" fontId="12" fillId="0" borderId="0" xfId="0" applyFont="1" applyAlignment="1" applyProtection="1">
      <protection locked="0"/>
    </xf>
    <xf numFmtId="44" fontId="12" fillId="0" borderId="0" xfId="3" applyFont="1" applyAlignment="1" applyProtection="1">
      <protection locked="0"/>
    </xf>
    <xf numFmtId="3" fontId="10" fillId="0" borderId="12" xfId="0" applyNumberFormat="1" applyFont="1" applyBorder="1" applyAlignment="1">
      <alignment horizontal="center"/>
    </xf>
    <xf numFmtId="299" fontId="11" fillId="0" borderId="0" xfId="0" applyNumberFormat="1" applyFont="1" applyProtection="1"/>
    <xf numFmtId="171" fontId="0" fillId="0" borderId="0" xfId="0" applyNumberFormat="1" applyBorder="1" applyProtection="1">
      <protection locked="0"/>
    </xf>
    <xf numFmtId="165" fontId="1" fillId="0" borderId="0" xfId="2" applyNumberFormat="1" applyProtection="1">
      <protection locked="0"/>
    </xf>
    <xf numFmtId="165" fontId="0" fillId="0" borderId="0" xfId="0" applyNumberFormat="1"/>
    <xf numFmtId="165" fontId="1" fillId="0" borderId="9" xfId="2" applyNumberFormat="1" applyBorder="1" applyProtection="1">
      <protection locked="0"/>
    </xf>
    <xf numFmtId="0" fontId="47" fillId="0" borderId="0" xfId="0" applyFont="1"/>
    <xf numFmtId="0" fontId="48" fillId="0" borderId="0" xfId="0" applyFont="1"/>
    <xf numFmtId="42" fontId="48" fillId="0" borderId="0" xfId="0" applyNumberFormat="1" applyFont="1"/>
    <xf numFmtId="0" fontId="48" fillId="0" borderId="0" xfId="0" applyFont="1" applyAlignment="1">
      <alignment horizontal="right"/>
    </xf>
    <xf numFmtId="0" fontId="48" fillId="0" borderId="0" xfId="0" applyFont="1" applyAlignment="1">
      <alignment horizontal="center"/>
    </xf>
    <xf numFmtId="3" fontId="48" fillId="7" borderId="1" xfId="0" applyNumberFormat="1" applyFont="1" applyFill="1" applyBorder="1" applyAlignment="1" applyProtection="1">
      <alignment horizontal="center"/>
      <protection locked="0"/>
    </xf>
    <xf numFmtId="0" fontId="48" fillId="0" borderId="0" xfId="0" applyFont="1" applyBorder="1" applyAlignment="1">
      <alignment horizontal="right"/>
    </xf>
    <xf numFmtId="0" fontId="48" fillId="0" borderId="0" xfId="0" applyFont="1" applyBorder="1" applyAlignment="1">
      <alignment horizontal="left"/>
    </xf>
    <xf numFmtId="0" fontId="48" fillId="7" borderId="1" xfId="0" applyFont="1" applyFill="1" applyBorder="1" applyAlignment="1">
      <alignment horizontal="center"/>
    </xf>
    <xf numFmtId="0" fontId="28" fillId="0" borderId="0" xfId="0" applyFont="1"/>
    <xf numFmtId="0" fontId="49" fillId="0" borderId="59" xfId="0" applyFont="1" applyBorder="1" applyAlignment="1">
      <alignment horizontal="center"/>
    </xf>
    <xf numFmtId="0" fontId="49" fillId="0" borderId="27" xfId="0" applyFont="1" applyBorder="1" applyAlignment="1">
      <alignment horizontal="right"/>
    </xf>
    <xf numFmtId="0" fontId="49" fillId="0" borderId="60" xfId="0" applyFont="1" applyBorder="1" applyAlignment="1">
      <alignment horizontal="left"/>
    </xf>
    <xf numFmtId="0" fontId="49" fillId="0" borderId="60" xfId="0" applyFont="1" applyBorder="1" applyAlignment="1">
      <alignment horizontal="center"/>
    </xf>
    <xf numFmtId="0" fontId="49" fillId="0" borderId="61" xfId="0" applyFont="1" applyBorder="1" applyAlignment="1">
      <alignment horizontal="center"/>
    </xf>
    <xf numFmtId="0" fontId="49" fillId="0" borderId="2" xfId="0" applyFont="1" applyBorder="1" applyAlignment="1">
      <alignment horizontal="center"/>
    </xf>
    <xf numFmtId="0" fontId="49" fillId="0" borderId="62" xfId="0" applyFont="1" applyBorder="1" applyAlignment="1">
      <alignment horizontal="center"/>
    </xf>
    <xf numFmtId="0" fontId="49" fillId="0" borderId="0" xfId="0" applyFont="1" applyBorder="1" applyAlignment="1">
      <alignment horizontal="right"/>
    </xf>
    <xf numFmtId="0" fontId="49" fillId="0" borderId="21" xfId="0" applyFont="1" applyBorder="1" applyAlignment="1">
      <alignment horizontal="left"/>
    </xf>
    <xf numFmtId="0" fontId="49" fillId="0" borderId="21" xfId="0" applyFont="1" applyBorder="1" applyAlignment="1">
      <alignment horizontal="center"/>
    </xf>
    <xf numFmtId="0" fontId="49" fillId="0" borderId="63" xfId="0" applyFont="1" applyBorder="1" applyAlignment="1">
      <alignment horizontal="center"/>
    </xf>
    <xf numFmtId="0" fontId="49" fillId="0" borderId="3" xfId="0" applyFont="1" applyBorder="1" applyAlignment="1">
      <alignment horizontal="center"/>
    </xf>
    <xf numFmtId="0" fontId="49" fillId="0" borderId="64" xfId="0" applyFont="1" applyBorder="1" applyAlignment="1">
      <alignment horizontal="center"/>
    </xf>
    <xf numFmtId="0" fontId="49" fillId="0" borderId="28" xfId="0" applyFont="1" applyBorder="1"/>
    <xf numFmtId="0" fontId="49" fillId="0" borderId="65" xfId="0" applyFont="1" applyBorder="1" applyAlignment="1">
      <alignment horizontal="left"/>
    </xf>
    <xf numFmtId="0" fontId="49" fillId="0" borderId="65" xfId="0" applyFont="1" applyBorder="1"/>
    <xf numFmtId="0" fontId="49" fillId="0" borderId="65" xfId="0" applyFont="1" applyBorder="1" applyAlignment="1">
      <alignment horizontal="center"/>
    </xf>
    <xf numFmtId="0" fontId="49" fillId="0" borderId="66" xfId="0" applyFont="1" applyBorder="1" applyAlignment="1">
      <alignment horizontal="center"/>
    </xf>
    <xf numFmtId="0" fontId="49" fillId="0" borderId="4" xfId="0" applyFont="1" applyBorder="1" applyAlignment="1">
      <alignment horizontal="center"/>
    </xf>
    <xf numFmtId="0" fontId="50" fillId="0" borderId="0" xfId="0" applyFont="1" applyBorder="1" applyAlignment="1">
      <alignment horizontal="center"/>
    </xf>
    <xf numFmtId="0" fontId="50" fillId="0" borderId="0" xfId="0" applyFont="1" applyBorder="1"/>
    <xf numFmtId="0" fontId="50" fillId="0" borderId="0" xfId="0" applyFont="1" applyBorder="1" applyAlignment="1">
      <alignment horizontal="left"/>
    </xf>
    <xf numFmtId="0" fontId="10" fillId="7" borderId="67" xfId="0" applyFont="1" applyFill="1" applyBorder="1"/>
    <xf numFmtId="44" fontId="1" fillId="7" borderId="68" xfId="3" applyFont="1" applyFill="1" applyBorder="1"/>
    <xf numFmtId="0" fontId="1" fillId="7" borderId="68" xfId="0" applyFont="1" applyFill="1" applyBorder="1" applyAlignment="1">
      <alignment horizontal="left"/>
    </xf>
    <xf numFmtId="0" fontId="1" fillId="7" borderId="68" xfId="0" applyFont="1" applyFill="1" applyBorder="1"/>
    <xf numFmtId="174" fontId="1" fillId="7" borderId="69" xfId="0" applyNumberFormat="1" applyFont="1" applyFill="1" applyBorder="1"/>
    <xf numFmtId="0" fontId="51" fillId="0" borderId="10" xfId="0" applyFont="1" applyBorder="1"/>
    <xf numFmtId="44" fontId="1" fillId="0" borderId="9" xfId="3" applyFont="1" applyBorder="1"/>
    <xf numFmtId="0" fontId="1" fillId="0" borderId="58" xfId="0" applyFont="1" applyBorder="1" applyAlignment="1">
      <alignment horizontal="left"/>
    </xf>
    <xf numFmtId="0" fontId="1" fillId="0" borderId="58" xfId="0" applyFont="1" applyBorder="1" applyAlignment="1">
      <alignment horizontal="center"/>
    </xf>
    <xf numFmtId="174" fontId="1" fillId="0" borderId="58" xfId="0" applyNumberFormat="1" applyFont="1" applyBorder="1"/>
    <xf numFmtId="0" fontId="1" fillId="0" borderId="10" xfId="0" applyFont="1" applyBorder="1" applyAlignment="1">
      <alignment horizontal="center"/>
    </xf>
    <xf numFmtId="7" fontId="1" fillId="0" borderId="10" xfId="3" applyNumberFormat="1" applyFont="1" applyBorder="1"/>
    <xf numFmtId="4" fontId="11" fillId="0" borderId="10" xfId="0" applyNumberFormat="1" applyFont="1" applyFill="1" applyBorder="1" applyAlignment="1">
      <alignment horizontal="right"/>
    </xf>
    <xf numFmtId="42" fontId="52" fillId="0" borderId="10" xfId="0" applyNumberFormat="1" applyFont="1" applyBorder="1"/>
    <xf numFmtId="0" fontId="51" fillId="0" borderId="0" xfId="0" applyFont="1" applyBorder="1"/>
    <xf numFmtId="0" fontId="51" fillId="0" borderId="70" xfId="0" applyFont="1" applyFill="1" applyBorder="1"/>
    <xf numFmtId="44" fontId="11" fillId="0" borderId="70" xfId="3" applyFont="1" applyBorder="1"/>
    <xf numFmtId="0" fontId="11" fillId="0" borderId="58" xfId="0" applyFont="1" applyBorder="1" applyAlignment="1">
      <alignment horizontal="left"/>
    </xf>
    <xf numFmtId="0" fontId="11" fillId="0" borderId="58" xfId="0" applyFont="1" applyBorder="1" applyAlignment="1">
      <alignment horizontal="center"/>
    </xf>
    <xf numFmtId="174" fontId="11" fillId="0" borderId="52" xfId="0" applyNumberFormat="1" applyFont="1" applyBorder="1"/>
    <xf numFmtId="0" fontId="11" fillId="0" borderId="10" xfId="0" applyFont="1" applyBorder="1" applyAlignment="1">
      <alignment horizontal="center"/>
    </xf>
    <xf numFmtId="0" fontId="11" fillId="0" borderId="10" xfId="0" quotePrefix="1" applyFont="1" applyBorder="1" applyAlignment="1">
      <alignment horizontal="center"/>
    </xf>
    <xf numFmtId="44" fontId="1" fillId="0" borderId="11" xfId="3" applyFont="1" applyBorder="1"/>
    <xf numFmtId="0" fontId="1" fillId="0" borderId="13" xfId="0" quotePrefix="1" applyFont="1" applyBorder="1" applyAlignment="1">
      <alignment horizontal="left"/>
    </xf>
    <xf numFmtId="0" fontId="1" fillId="0" borderId="13" xfId="0" applyFont="1" applyBorder="1" applyAlignment="1">
      <alignment horizontal="center"/>
    </xf>
    <xf numFmtId="174" fontId="1" fillId="0" borderId="13" xfId="0" applyNumberFormat="1" applyFont="1" applyBorder="1"/>
    <xf numFmtId="0" fontId="1" fillId="0" borderId="71" xfId="0" quotePrefix="1" applyFont="1" applyBorder="1" applyAlignment="1">
      <alignment horizontal="center"/>
    </xf>
    <xf numFmtId="0" fontId="1" fillId="0" borderId="71" xfId="0" applyFont="1" applyBorder="1" applyAlignment="1">
      <alignment horizontal="center"/>
    </xf>
    <xf numFmtId="174" fontId="1" fillId="0" borderId="10" xfId="0" applyNumberFormat="1" applyFont="1" applyBorder="1"/>
    <xf numFmtId="0" fontId="1" fillId="0" borderId="10" xfId="0" quotePrefix="1" applyFont="1" applyBorder="1" applyAlignment="1">
      <alignment horizontal="center"/>
    </xf>
    <xf numFmtId="7" fontId="1" fillId="0" borderId="10" xfId="3" applyNumberFormat="1" applyFont="1" applyBorder="1" applyAlignment="1">
      <alignment horizontal="center"/>
    </xf>
    <xf numFmtId="44" fontId="1" fillId="0" borderId="72" xfId="3" applyNumberFormat="1" applyFont="1" applyBorder="1" applyAlignment="1">
      <alignment horizontal="center"/>
    </xf>
    <xf numFmtId="44" fontId="1" fillId="0" borderId="0" xfId="3" applyFont="1" applyBorder="1"/>
    <xf numFmtId="0" fontId="1" fillId="0" borderId="0" xfId="0" applyFont="1" applyAlignment="1">
      <alignment horizontal="left"/>
    </xf>
    <xf numFmtId="185" fontId="6" fillId="7" borderId="73" xfId="3" applyNumberFormat="1" applyFont="1" applyFill="1" applyBorder="1" applyAlignment="1">
      <alignment horizontal="left"/>
    </xf>
    <xf numFmtId="185" fontId="6" fillId="7" borderId="68" xfId="3" applyNumberFormat="1" applyFont="1" applyFill="1" applyBorder="1" applyAlignment="1">
      <alignment horizontal="center"/>
    </xf>
    <xf numFmtId="185" fontId="6" fillId="7" borderId="69" xfId="3" applyNumberFormat="1" applyFont="1" applyFill="1" applyBorder="1" applyAlignment="1">
      <alignment horizontal="center"/>
    </xf>
    <xf numFmtId="185" fontId="52" fillId="6" borderId="67" xfId="3" applyNumberFormat="1" applyFont="1" applyFill="1" applyBorder="1" applyProtection="1">
      <protection locked="0"/>
    </xf>
    <xf numFmtId="0" fontId="10" fillId="0" borderId="0" xfId="0" applyFont="1" applyAlignment="1">
      <alignment horizontal="right"/>
    </xf>
    <xf numFmtId="0" fontId="10" fillId="7" borderId="67" xfId="3" applyNumberFormat="1" applyFont="1" applyFill="1" applyBorder="1" applyAlignment="1" applyProtection="1">
      <alignment horizontal="center"/>
      <protection locked="0"/>
    </xf>
    <xf numFmtId="44" fontId="11" fillId="0" borderId="63" xfId="3" applyFont="1" applyBorder="1"/>
    <xf numFmtId="0" fontId="11" fillId="0" borderId="21" xfId="0" applyFont="1" applyBorder="1" applyAlignment="1">
      <alignment horizontal="left"/>
    </xf>
    <xf numFmtId="0" fontId="51" fillId="0" borderId="12" xfId="0" applyFont="1" applyBorder="1"/>
    <xf numFmtId="44" fontId="11" fillId="0" borderId="12" xfId="3" applyNumberFormat="1" applyFont="1" applyFill="1" applyBorder="1" applyProtection="1">
      <protection locked="0"/>
    </xf>
    <xf numFmtId="0" fontId="1" fillId="0" borderId="58" xfId="0" quotePrefix="1" applyFont="1" applyBorder="1" applyAlignment="1">
      <alignment horizontal="left"/>
    </xf>
    <xf numFmtId="0" fontId="10" fillId="7" borderId="73" xfId="0" applyFont="1" applyFill="1" applyBorder="1"/>
    <xf numFmtId="0" fontId="0" fillId="7" borderId="68" xfId="0" applyFill="1" applyBorder="1"/>
    <xf numFmtId="0" fontId="0" fillId="7" borderId="69" xfId="0" applyFill="1" applyBorder="1"/>
    <xf numFmtId="0" fontId="0" fillId="0" borderId="70" xfId="0" applyBorder="1" applyAlignment="1">
      <alignment horizontal="left"/>
    </xf>
    <xf numFmtId="44" fontId="0" fillId="0" borderId="63" xfId="0" applyNumberFormat="1" applyBorder="1"/>
    <xf numFmtId="2" fontId="0" fillId="0" borderId="52" xfId="0" applyNumberFormat="1" applyBorder="1"/>
    <xf numFmtId="42" fontId="11" fillId="0" borderId="10" xfId="0" applyNumberFormat="1" applyFont="1" applyBorder="1"/>
    <xf numFmtId="0" fontId="0" fillId="0" borderId="12" xfId="0" applyBorder="1" applyAlignment="1">
      <alignment horizontal="left"/>
    </xf>
    <xf numFmtId="44" fontId="0" fillId="0" borderId="12" xfId="0" applyNumberFormat="1" applyBorder="1"/>
    <xf numFmtId="0" fontId="11" fillId="0" borderId="13" xfId="0" applyFont="1" applyBorder="1" applyAlignment="1">
      <alignment horizontal="left"/>
    </xf>
    <xf numFmtId="2" fontId="0" fillId="0" borderId="10" xfId="0" applyNumberFormat="1" applyBorder="1"/>
    <xf numFmtId="0" fontId="0" fillId="0" borderId="10" xfId="0" applyBorder="1" applyAlignment="1">
      <alignment horizontal="left"/>
    </xf>
    <xf numFmtId="0" fontId="1" fillId="0" borderId="13" xfId="0" applyFont="1" applyBorder="1" applyAlignment="1">
      <alignment horizontal="left"/>
    </xf>
    <xf numFmtId="2" fontId="0" fillId="0" borderId="48" xfId="0" applyNumberFormat="1" applyBorder="1"/>
    <xf numFmtId="0" fontId="10" fillId="7" borderId="73" xfId="0" applyFont="1" applyFill="1" applyBorder="1" applyAlignment="1">
      <alignment horizontal="left"/>
    </xf>
    <xf numFmtId="0" fontId="10" fillId="7" borderId="68" xfId="0" applyFont="1" applyFill="1" applyBorder="1" applyAlignment="1">
      <alignment horizontal="center"/>
    </xf>
    <xf numFmtId="0" fontId="10" fillId="7" borderId="69" xfId="0" applyFont="1" applyFill="1" applyBorder="1" applyAlignment="1">
      <alignment horizontal="center"/>
    </xf>
    <xf numFmtId="185" fontId="0" fillId="7" borderId="67" xfId="0" applyNumberFormat="1" applyFill="1" applyBorder="1"/>
    <xf numFmtId="0" fontId="28" fillId="7" borderId="74" xfId="0" applyFont="1" applyFill="1" applyBorder="1" applyAlignment="1">
      <alignment horizontal="centerContinuous"/>
    </xf>
    <xf numFmtId="0" fontId="28" fillId="7" borderId="75" xfId="0" applyFont="1" applyFill="1" applyBorder="1" applyAlignment="1">
      <alignment horizontal="centerContinuous"/>
    </xf>
    <xf numFmtId="0" fontId="28" fillId="7" borderId="76" xfId="0" applyFont="1" applyFill="1" applyBorder="1" applyAlignment="1">
      <alignment horizontal="centerContinuous"/>
    </xf>
    <xf numFmtId="42" fontId="28" fillId="7" borderId="77" xfId="0" applyNumberFormat="1" applyFont="1" applyFill="1" applyBorder="1"/>
    <xf numFmtId="42" fontId="0" fillId="0" borderId="0" xfId="0" applyNumberFormat="1"/>
    <xf numFmtId="49" fontId="0" fillId="0" borderId="0" xfId="0" applyNumberFormat="1"/>
    <xf numFmtId="0" fontId="28" fillId="0" borderId="0" xfId="0" applyFont="1" applyAlignment="1">
      <alignment horizontal="right"/>
    </xf>
    <xf numFmtId="3" fontId="48" fillId="7" borderId="29" xfId="0" applyNumberFormat="1" applyFont="1" applyFill="1" applyBorder="1" applyAlignment="1">
      <alignment horizontal="right"/>
    </xf>
    <xf numFmtId="0" fontId="28" fillId="7" borderId="30" xfId="0" applyFont="1" applyFill="1" applyBorder="1" applyAlignment="1">
      <alignment horizontal="left"/>
    </xf>
    <xf numFmtId="0" fontId="28" fillId="7" borderId="31" xfId="0" applyFont="1" applyFill="1" applyBorder="1"/>
    <xf numFmtId="42" fontId="54" fillId="0" borderId="0" xfId="0" applyNumberFormat="1" applyFont="1" applyAlignment="1">
      <alignment horizontal="right"/>
    </xf>
    <xf numFmtId="2" fontId="48" fillId="7" borderId="1" xfId="0" applyNumberFormat="1" applyFont="1" applyFill="1" applyBorder="1" applyAlignment="1">
      <alignment horizontal="center"/>
    </xf>
    <xf numFmtId="42" fontId="0" fillId="0" borderId="0" xfId="0" applyNumberFormat="1" applyAlignment="1">
      <alignment horizontal="center"/>
    </xf>
    <xf numFmtId="42" fontId="1" fillId="0" borderId="0" xfId="0" applyNumberFormat="1" applyFont="1"/>
    <xf numFmtId="49" fontId="1" fillId="0" borderId="0" xfId="0" applyNumberFormat="1" applyFont="1"/>
    <xf numFmtId="0" fontId="1" fillId="0" borderId="0" xfId="0" applyFont="1" applyAlignment="1">
      <alignment horizontal="center"/>
    </xf>
    <xf numFmtId="3" fontId="48" fillId="7" borderId="29" xfId="0" applyNumberFormat="1" applyFont="1" applyFill="1" applyBorder="1"/>
    <xf numFmtId="0" fontId="48" fillId="7" borderId="30" xfId="0" applyFont="1" applyFill="1" applyBorder="1" applyAlignment="1">
      <alignment horizontal="left"/>
    </xf>
    <xf numFmtId="0" fontId="48" fillId="7" borderId="31" xfId="0" applyFont="1" applyFill="1" applyBorder="1"/>
    <xf numFmtId="3" fontId="1" fillId="0" borderId="0" xfId="0" applyNumberFormat="1" applyFont="1" applyBorder="1"/>
    <xf numFmtId="0" fontId="1" fillId="0" borderId="0" xfId="0" applyFont="1" applyBorder="1" applyAlignment="1">
      <alignment horizontal="left"/>
    </xf>
    <xf numFmtId="42" fontId="1" fillId="0" borderId="0" xfId="0" applyNumberFormat="1" applyFont="1" applyAlignment="1">
      <alignment horizontal="center"/>
    </xf>
    <xf numFmtId="0" fontId="1" fillId="7" borderId="31" xfId="0" applyFont="1" applyFill="1" applyBorder="1"/>
    <xf numFmtId="0" fontId="49" fillId="0" borderId="35" xfId="0" applyFont="1" applyBorder="1" applyAlignment="1">
      <alignment horizontal="center"/>
    </xf>
    <xf numFmtId="0" fontId="49" fillId="0" borderId="8" xfId="0" applyFont="1" applyBorder="1" applyAlignment="1">
      <alignment horizontal="center"/>
    </xf>
    <xf numFmtId="0" fontId="49" fillId="0" borderId="7" xfId="0" applyFont="1" applyBorder="1" applyAlignment="1">
      <alignment horizontal="center"/>
    </xf>
    <xf numFmtId="174" fontId="1" fillId="0" borderId="0" xfId="0" applyNumberFormat="1" applyFont="1"/>
    <xf numFmtId="0" fontId="51" fillId="0" borderId="78" xfId="0" applyFont="1" applyBorder="1"/>
    <xf numFmtId="44" fontId="1" fillId="0" borderId="11" xfId="3" applyNumberFormat="1" applyFont="1" applyBorder="1"/>
    <xf numFmtId="49" fontId="1" fillId="0" borderId="13" xfId="0" applyNumberFormat="1" applyFont="1" applyBorder="1" applyAlignment="1">
      <alignment horizontal="left"/>
    </xf>
    <xf numFmtId="44" fontId="1" fillId="0" borderId="71" xfId="3" applyFont="1" applyBorder="1"/>
    <xf numFmtId="4" fontId="1" fillId="0" borderId="48" xfId="0" applyNumberFormat="1" applyFont="1" applyBorder="1"/>
    <xf numFmtId="42" fontId="52" fillId="0" borderId="71" xfId="0" applyNumberFormat="1" applyFont="1" applyBorder="1" applyAlignment="1">
      <alignment horizontal="center"/>
    </xf>
    <xf numFmtId="4" fontId="1" fillId="0" borderId="10" xfId="0" applyNumberFormat="1" applyFont="1" applyBorder="1"/>
    <xf numFmtId="42" fontId="52" fillId="0" borderId="71" xfId="0" applyNumberFormat="1" applyFont="1" applyBorder="1"/>
    <xf numFmtId="0" fontId="1" fillId="0" borderId="39" xfId="0" applyFont="1" applyBorder="1"/>
    <xf numFmtId="185" fontId="6" fillId="7" borderId="79" xfId="3" applyNumberFormat="1" applyFont="1" applyFill="1" applyBorder="1"/>
    <xf numFmtId="185" fontId="6" fillId="7" borderId="80" xfId="3" applyNumberFormat="1" applyFont="1" applyFill="1" applyBorder="1"/>
    <xf numFmtId="185" fontId="6" fillId="7" borderId="81" xfId="3" applyNumberFormat="1" applyFont="1" applyFill="1" applyBorder="1"/>
    <xf numFmtId="185" fontId="52" fillId="7" borderId="82" xfId="3" applyNumberFormat="1" applyFont="1" applyFill="1" applyBorder="1"/>
    <xf numFmtId="214" fontId="1" fillId="0" borderId="13" xfId="0" applyNumberFormat="1" applyFont="1" applyBorder="1"/>
    <xf numFmtId="44" fontId="1" fillId="0" borderId="13" xfId="3" quotePrefix="1" applyFont="1" applyBorder="1"/>
    <xf numFmtId="44" fontId="1" fillId="0" borderId="13" xfId="3" quotePrefix="1" applyFont="1" applyBorder="1" applyAlignment="1">
      <alignment horizontal="center"/>
    </xf>
    <xf numFmtId="0" fontId="51" fillId="0" borderId="63" xfId="0" applyFont="1" applyBorder="1"/>
    <xf numFmtId="44" fontId="1" fillId="0" borderId="9" xfId="3" applyNumberFormat="1" applyFont="1" applyBorder="1"/>
    <xf numFmtId="49" fontId="1" fillId="0" borderId="58" xfId="0" applyNumberFormat="1" applyFont="1" applyBorder="1" applyAlignment="1">
      <alignment horizontal="left"/>
    </xf>
    <xf numFmtId="174" fontId="1" fillId="0" borderId="21" xfId="0" applyNumberFormat="1" applyFont="1" applyBorder="1"/>
    <xf numFmtId="44" fontId="11" fillId="0" borderId="9" xfId="3" applyNumberFormat="1" applyFont="1" applyBorder="1"/>
    <xf numFmtId="0" fontId="1" fillId="0" borderId="11" xfId="0" applyFont="1" applyBorder="1" applyAlignment="1">
      <alignment horizontal="center"/>
    </xf>
    <xf numFmtId="174" fontId="1" fillId="0" borderId="12" xfId="0" applyNumberFormat="1" applyFont="1" applyBorder="1"/>
    <xf numFmtId="0" fontId="1" fillId="0" borderId="11" xfId="0" applyFont="1" applyBorder="1" applyAlignment="1">
      <alignment horizontal="left"/>
    </xf>
    <xf numFmtId="0" fontId="1" fillId="0" borderId="12" xfId="0" applyNumberFormat="1" applyFont="1" applyBorder="1"/>
    <xf numFmtId="0" fontId="1" fillId="0" borderId="9" xfId="0" applyFont="1" applyBorder="1" applyAlignment="1">
      <alignment horizontal="left"/>
    </xf>
    <xf numFmtId="0" fontId="1" fillId="0" borderId="21" xfId="0" applyFont="1" applyBorder="1" applyAlignment="1">
      <alignment horizontal="left"/>
    </xf>
    <xf numFmtId="44" fontId="52" fillId="0" borderId="71" xfId="0" applyNumberFormat="1" applyFont="1" applyBorder="1" applyAlignment="1">
      <alignment horizontal="center"/>
    </xf>
    <xf numFmtId="0" fontId="51" fillId="0" borderId="70" xfId="0" applyFont="1" applyBorder="1"/>
    <xf numFmtId="185" fontId="6" fillId="7" borderId="83" xfId="3" applyNumberFormat="1" applyFont="1" applyFill="1" applyBorder="1"/>
    <xf numFmtId="185" fontId="6" fillId="7" borderId="84" xfId="3" applyNumberFormat="1" applyFont="1" applyFill="1" applyBorder="1"/>
    <xf numFmtId="185" fontId="6" fillId="7" borderId="85" xfId="3" applyNumberFormat="1" applyFont="1" applyFill="1" applyBorder="1"/>
    <xf numFmtId="185" fontId="52" fillId="7" borderId="81" xfId="3" applyNumberFormat="1" applyFont="1" applyFill="1" applyBorder="1"/>
    <xf numFmtId="0" fontId="10" fillId="7" borderId="86" xfId="0" applyFont="1" applyFill="1" applyBorder="1"/>
    <xf numFmtId="0" fontId="10" fillId="7" borderId="87" xfId="0" applyFont="1" applyFill="1" applyBorder="1"/>
    <xf numFmtId="44" fontId="1" fillId="0" borderId="13" xfId="3" applyFont="1" applyBorder="1"/>
    <xf numFmtId="42" fontId="52" fillId="0" borderId="13" xfId="0" applyNumberFormat="1" applyFont="1" applyBorder="1" applyAlignment="1">
      <alignment horizontal="center"/>
    </xf>
    <xf numFmtId="44" fontId="1" fillId="0" borderId="0" xfId="3" applyNumberFormat="1" applyFont="1" applyBorder="1"/>
    <xf numFmtId="49" fontId="1" fillId="0" borderId="21" xfId="0" applyNumberFormat="1" applyFont="1" applyBorder="1" applyAlignment="1">
      <alignment horizontal="left"/>
    </xf>
    <xf numFmtId="44" fontId="1" fillId="0" borderId="58" xfId="3" applyFont="1" applyBorder="1"/>
    <xf numFmtId="42" fontId="52" fillId="0" borderId="58" xfId="0" applyNumberFormat="1" applyFont="1" applyBorder="1" applyAlignment="1">
      <alignment horizontal="center"/>
    </xf>
    <xf numFmtId="5" fontId="1" fillId="0" borderId="0" xfId="0" applyNumberFormat="1" applyFont="1" applyBorder="1"/>
    <xf numFmtId="0" fontId="51" fillId="0" borderId="42" xfId="0" applyFont="1" applyBorder="1"/>
    <xf numFmtId="44" fontId="1" fillId="0" borderId="58" xfId="3" quotePrefix="1" applyFont="1" applyBorder="1" applyAlignment="1">
      <alignment horizontal="center"/>
    </xf>
    <xf numFmtId="42" fontId="52" fillId="0" borderId="52" xfId="0" applyNumberFormat="1" applyFont="1" applyBorder="1" applyAlignment="1">
      <alignment horizontal="center"/>
    </xf>
    <xf numFmtId="0" fontId="51" fillId="0" borderId="6" xfId="0" applyFont="1" applyBorder="1"/>
    <xf numFmtId="44" fontId="0" fillId="0" borderId="12" xfId="0" applyNumberFormat="1" applyFill="1" applyBorder="1"/>
    <xf numFmtId="0" fontId="1" fillId="0" borderId="88" xfId="0" applyFont="1" applyBorder="1" applyAlignment="1">
      <alignment horizontal="center"/>
    </xf>
    <xf numFmtId="0" fontId="1" fillId="0" borderId="65" xfId="0" applyFont="1" applyBorder="1" applyAlignment="1">
      <alignment horizontal="center"/>
    </xf>
    <xf numFmtId="44" fontId="1" fillId="0" borderId="21" xfId="3" quotePrefix="1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42" fontId="52" fillId="0" borderId="89" xfId="0" applyNumberFormat="1" applyFont="1" applyBorder="1" applyAlignment="1">
      <alignment horizontal="center"/>
    </xf>
    <xf numFmtId="185" fontId="1" fillId="0" borderId="0" xfId="3" applyNumberFormat="1" applyFont="1" applyBorder="1"/>
    <xf numFmtId="44" fontId="1" fillId="0" borderId="0" xfId="3" applyFont="1"/>
    <xf numFmtId="42" fontId="1" fillId="0" borderId="0" xfId="3" applyNumberFormat="1" applyFont="1"/>
    <xf numFmtId="49" fontId="1" fillId="0" borderId="0" xfId="0" applyNumberFormat="1" applyFont="1" applyAlignment="1">
      <alignment horizontal="left"/>
    </xf>
    <xf numFmtId="185" fontId="6" fillId="0" borderId="0" xfId="3" applyNumberFormat="1" applyFont="1" applyFill="1" applyBorder="1"/>
    <xf numFmtId="185" fontId="6" fillId="0" borderId="0" xfId="3" applyNumberFormat="1" applyFont="1" applyFill="1" applyBorder="1" applyAlignment="1">
      <alignment horizontal="center"/>
    </xf>
    <xf numFmtId="0" fontId="1" fillId="0" borderId="90" xfId="0" applyFont="1" applyBorder="1"/>
    <xf numFmtId="44" fontId="1" fillId="0" borderId="12" xfId="3" applyNumberFormat="1" applyFont="1" applyBorder="1"/>
    <xf numFmtId="44" fontId="1" fillId="0" borderId="10" xfId="3" applyFont="1" applyBorder="1"/>
    <xf numFmtId="185" fontId="11" fillId="0" borderId="10" xfId="3" applyNumberFormat="1" applyFont="1" applyFill="1" applyBorder="1" applyAlignment="1">
      <alignment horizontal="center"/>
    </xf>
    <xf numFmtId="4" fontId="0" fillId="0" borderId="48" xfId="0" applyNumberFormat="1" applyBorder="1"/>
    <xf numFmtId="185" fontId="6" fillId="0" borderId="10" xfId="3" quotePrefix="1" applyNumberFormat="1" applyFont="1" applyFill="1" applyBorder="1" applyAlignment="1">
      <alignment horizontal="center"/>
    </xf>
    <xf numFmtId="42" fontId="52" fillId="0" borderId="10" xfId="3" applyNumberFormat="1" applyFont="1" applyBorder="1" applyAlignment="1">
      <alignment horizontal="center"/>
    </xf>
    <xf numFmtId="185" fontId="52" fillId="0" borderId="0" xfId="3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2" fontId="11" fillId="0" borderId="10" xfId="0" applyNumberFormat="1" applyFont="1" applyFill="1" applyBorder="1" applyAlignment="1">
      <alignment horizontal="right"/>
    </xf>
    <xf numFmtId="0" fontId="0" fillId="0" borderId="13" xfId="0" quotePrefix="1" applyBorder="1" applyAlignment="1">
      <alignment horizontal="center"/>
    </xf>
    <xf numFmtId="44" fontId="1" fillId="0" borderId="12" xfId="0" applyNumberFormat="1" applyFont="1" applyBorder="1"/>
    <xf numFmtId="44" fontId="1" fillId="0" borderId="48" xfId="3" applyFont="1" applyBorder="1"/>
    <xf numFmtId="0" fontId="1" fillId="0" borderId="91" xfId="0" applyFont="1" applyBorder="1" applyAlignment="1">
      <alignment horizontal="center"/>
    </xf>
    <xf numFmtId="0" fontId="10" fillId="7" borderId="83" xfId="0" applyFont="1" applyFill="1" applyBorder="1"/>
    <xf numFmtId="0" fontId="0" fillId="7" borderId="84" xfId="0" applyFill="1" applyBorder="1" applyAlignment="1">
      <alignment horizontal="center"/>
    </xf>
    <xf numFmtId="0" fontId="0" fillId="7" borderId="84" xfId="0" applyFill="1" applyBorder="1"/>
    <xf numFmtId="0" fontId="0" fillId="7" borderId="85" xfId="0" applyFill="1" applyBorder="1" applyAlignment="1">
      <alignment horizontal="center"/>
    </xf>
    <xf numFmtId="42" fontId="0" fillId="7" borderId="92" xfId="0" applyNumberFormat="1" applyFill="1" applyBorder="1" applyAlignment="1">
      <alignment horizontal="center"/>
    </xf>
    <xf numFmtId="185" fontId="52" fillId="7" borderId="82" xfId="3" applyNumberFormat="1" applyFont="1" applyFill="1" applyBorder="1" applyAlignment="1">
      <alignment horizontal="center"/>
    </xf>
    <xf numFmtId="0" fontId="10" fillId="0" borderId="0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2" fontId="0" fillId="0" borderId="0" xfId="0" applyNumberFormat="1" applyFill="1" applyBorder="1" applyAlignment="1">
      <alignment horizontal="center"/>
    </xf>
    <xf numFmtId="42" fontId="52" fillId="7" borderId="31" xfId="0" applyNumberFormat="1" applyFont="1" applyFill="1" applyBorder="1"/>
    <xf numFmtId="0" fontId="11" fillId="0" borderId="0" xfId="0" applyFont="1" applyFill="1" applyBorder="1"/>
    <xf numFmtId="42" fontId="52" fillId="0" borderId="0" xfId="0" applyNumberFormat="1" applyFont="1" applyFill="1" applyBorder="1"/>
    <xf numFmtId="0" fontId="51" fillId="0" borderId="0" xfId="0" quotePrefix="1" applyFont="1"/>
    <xf numFmtId="0" fontId="56" fillId="0" borderId="0" xfId="0" applyFont="1"/>
    <xf numFmtId="0" fontId="12" fillId="0" borderId="0" xfId="0" applyFont="1" applyAlignment="1" applyProtection="1">
      <alignment wrapText="1"/>
      <protection locked="0"/>
    </xf>
    <xf numFmtId="0" fontId="11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0" fillId="0" borderId="5" xfId="0" applyFont="1" applyBorder="1" applyAlignment="1">
      <alignment horizontal="center"/>
    </xf>
    <xf numFmtId="0" fontId="10" fillId="0" borderId="35" xfId="0" applyFont="1" applyBorder="1" applyAlignment="1">
      <alignment horizontal="center"/>
    </xf>
    <xf numFmtId="3" fontId="9" fillId="0" borderId="0" xfId="0" applyNumberFormat="1" applyFont="1" applyAlignment="1" applyProtection="1">
      <alignment horizontal="center"/>
      <protection locked="0"/>
    </xf>
    <xf numFmtId="0" fontId="19" fillId="0" borderId="70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58" xfId="0" applyBorder="1" applyAlignment="1">
      <alignment horizontal="left"/>
    </xf>
    <xf numFmtId="0" fontId="19" fillId="0" borderId="9" xfId="0" applyFont="1" applyBorder="1" applyAlignment="1">
      <alignment horizontal="left"/>
    </xf>
    <xf numFmtId="3" fontId="6" fillId="0" borderId="29" xfId="0" applyNumberFormat="1" applyFont="1" applyBorder="1" applyAlignment="1" applyProtection="1">
      <alignment horizontal="center"/>
      <protection locked="0"/>
    </xf>
    <xf numFmtId="3" fontId="6" fillId="0" borderId="30" xfId="0" applyNumberFormat="1" applyFont="1" applyBorder="1" applyAlignment="1" applyProtection="1">
      <alignment horizontal="center"/>
      <protection locked="0"/>
    </xf>
    <xf numFmtId="3" fontId="6" fillId="0" borderId="31" xfId="0" applyNumberFormat="1" applyFont="1" applyBorder="1" applyAlignment="1" applyProtection="1">
      <alignment horizontal="center"/>
      <protection locked="0"/>
    </xf>
    <xf numFmtId="3" fontId="9" fillId="0" borderId="0" xfId="0" applyNumberFormat="1" applyFont="1" applyAlignment="1" applyProtection="1">
      <alignment horizontal="center"/>
    </xf>
    <xf numFmtId="0" fontId="10" fillId="0" borderId="27" xfId="0" applyFont="1" applyBorder="1" applyAlignment="1">
      <alignment horizontal="center"/>
    </xf>
    <xf numFmtId="3" fontId="28" fillId="0" borderId="0" xfId="0" applyNumberFormat="1" applyFont="1" applyAlignment="1">
      <alignment horizontal="center"/>
    </xf>
    <xf numFmtId="3" fontId="39" fillId="0" borderId="0" xfId="0" applyNumberFormat="1" applyFont="1" applyAlignment="1">
      <alignment horizontal="center"/>
    </xf>
    <xf numFmtId="0" fontId="40" fillId="0" borderId="0" xfId="0" applyFont="1" applyBorder="1" applyAlignment="1">
      <alignment horizontal="right"/>
    </xf>
    <xf numFmtId="0" fontId="40" fillId="0" borderId="0" xfId="0" applyFont="1" applyAlignment="1">
      <alignment horizontal="center"/>
    </xf>
    <xf numFmtId="0" fontId="40" fillId="0" borderId="27" xfId="0" applyFont="1" applyBorder="1" applyAlignment="1">
      <alignment horizontal="right"/>
    </xf>
    <xf numFmtId="0" fontId="40" fillId="0" borderId="29" xfId="0" applyFont="1" applyBorder="1" applyAlignment="1">
      <alignment horizontal="center"/>
    </xf>
    <xf numFmtId="0" fontId="40" fillId="0" borderId="30" xfId="0" applyFont="1" applyBorder="1" applyAlignment="1">
      <alignment horizontal="center"/>
    </xf>
    <xf numFmtId="0" fontId="40" fillId="0" borderId="31" xfId="0" applyFont="1" applyBorder="1" applyAlignment="1">
      <alignment horizontal="center"/>
    </xf>
  </cellXfs>
  <cellStyles count="7">
    <cellStyle name="Comma" xfId="2" builtinId="3"/>
    <cellStyle name="Currency" xfId="3" builtinId="4"/>
    <cellStyle name="Normal" xfId="0" builtinId="0"/>
    <cellStyle name="Normal_9FA MR x 2" xfId="4"/>
    <cellStyle name="Normal_YUCATAN5" xfId="5"/>
    <cellStyle name="Percent" xfId="6" builtinId="5"/>
    <cellStyle name="RowLevel_2" xfId="1" builtinId="1" iLevel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%20Peter,ILL%20(Ameren)_Chemest_Rev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Sheet"/>
      <sheetName val="Unit Costs"/>
      <sheetName val="Project Config. Choices"/>
      <sheetName val="Project Config. Inputs"/>
      <sheetName val="Module 1a"/>
      <sheetName val="Module 1b"/>
      <sheetName val="Module 1c"/>
      <sheetName val="Module 2a"/>
      <sheetName val="Module 2b"/>
      <sheetName val="Module 2c"/>
      <sheetName val="Module 2d"/>
      <sheetName val="Module 3a"/>
      <sheetName val="Module 3b"/>
      <sheetName val="Module 4a"/>
      <sheetName val="Module 4b"/>
      <sheetName val="Module 5a"/>
      <sheetName val="Module 5b"/>
      <sheetName val="Module1"/>
    </sheetNames>
    <sheetDataSet>
      <sheetData sheetId="0"/>
      <sheetData sheetId="1">
        <row r="13">
          <cell r="C13">
            <v>0.03</v>
          </cell>
        </row>
        <row r="16">
          <cell r="C16">
            <v>0.14000000000000001</v>
          </cell>
        </row>
        <row r="17">
          <cell r="C17">
            <v>0.18</v>
          </cell>
        </row>
        <row r="21">
          <cell r="C21">
            <v>1</v>
          </cell>
        </row>
        <row r="23">
          <cell r="C23">
            <v>4.2999999999999997E-2</v>
          </cell>
          <cell r="D23" t="str">
            <v>/lb.</v>
          </cell>
        </row>
        <row r="25">
          <cell r="C25">
            <v>2.36</v>
          </cell>
        </row>
        <row r="27">
          <cell r="C27">
            <v>1.3</v>
          </cell>
        </row>
        <row r="28">
          <cell r="C28">
            <v>2.7</v>
          </cell>
        </row>
        <row r="29">
          <cell r="C29">
            <v>2.7</v>
          </cell>
        </row>
        <row r="30">
          <cell r="C30">
            <v>2.2999999999999998</v>
          </cell>
        </row>
        <row r="31">
          <cell r="C31">
            <v>2.5</v>
          </cell>
        </row>
        <row r="38">
          <cell r="C38">
            <v>75</v>
          </cell>
        </row>
        <row r="39">
          <cell r="C39">
            <v>165</v>
          </cell>
        </row>
        <row r="42">
          <cell r="C42">
            <v>700</v>
          </cell>
        </row>
        <row r="43">
          <cell r="C43">
            <v>127</v>
          </cell>
        </row>
        <row r="44">
          <cell r="C44">
            <v>2</v>
          </cell>
        </row>
      </sheetData>
      <sheetData sheetId="2"/>
      <sheetData sheetId="3">
        <row r="28">
          <cell r="G28">
            <v>18.264840182648399</v>
          </cell>
        </row>
        <row r="32">
          <cell r="G32">
            <v>0</v>
          </cell>
        </row>
        <row r="35">
          <cell r="G35">
            <v>1</v>
          </cell>
        </row>
        <row r="36">
          <cell r="G36">
            <v>17000</v>
          </cell>
        </row>
        <row r="39">
          <cell r="G39">
            <v>0</v>
          </cell>
        </row>
        <row r="42">
          <cell r="G42">
            <v>3</v>
          </cell>
        </row>
        <row r="45">
          <cell r="G45">
            <v>204</v>
          </cell>
        </row>
        <row r="56">
          <cell r="G56">
            <v>52571.428571428572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42"/>
  <sheetViews>
    <sheetView tabSelected="1" workbookViewId="0"/>
  </sheetViews>
  <sheetFormatPr defaultRowHeight="12.75"/>
  <cols>
    <col min="6" max="6" width="18.7109375" customWidth="1"/>
  </cols>
  <sheetData>
    <row r="1" spans="1:22" ht="15.75">
      <c r="A1" s="1" t="str">
        <f>Scope!A1</f>
        <v>St Peter, Illinois (Ameren) Power Project, Rev 0</v>
      </c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.75">
      <c r="A2" s="4" t="s">
        <v>107</v>
      </c>
      <c r="B2" s="2"/>
      <c r="C2" s="2"/>
      <c r="D2" s="2"/>
      <c r="E2" s="2"/>
      <c r="F2" s="2"/>
      <c r="G2" s="2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15.75">
      <c r="A3" s="4" t="s">
        <v>108</v>
      </c>
      <c r="B3" s="2"/>
      <c r="C3" s="2"/>
      <c r="D3" s="2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>
      <c r="A4" s="5"/>
      <c r="B4" s="5"/>
      <c r="C4" s="5"/>
      <c r="D4" s="5"/>
      <c r="E4" s="5"/>
      <c r="F4" s="5"/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>
      <c r="A5" s="5"/>
      <c r="B5" s="5"/>
      <c r="C5" s="5"/>
      <c r="D5" s="5"/>
      <c r="E5" s="5"/>
      <c r="F5" s="5"/>
      <c r="G5" s="5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>
      <c r="A7" s="6" t="s">
        <v>108</v>
      </c>
      <c r="B7" s="5"/>
      <c r="C7" s="5"/>
      <c r="D7" s="5"/>
      <c r="F7" s="5"/>
      <c r="G7" s="7">
        <v>1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>
      <c r="A8" s="5"/>
      <c r="B8" s="5"/>
      <c r="C8" s="5"/>
      <c r="D8" s="5"/>
      <c r="E8" s="5"/>
      <c r="F8" s="5"/>
      <c r="G8" s="7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>
      <c r="A9" s="6" t="s">
        <v>109</v>
      </c>
      <c r="B9" s="5"/>
      <c r="C9" s="5"/>
      <c r="D9" s="5"/>
      <c r="E9" s="5"/>
      <c r="F9" s="5"/>
      <c r="G9" s="7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>
      <c r="B10" s="6" t="s">
        <v>110</v>
      </c>
      <c r="C10" s="5"/>
      <c r="D10" s="5"/>
      <c r="F10" s="5"/>
      <c r="G10" s="7">
        <v>2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>
      <c r="A11" s="6"/>
      <c r="B11" s="6" t="s">
        <v>111</v>
      </c>
      <c r="C11" s="5"/>
      <c r="D11" s="5"/>
      <c r="F11" s="5"/>
      <c r="G11" s="7">
        <v>3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hidden="1">
      <c r="A12" s="6"/>
      <c r="B12" s="6" t="s">
        <v>1091</v>
      </c>
      <c r="C12" s="5"/>
      <c r="D12" s="5"/>
      <c r="F12" s="5"/>
      <c r="G12" s="7">
        <v>4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>
      <c r="A13" s="6"/>
      <c r="B13" s="6"/>
      <c r="C13" s="5"/>
      <c r="D13" s="5"/>
      <c r="F13" s="5"/>
      <c r="G13" s="7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>
      <c r="A14" s="6" t="s">
        <v>112</v>
      </c>
      <c r="B14" s="6"/>
      <c r="C14" s="5"/>
      <c r="D14" s="5"/>
      <c r="E14" s="5"/>
      <c r="F14" s="5"/>
      <c r="G14" s="7">
        <v>4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hidden="1">
      <c r="A15" s="6"/>
      <c r="B15" s="6" t="s">
        <v>113</v>
      </c>
      <c r="C15" s="5"/>
      <c r="D15" s="5"/>
      <c r="E15" s="5"/>
      <c r="F15" s="5"/>
      <c r="G15" s="7">
        <v>6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2">
      <c r="A16" s="6"/>
      <c r="B16" s="6"/>
      <c r="C16" s="5"/>
      <c r="D16" s="5"/>
      <c r="E16" s="5"/>
      <c r="F16" s="5"/>
      <c r="G16" s="7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2" hidden="1">
      <c r="A17" s="6" t="s">
        <v>114</v>
      </c>
      <c r="C17" s="5"/>
      <c r="D17" s="5"/>
      <c r="E17" s="5"/>
      <c r="F17" s="5"/>
      <c r="G17" s="7">
        <v>7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hidden="1">
      <c r="A18" s="5"/>
      <c r="C18" s="5"/>
      <c r="D18" s="5"/>
      <c r="E18" s="5"/>
      <c r="F18" s="5"/>
      <c r="G18" s="7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>
      <c r="A19" s="6" t="s">
        <v>115</v>
      </c>
      <c r="C19" s="5"/>
      <c r="D19" s="5"/>
      <c r="E19" s="5"/>
      <c r="F19" s="5"/>
      <c r="G19" s="7">
        <v>5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 hidden="1">
      <c r="A20" s="6"/>
      <c r="B20" s="8" t="s">
        <v>116</v>
      </c>
      <c r="C20" s="5"/>
      <c r="D20" s="5"/>
      <c r="E20" s="5"/>
      <c r="F20" s="5"/>
      <c r="G20" s="7">
        <v>7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2">
      <c r="A21" s="6"/>
      <c r="B21" s="8" t="s">
        <v>117</v>
      </c>
      <c r="C21" s="5"/>
      <c r="D21" s="5"/>
      <c r="E21" s="5"/>
      <c r="F21" s="5"/>
      <c r="G21" s="7">
        <v>6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>
      <c r="A22" s="6"/>
      <c r="B22" s="8" t="s">
        <v>118</v>
      </c>
      <c r="C22" s="5"/>
      <c r="D22" s="5"/>
      <c r="E22" s="5"/>
      <c r="F22" s="5"/>
      <c r="G22" s="7">
        <v>7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>
      <c r="A23" s="6"/>
      <c r="B23" s="8" t="s">
        <v>119</v>
      </c>
      <c r="C23" s="5"/>
      <c r="D23" s="5"/>
      <c r="E23" s="5"/>
      <c r="F23" s="5"/>
      <c r="G23" s="7">
        <v>8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 hidden="1">
      <c r="A24" s="6"/>
      <c r="B24" s="8" t="s">
        <v>120</v>
      </c>
      <c r="C24" s="5"/>
      <c r="D24" s="5"/>
      <c r="E24" s="5"/>
      <c r="F24" s="5"/>
      <c r="G24" s="7">
        <v>14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 hidden="1">
      <c r="A25" s="6"/>
      <c r="B25" s="8" t="s">
        <v>121</v>
      </c>
      <c r="C25" s="5"/>
      <c r="D25" s="5"/>
      <c r="E25" s="5"/>
      <c r="F25" s="5"/>
      <c r="G25" s="7">
        <v>16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>
      <c r="A26" s="6"/>
      <c r="B26" s="8" t="s">
        <v>1094</v>
      </c>
      <c r="C26" s="5"/>
      <c r="D26" s="5"/>
      <c r="E26" s="5"/>
      <c r="F26" s="5"/>
      <c r="G26" s="7">
        <v>10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>
      <c r="A27" s="5"/>
      <c r="C27" s="5"/>
      <c r="D27" s="5"/>
      <c r="E27" s="5"/>
      <c r="F27" s="5"/>
      <c r="G27" s="7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>
      <c r="A28" s="6" t="s">
        <v>122</v>
      </c>
      <c r="C28" s="5"/>
      <c r="D28" s="5"/>
      <c r="E28" s="5"/>
      <c r="F28" s="5"/>
      <c r="G28" s="7">
        <v>15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 ht="12" customHeight="1">
      <c r="A29" s="6"/>
      <c r="B29" s="8" t="s">
        <v>589</v>
      </c>
      <c r="C29" s="5"/>
      <c r="D29" s="5"/>
      <c r="E29" s="5"/>
      <c r="F29" s="5"/>
      <c r="G29" s="7">
        <v>16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 hidden="1">
      <c r="A30" s="6"/>
      <c r="B30" s="8" t="s">
        <v>123</v>
      </c>
      <c r="C30" s="5"/>
      <c r="D30" s="5"/>
      <c r="E30" s="5"/>
      <c r="F30" s="5"/>
      <c r="G30" s="7">
        <v>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 hidden="1">
      <c r="A31" s="6"/>
      <c r="B31" s="8" t="s">
        <v>124</v>
      </c>
      <c r="C31" s="5"/>
      <c r="D31" s="5"/>
      <c r="E31" s="5"/>
      <c r="F31" s="5"/>
      <c r="G31" s="7">
        <v>25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 hidden="1">
      <c r="A32" s="6"/>
      <c r="B32" s="8" t="s">
        <v>125</v>
      </c>
      <c r="C32" s="5"/>
      <c r="D32" s="5"/>
      <c r="E32" s="5"/>
      <c r="F32" s="5"/>
      <c r="G32" s="7">
        <v>26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>
      <c r="A33" s="6"/>
      <c r="B33" s="8" t="s">
        <v>1092</v>
      </c>
      <c r="C33" s="5"/>
      <c r="D33" s="5"/>
      <c r="E33" s="5"/>
      <c r="F33" s="5"/>
      <c r="G33" s="7">
        <v>17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>
      <c r="A34" s="6"/>
      <c r="B34" s="8" t="s">
        <v>1093</v>
      </c>
      <c r="C34" s="5"/>
      <c r="D34" s="5"/>
      <c r="E34" s="5"/>
      <c r="F34" s="5"/>
      <c r="G34" s="7">
        <v>18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>
      <c r="A35" s="6"/>
      <c r="B35" s="8" t="s">
        <v>739</v>
      </c>
      <c r="C35" s="5"/>
      <c r="D35" s="5"/>
      <c r="E35" s="5"/>
      <c r="F35" s="5"/>
      <c r="G35" s="7">
        <v>23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>
      <c r="A36" s="6"/>
      <c r="B36" s="8"/>
      <c r="C36" s="5"/>
      <c r="D36" s="5"/>
      <c r="E36" s="5"/>
      <c r="F36" s="5"/>
      <c r="G36" s="7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>
      <c r="A37" s="6" t="s">
        <v>127</v>
      </c>
      <c r="C37" s="5"/>
      <c r="D37" s="5"/>
      <c r="E37" s="5"/>
      <c r="F37" s="5"/>
      <c r="G37" s="7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hidden="1">
      <c r="A38" s="6"/>
      <c r="B38" s="8" t="s">
        <v>128</v>
      </c>
      <c r="C38" s="5"/>
      <c r="D38" s="5"/>
      <c r="E38" s="5"/>
      <c r="F38" s="5"/>
      <c r="G38" s="7">
        <v>35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>
      <c r="A39" s="5"/>
      <c r="B39" s="6" t="s">
        <v>1095</v>
      </c>
      <c r="C39" s="5"/>
      <c r="D39" s="5"/>
      <c r="E39" s="5"/>
      <c r="F39" s="5"/>
      <c r="G39" s="5">
        <v>25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>
      <c r="A40" s="5"/>
      <c r="B40" s="6"/>
      <c r="C40" s="5"/>
      <c r="D40" s="5"/>
      <c r="E40" s="5"/>
      <c r="F40" s="5"/>
      <c r="G40" s="9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:2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</sheetData>
  <printOptions horizontalCentered="1"/>
  <pageMargins left="0.75" right="0.75" top="1" bottom="1" header="0.5" footer="0.5"/>
  <pageSetup orientation="portrait" horizontalDpi="4294967292" verticalDpi="4294967292" r:id="rId1"/>
  <headerFooter alignWithMargins="0">
    <oddFooter>&amp;LScot Chambers
&amp;D&amp;CPage _____&amp;R&amp;F
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22"/>
  <sheetViews>
    <sheetView zoomScale="80" workbookViewId="0"/>
  </sheetViews>
  <sheetFormatPr defaultRowHeight="12.75"/>
  <cols>
    <col min="1" max="1" width="45.85546875" customWidth="1"/>
    <col min="2" max="2" width="9" customWidth="1"/>
    <col min="3" max="4" width="9.5703125" customWidth="1"/>
    <col min="5" max="5" width="10" customWidth="1"/>
    <col min="6" max="6" width="30.7109375" customWidth="1"/>
    <col min="7" max="7" width="9.42578125" customWidth="1"/>
  </cols>
  <sheetData>
    <row r="1" spans="1:8" ht="15.75">
      <c r="A1" s="169" t="str">
        <f>Scope!A1</f>
        <v>St Peter, Illinois (Ameren) Power Project, Rev 0</v>
      </c>
      <c r="B1" s="169"/>
      <c r="C1" s="169"/>
      <c r="D1" s="169"/>
      <c r="E1" s="169"/>
      <c r="F1" s="169"/>
      <c r="G1" s="170"/>
      <c r="H1" s="170"/>
    </row>
    <row r="2" spans="1:8" ht="15.75">
      <c r="A2" s="171" t="s">
        <v>290</v>
      </c>
      <c r="B2" s="171"/>
      <c r="C2" s="171"/>
      <c r="D2" s="171"/>
      <c r="E2" s="171"/>
      <c r="F2" s="171"/>
      <c r="G2" s="170"/>
      <c r="H2" s="170"/>
    </row>
    <row r="4" spans="1:8">
      <c r="C4" s="11" t="s">
        <v>291</v>
      </c>
    </row>
    <row r="5" spans="1:8">
      <c r="C5" s="172" t="s">
        <v>292</v>
      </c>
      <c r="D5" s="173" t="s">
        <v>293</v>
      </c>
      <c r="E5" s="172" t="s">
        <v>294</v>
      </c>
      <c r="F5" s="174" t="s">
        <v>295</v>
      </c>
      <c r="G5" s="115"/>
      <c r="H5" s="115"/>
    </row>
    <row r="6" spans="1:8">
      <c r="A6" s="8" t="s">
        <v>296</v>
      </c>
      <c r="B6" s="8"/>
      <c r="C6" s="175"/>
      <c r="D6" s="176"/>
      <c r="E6" s="175"/>
      <c r="F6" s="98"/>
    </row>
    <row r="7" spans="1:8">
      <c r="A7" s="8"/>
      <c r="B7" s="8"/>
      <c r="C7" s="175"/>
      <c r="D7" s="176"/>
      <c r="E7" s="175"/>
      <c r="F7" s="98"/>
    </row>
    <row r="8" spans="1:8">
      <c r="A8" t="s">
        <v>297</v>
      </c>
      <c r="C8" s="177"/>
      <c r="D8" s="178"/>
      <c r="E8" s="177"/>
      <c r="F8" s="98"/>
    </row>
    <row r="9" spans="1:8">
      <c r="A9" t="s">
        <v>298</v>
      </c>
      <c r="C9" s="177"/>
      <c r="D9" s="178"/>
      <c r="E9" s="177" t="s">
        <v>299</v>
      </c>
      <c r="F9" s="98"/>
    </row>
    <row r="10" spans="1:8">
      <c r="A10" t="s">
        <v>300</v>
      </c>
      <c r="C10" s="177"/>
      <c r="D10" s="177" t="s">
        <v>299</v>
      </c>
      <c r="E10" s="177"/>
      <c r="F10" s="98"/>
    </row>
    <row r="11" spans="1:8">
      <c r="A11" t="s">
        <v>301</v>
      </c>
      <c r="C11" s="177" t="s">
        <v>299</v>
      </c>
      <c r="D11" s="177"/>
      <c r="E11" s="177"/>
      <c r="F11" s="98"/>
    </row>
    <row r="12" spans="1:8">
      <c r="A12" t="s">
        <v>302</v>
      </c>
      <c r="C12" s="177"/>
      <c r="D12" s="177"/>
      <c r="E12" s="177"/>
      <c r="F12" s="98"/>
    </row>
    <row r="13" spans="1:8">
      <c r="A13" t="s">
        <v>298</v>
      </c>
      <c r="C13" s="177"/>
      <c r="D13" s="177"/>
      <c r="E13" s="177" t="s">
        <v>299</v>
      </c>
      <c r="F13" s="98"/>
    </row>
    <row r="14" spans="1:8">
      <c r="A14" t="s">
        <v>300</v>
      </c>
      <c r="C14" s="177"/>
      <c r="D14" s="177" t="s">
        <v>299</v>
      </c>
      <c r="E14" s="177"/>
      <c r="F14" s="98"/>
    </row>
    <row r="15" spans="1:8">
      <c r="A15" t="s">
        <v>301</v>
      </c>
      <c r="C15" s="177" t="s">
        <v>299</v>
      </c>
      <c r="D15" s="177"/>
      <c r="E15" s="177"/>
      <c r="F15" s="98"/>
    </row>
    <row r="16" spans="1:8">
      <c r="A16" t="s">
        <v>212</v>
      </c>
      <c r="C16" s="177"/>
      <c r="D16" s="177"/>
      <c r="E16" s="177"/>
      <c r="F16" s="98"/>
    </row>
    <row r="17" spans="1:6">
      <c r="A17" t="s">
        <v>74</v>
      </c>
      <c r="C17" s="177" t="s">
        <v>299</v>
      </c>
      <c r="D17" s="177"/>
      <c r="E17" s="177"/>
      <c r="F17" s="98"/>
    </row>
    <row r="18" spans="1:6">
      <c r="A18" t="s">
        <v>303</v>
      </c>
      <c r="C18" s="177" t="s">
        <v>299</v>
      </c>
      <c r="D18" s="177"/>
      <c r="E18" s="177"/>
      <c r="F18" s="98"/>
    </row>
    <row r="19" spans="1:6">
      <c r="A19" t="s">
        <v>304</v>
      </c>
      <c r="C19" s="177" t="s">
        <v>299</v>
      </c>
      <c r="D19" s="177"/>
      <c r="E19" s="177"/>
      <c r="F19" s="98"/>
    </row>
    <row r="20" spans="1:6">
      <c r="A20" t="s">
        <v>305</v>
      </c>
      <c r="C20" s="177"/>
      <c r="D20" s="177"/>
      <c r="E20" s="177" t="s">
        <v>299</v>
      </c>
      <c r="F20" s="98" t="s">
        <v>308</v>
      </c>
    </row>
    <row r="21" spans="1:6">
      <c r="A21" t="s">
        <v>306</v>
      </c>
      <c r="C21" s="177"/>
      <c r="D21" s="177" t="s">
        <v>299</v>
      </c>
      <c r="E21" s="177"/>
      <c r="F21" s="98"/>
    </row>
    <row r="22" spans="1:6">
      <c r="A22" t="s">
        <v>307</v>
      </c>
      <c r="C22" s="177"/>
      <c r="D22" s="177"/>
      <c r="E22" s="177" t="s">
        <v>299</v>
      </c>
      <c r="F22" s="98" t="s">
        <v>308</v>
      </c>
    </row>
    <row r="23" spans="1:6">
      <c r="A23" t="s">
        <v>309</v>
      </c>
      <c r="C23" s="177"/>
      <c r="D23" s="177"/>
      <c r="E23" s="177" t="s">
        <v>299</v>
      </c>
      <c r="F23" s="98" t="s">
        <v>308</v>
      </c>
    </row>
    <row r="24" spans="1:6">
      <c r="A24" t="s">
        <v>213</v>
      </c>
      <c r="C24" s="177"/>
      <c r="D24" s="177"/>
      <c r="E24" s="177"/>
      <c r="F24" s="98"/>
    </row>
    <row r="25" spans="1:6">
      <c r="A25" t="s">
        <v>300</v>
      </c>
      <c r="C25" s="177"/>
      <c r="D25" s="177" t="s">
        <v>299</v>
      </c>
      <c r="E25" s="177"/>
      <c r="F25" s="98"/>
    </row>
    <row r="26" spans="1:6">
      <c r="A26" t="s">
        <v>301</v>
      </c>
      <c r="C26" s="177" t="s">
        <v>299</v>
      </c>
      <c r="D26" s="177"/>
      <c r="E26" s="177"/>
      <c r="F26" s="98"/>
    </row>
    <row r="27" spans="1:6">
      <c r="A27" t="s">
        <v>310</v>
      </c>
      <c r="C27" s="177"/>
      <c r="D27" s="177"/>
      <c r="E27" s="177"/>
      <c r="F27" s="98"/>
    </row>
    <row r="28" spans="1:6">
      <c r="A28" t="s">
        <v>300</v>
      </c>
      <c r="C28" s="177"/>
      <c r="D28" s="177" t="s">
        <v>299</v>
      </c>
      <c r="E28" s="177"/>
      <c r="F28" s="98"/>
    </row>
    <row r="29" spans="1:6">
      <c r="A29" t="s">
        <v>311</v>
      </c>
      <c r="C29" s="177" t="s">
        <v>299</v>
      </c>
      <c r="D29" s="177"/>
      <c r="E29" s="177"/>
      <c r="F29" s="98"/>
    </row>
    <row r="30" spans="1:6">
      <c r="A30" t="s">
        <v>312</v>
      </c>
      <c r="C30" s="177"/>
      <c r="D30" s="177"/>
      <c r="E30" s="177"/>
      <c r="F30" s="98"/>
    </row>
    <row r="31" spans="1:6">
      <c r="A31" t="s">
        <v>313</v>
      </c>
      <c r="C31" s="177"/>
      <c r="D31" s="177" t="s">
        <v>299</v>
      </c>
      <c r="E31" s="177"/>
      <c r="F31" s="98"/>
    </row>
    <row r="32" spans="1:6">
      <c r="A32" t="s">
        <v>314</v>
      </c>
      <c r="C32" s="177" t="s">
        <v>299</v>
      </c>
      <c r="D32" s="177"/>
      <c r="E32" s="177"/>
      <c r="F32" s="98"/>
    </row>
    <row r="33" spans="1:6">
      <c r="A33" t="s">
        <v>315</v>
      </c>
      <c r="C33" s="177"/>
      <c r="D33" s="177"/>
      <c r="E33" s="177"/>
      <c r="F33" s="98"/>
    </row>
    <row r="34" spans="1:6">
      <c r="A34" t="s">
        <v>75</v>
      </c>
      <c r="C34" s="177"/>
      <c r="D34" s="177"/>
      <c r="E34" s="177" t="s">
        <v>299</v>
      </c>
      <c r="F34" s="98" t="s">
        <v>76</v>
      </c>
    </row>
    <row r="35" spans="1:6">
      <c r="A35" s="179" t="s">
        <v>77</v>
      </c>
      <c r="C35" s="177"/>
      <c r="D35" s="177" t="s">
        <v>299</v>
      </c>
      <c r="E35" s="177"/>
      <c r="F35" s="98"/>
    </row>
    <row r="36" spans="1:6">
      <c r="A36" t="s">
        <v>316</v>
      </c>
      <c r="C36" s="177" t="s">
        <v>299</v>
      </c>
      <c r="D36" s="177"/>
      <c r="E36" s="177"/>
      <c r="F36" s="98"/>
    </row>
    <row r="37" spans="1:6">
      <c r="A37" s="179" t="s">
        <v>317</v>
      </c>
      <c r="C37" s="177"/>
      <c r="D37" s="177" t="s">
        <v>299</v>
      </c>
      <c r="E37" s="177"/>
      <c r="F37" s="98"/>
    </row>
    <row r="38" spans="1:6">
      <c r="A38" t="s">
        <v>318</v>
      </c>
      <c r="C38" s="177"/>
      <c r="D38" s="177"/>
      <c r="E38" s="177"/>
      <c r="F38" s="98"/>
    </row>
    <row r="39" spans="1:6">
      <c r="A39" t="s">
        <v>319</v>
      </c>
      <c r="C39" s="177" t="s">
        <v>299</v>
      </c>
      <c r="D39" s="177"/>
      <c r="E39" s="177"/>
      <c r="F39" s="98" t="s">
        <v>320</v>
      </c>
    </row>
    <row r="40" spans="1:6">
      <c r="A40" t="s">
        <v>321</v>
      </c>
      <c r="C40" s="177"/>
      <c r="D40" s="177" t="s">
        <v>299</v>
      </c>
      <c r="E40" s="177"/>
      <c r="F40" s="98" t="s">
        <v>322</v>
      </c>
    </row>
    <row r="41" spans="1:6">
      <c r="A41" t="s">
        <v>323</v>
      </c>
      <c r="C41" s="177"/>
      <c r="D41" s="177"/>
      <c r="E41" s="177" t="s">
        <v>299</v>
      </c>
      <c r="F41" s="98" t="s">
        <v>322</v>
      </c>
    </row>
    <row r="42" spans="1:6">
      <c r="A42" t="s">
        <v>324</v>
      </c>
      <c r="C42" s="177"/>
      <c r="D42" s="177"/>
      <c r="E42" s="177"/>
      <c r="F42" s="98"/>
    </row>
    <row r="43" spans="1:6">
      <c r="A43" t="s">
        <v>325</v>
      </c>
      <c r="C43" s="177" t="s">
        <v>299</v>
      </c>
      <c r="D43" s="177"/>
      <c r="E43" s="177"/>
      <c r="F43" s="98"/>
    </row>
    <row r="44" spans="1:6">
      <c r="A44" t="s">
        <v>326</v>
      </c>
      <c r="C44" s="177" t="s">
        <v>299</v>
      </c>
      <c r="D44" s="177"/>
      <c r="E44" s="177"/>
      <c r="F44" s="98"/>
    </row>
    <row r="45" spans="1:6">
      <c r="A45" s="179" t="s">
        <v>327</v>
      </c>
      <c r="C45" s="177" t="s">
        <v>299</v>
      </c>
      <c r="D45" s="177"/>
      <c r="E45" s="177"/>
      <c r="F45" s="180" t="s">
        <v>328</v>
      </c>
    </row>
    <row r="46" spans="1:6">
      <c r="A46" t="s">
        <v>329</v>
      </c>
      <c r="C46" s="177" t="s">
        <v>299</v>
      </c>
      <c r="D46" s="177"/>
      <c r="E46" s="177"/>
      <c r="F46" s="180"/>
    </row>
    <row r="47" spans="1:6">
      <c r="A47" t="s">
        <v>330</v>
      </c>
      <c r="C47" s="177" t="s">
        <v>299</v>
      </c>
      <c r="D47" s="177"/>
      <c r="E47" s="177"/>
      <c r="F47" s="98"/>
    </row>
    <row r="48" spans="1:6">
      <c r="A48" t="s">
        <v>331</v>
      </c>
      <c r="C48" s="177" t="s">
        <v>299</v>
      </c>
      <c r="D48" s="177" t="s">
        <v>299</v>
      </c>
      <c r="E48" s="177"/>
      <c r="F48" s="98"/>
    </row>
    <row r="49" spans="1:6">
      <c r="A49" t="s">
        <v>332</v>
      </c>
      <c r="C49" s="177"/>
      <c r="D49" s="177" t="s">
        <v>299</v>
      </c>
      <c r="E49" s="177"/>
      <c r="F49" s="98"/>
    </row>
    <row r="50" spans="1:6">
      <c r="A50" s="179" t="s">
        <v>333</v>
      </c>
      <c r="C50" s="177" t="s">
        <v>299</v>
      </c>
      <c r="D50" s="177"/>
      <c r="E50" s="177"/>
      <c r="F50" s="180" t="s">
        <v>334</v>
      </c>
    </row>
    <row r="51" spans="1:6">
      <c r="A51" s="179" t="s">
        <v>335</v>
      </c>
      <c r="C51" s="177" t="s">
        <v>299</v>
      </c>
      <c r="D51" s="177"/>
      <c r="E51" s="98"/>
      <c r="F51" s="98"/>
    </row>
    <row r="52" spans="1:6">
      <c r="A52" s="179" t="s">
        <v>336</v>
      </c>
      <c r="C52" s="177"/>
      <c r="D52" s="177" t="s">
        <v>299</v>
      </c>
      <c r="E52" s="177"/>
      <c r="F52" s="98"/>
    </row>
    <row r="53" spans="1:6">
      <c r="A53" s="179" t="s">
        <v>337</v>
      </c>
      <c r="C53" s="98"/>
      <c r="D53" s="177"/>
      <c r="E53" s="177" t="s">
        <v>299</v>
      </c>
      <c r="F53" s="98"/>
    </row>
    <row r="54" spans="1:6">
      <c r="A54" s="179" t="s">
        <v>338</v>
      </c>
      <c r="C54" s="177" t="s">
        <v>299</v>
      </c>
      <c r="D54" s="177"/>
      <c r="E54" s="98"/>
      <c r="F54" s="98"/>
    </row>
    <row r="55" spans="1:6">
      <c r="A55" t="s">
        <v>339</v>
      </c>
      <c r="C55" s="177" t="s">
        <v>299</v>
      </c>
      <c r="D55" s="177"/>
      <c r="E55" s="177"/>
      <c r="F55" s="98"/>
    </row>
    <row r="56" spans="1:6">
      <c r="A56" t="s">
        <v>340</v>
      </c>
      <c r="C56" s="177"/>
      <c r="D56" s="177"/>
      <c r="E56" s="177"/>
      <c r="F56" s="98" t="s">
        <v>341</v>
      </c>
    </row>
    <row r="57" spans="1:6">
      <c r="A57" t="s">
        <v>342</v>
      </c>
      <c r="C57" s="177" t="s">
        <v>299</v>
      </c>
      <c r="D57" s="177"/>
      <c r="E57" s="177"/>
      <c r="F57" s="98"/>
    </row>
    <row r="58" spans="1:6">
      <c r="A58" t="s">
        <v>343</v>
      </c>
      <c r="C58" s="177" t="s">
        <v>299</v>
      </c>
      <c r="D58" s="177"/>
      <c r="E58" s="177"/>
      <c r="F58" s="98"/>
    </row>
    <row r="59" spans="1:6">
      <c r="C59" s="12"/>
      <c r="D59" s="12"/>
      <c r="E59" s="12"/>
    </row>
    <row r="60" spans="1:6">
      <c r="A60" t="s">
        <v>344</v>
      </c>
      <c r="C60" s="12"/>
      <c r="D60" s="12"/>
      <c r="E60" s="12"/>
    </row>
    <row r="61" spans="1:6">
      <c r="A61" t="s">
        <v>347</v>
      </c>
      <c r="C61" s="12"/>
      <c r="D61" s="12"/>
      <c r="E61" s="12"/>
    </row>
    <row r="62" spans="1:6">
      <c r="C62" s="11" t="s">
        <v>291</v>
      </c>
      <c r="D62" s="13"/>
      <c r="E62" s="13"/>
      <c r="F62" s="13"/>
    </row>
    <row r="63" spans="1:6">
      <c r="C63" s="181" t="s">
        <v>292</v>
      </c>
      <c r="D63" s="182" t="s">
        <v>293</v>
      </c>
      <c r="E63" s="181" t="s">
        <v>294</v>
      </c>
      <c r="F63" s="11" t="s">
        <v>295</v>
      </c>
    </row>
    <row r="64" spans="1:6">
      <c r="A64" t="s">
        <v>348</v>
      </c>
      <c r="C64" s="177" t="s">
        <v>299</v>
      </c>
      <c r="D64" s="177"/>
      <c r="E64" s="177"/>
      <c r="F64" s="98" t="s">
        <v>349</v>
      </c>
    </row>
    <row r="65" spans="1:6">
      <c r="A65" t="s">
        <v>350</v>
      </c>
      <c r="C65" s="177"/>
      <c r="D65" s="177"/>
      <c r="E65" s="177"/>
      <c r="F65" s="98"/>
    </row>
    <row r="66" spans="1:6">
      <c r="A66" t="s">
        <v>351</v>
      </c>
      <c r="C66" s="177"/>
      <c r="D66" s="177" t="s">
        <v>299</v>
      </c>
      <c r="E66" s="177"/>
      <c r="F66" s="98"/>
    </row>
    <row r="67" spans="1:6">
      <c r="A67" t="s">
        <v>352</v>
      </c>
      <c r="C67" s="177"/>
      <c r="D67" s="177" t="s">
        <v>299</v>
      </c>
      <c r="E67" s="177"/>
      <c r="F67" s="98"/>
    </row>
    <row r="68" spans="1:6">
      <c r="A68" t="s">
        <v>353</v>
      </c>
      <c r="C68" s="177"/>
      <c r="D68" s="177" t="s">
        <v>299</v>
      </c>
      <c r="E68" s="177"/>
      <c r="F68" s="98"/>
    </row>
    <row r="69" spans="1:6">
      <c r="A69" s="179" t="s">
        <v>354</v>
      </c>
      <c r="C69" s="177" t="s">
        <v>299</v>
      </c>
      <c r="D69" s="177"/>
      <c r="E69" s="177"/>
      <c r="F69" s="98"/>
    </row>
    <row r="70" spans="1:6">
      <c r="C70" s="177"/>
      <c r="D70" s="177"/>
      <c r="E70" s="177"/>
      <c r="F70" s="98"/>
    </row>
    <row r="71" spans="1:6">
      <c r="A71" s="8" t="s">
        <v>355</v>
      </c>
      <c r="B71" s="8"/>
      <c r="C71" s="177"/>
      <c r="D71" s="177"/>
      <c r="E71" s="177"/>
      <c r="F71" s="98"/>
    </row>
    <row r="72" spans="1:6">
      <c r="A72" s="8"/>
      <c r="B72" s="8"/>
      <c r="C72" s="177"/>
      <c r="D72" s="177"/>
      <c r="E72" s="177"/>
      <c r="F72" s="98"/>
    </row>
    <row r="73" spans="1:6">
      <c r="A73" t="s">
        <v>222</v>
      </c>
      <c r="C73" s="177"/>
      <c r="D73" s="177"/>
      <c r="E73" s="177"/>
      <c r="F73" s="98"/>
    </row>
    <row r="74" spans="1:6">
      <c r="A74" t="s">
        <v>356</v>
      </c>
      <c r="C74" s="177" t="s">
        <v>299</v>
      </c>
      <c r="D74" s="177"/>
      <c r="E74" s="177"/>
      <c r="F74" s="98"/>
    </row>
    <row r="75" spans="1:6">
      <c r="A75" t="s">
        <v>357</v>
      </c>
      <c r="C75" s="177" t="s">
        <v>299</v>
      </c>
      <c r="D75" s="177"/>
      <c r="E75" s="177"/>
      <c r="F75" s="98"/>
    </row>
    <row r="76" spans="1:6">
      <c r="A76" t="s">
        <v>358</v>
      </c>
      <c r="C76" s="177"/>
      <c r="D76" s="177"/>
      <c r="E76" s="177"/>
      <c r="F76" s="98"/>
    </row>
    <row r="77" spans="1:6">
      <c r="A77" t="s">
        <v>359</v>
      </c>
      <c r="C77" s="177"/>
      <c r="D77" s="177"/>
      <c r="E77" s="177"/>
      <c r="F77" s="98" t="s">
        <v>341</v>
      </c>
    </row>
    <row r="78" spans="1:6">
      <c r="A78" t="s">
        <v>360</v>
      </c>
      <c r="C78" s="177"/>
      <c r="D78" s="177" t="s">
        <v>299</v>
      </c>
      <c r="E78" s="177"/>
      <c r="F78" s="98"/>
    </row>
    <row r="79" spans="1:6">
      <c r="A79" t="s">
        <v>361</v>
      </c>
      <c r="C79" s="177"/>
      <c r="D79" s="177" t="s">
        <v>299</v>
      </c>
      <c r="E79" s="177"/>
      <c r="F79" s="98"/>
    </row>
    <row r="80" spans="1:6">
      <c r="A80" t="s">
        <v>362</v>
      </c>
      <c r="C80" s="177"/>
      <c r="D80" s="177" t="s">
        <v>299</v>
      </c>
      <c r="E80" s="177"/>
      <c r="F80" s="98"/>
    </row>
    <row r="81" spans="1:6">
      <c r="A81" t="s">
        <v>363</v>
      </c>
      <c r="C81" s="177"/>
      <c r="D81" s="177" t="s">
        <v>299</v>
      </c>
      <c r="E81" s="177"/>
      <c r="F81" s="98"/>
    </row>
    <row r="82" spans="1:6">
      <c r="A82" t="s">
        <v>364</v>
      </c>
      <c r="C82" s="177"/>
      <c r="D82" s="177"/>
      <c r="E82" s="177"/>
      <c r="F82" s="98"/>
    </row>
    <row r="83" spans="1:6">
      <c r="A83" t="s">
        <v>379</v>
      </c>
      <c r="C83" s="177" t="s">
        <v>299</v>
      </c>
      <c r="D83" s="177"/>
      <c r="E83" s="177"/>
      <c r="F83" s="98"/>
    </row>
    <row r="84" spans="1:6">
      <c r="A84" t="s">
        <v>380</v>
      </c>
      <c r="C84" s="177" t="s">
        <v>299</v>
      </c>
      <c r="D84" s="177"/>
      <c r="E84" s="177"/>
      <c r="F84" s="98"/>
    </row>
    <row r="85" spans="1:6">
      <c r="A85" t="s">
        <v>381</v>
      </c>
      <c r="C85" s="177" t="s">
        <v>299</v>
      </c>
      <c r="D85" s="98"/>
      <c r="E85" s="177"/>
      <c r="F85" s="98"/>
    </row>
    <row r="86" spans="1:6">
      <c r="A86" t="s">
        <v>382</v>
      </c>
      <c r="C86" s="177" t="s">
        <v>299</v>
      </c>
      <c r="D86" s="177"/>
      <c r="E86" s="177"/>
      <c r="F86" s="98"/>
    </row>
    <row r="87" spans="1:6">
      <c r="A87" t="s">
        <v>383</v>
      </c>
      <c r="C87" s="177" t="s">
        <v>299</v>
      </c>
      <c r="D87" s="177"/>
      <c r="E87" s="177"/>
      <c r="F87" s="98"/>
    </row>
    <row r="88" spans="1:6">
      <c r="A88" t="s">
        <v>384</v>
      </c>
      <c r="C88" s="177"/>
      <c r="D88" s="177" t="s">
        <v>299</v>
      </c>
      <c r="E88" s="177"/>
      <c r="F88" s="98"/>
    </row>
    <row r="89" spans="1:6">
      <c r="A89" t="s">
        <v>385</v>
      </c>
      <c r="C89" s="177"/>
      <c r="D89" s="177" t="s">
        <v>299</v>
      </c>
      <c r="E89" s="177"/>
      <c r="F89" s="98"/>
    </row>
    <row r="90" spans="1:6">
      <c r="A90" t="s">
        <v>386</v>
      </c>
      <c r="C90" s="177"/>
      <c r="D90" s="177"/>
      <c r="E90" s="177"/>
      <c r="F90" s="98"/>
    </row>
    <row r="91" spans="1:6">
      <c r="A91" t="s">
        <v>387</v>
      </c>
      <c r="C91" s="177" t="s">
        <v>299</v>
      </c>
      <c r="D91" s="177"/>
      <c r="E91" s="177"/>
      <c r="F91" s="98"/>
    </row>
    <row r="92" spans="1:6">
      <c r="A92" t="s">
        <v>78</v>
      </c>
      <c r="C92" s="177"/>
      <c r="D92" s="177" t="s">
        <v>299</v>
      </c>
      <c r="E92" s="177"/>
      <c r="F92" s="98"/>
    </row>
    <row r="93" spans="1:6">
      <c r="A93" t="s">
        <v>388</v>
      </c>
      <c r="C93" s="177"/>
      <c r="D93" s="177"/>
      <c r="E93" s="177"/>
      <c r="F93" s="98"/>
    </row>
    <row r="94" spans="1:6">
      <c r="A94" t="s">
        <v>389</v>
      </c>
      <c r="C94" s="177" t="s">
        <v>299</v>
      </c>
      <c r="D94" s="177"/>
      <c r="E94" s="177"/>
      <c r="F94" s="98"/>
    </row>
    <row r="95" spans="1:6">
      <c r="A95" t="s">
        <v>390</v>
      </c>
      <c r="C95" s="177"/>
      <c r="D95" s="177" t="s">
        <v>299</v>
      </c>
      <c r="E95" s="177"/>
      <c r="F95" s="98"/>
    </row>
    <row r="96" spans="1:6">
      <c r="A96" t="s">
        <v>391</v>
      </c>
      <c r="C96" s="177"/>
      <c r="D96" s="177"/>
      <c r="E96" s="177"/>
      <c r="F96" s="98"/>
    </row>
    <row r="97" spans="1:6">
      <c r="A97" t="s">
        <v>392</v>
      </c>
      <c r="C97" s="177" t="s">
        <v>299</v>
      </c>
      <c r="D97" s="177"/>
      <c r="E97" s="177"/>
      <c r="F97" s="98"/>
    </row>
    <row r="98" spans="1:6">
      <c r="A98" t="s">
        <v>393</v>
      </c>
      <c r="C98" s="177" t="s">
        <v>299</v>
      </c>
      <c r="D98" s="177"/>
      <c r="E98" s="177"/>
      <c r="F98" s="98"/>
    </row>
    <row r="99" spans="1:6">
      <c r="A99" t="s">
        <v>394</v>
      </c>
      <c r="C99" s="177"/>
      <c r="D99" s="177" t="s">
        <v>299</v>
      </c>
      <c r="E99" s="177"/>
      <c r="F99" s="98"/>
    </row>
    <row r="100" spans="1:6">
      <c r="A100" t="s">
        <v>395</v>
      </c>
      <c r="C100" s="177"/>
      <c r="D100" s="177"/>
      <c r="E100" s="177"/>
      <c r="F100" s="98"/>
    </row>
    <row r="101" spans="1:6">
      <c r="A101" t="s">
        <v>396</v>
      </c>
      <c r="C101" s="177"/>
      <c r="D101" s="177" t="s">
        <v>299</v>
      </c>
      <c r="E101" s="177"/>
      <c r="F101" s="98"/>
    </row>
    <row r="102" spans="1:6">
      <c r="A102" t="s">
        <v>397</v>
      </c>
      <c r="C102" s="177"/>
      <c r="D102" s="177" t="s">
        <v>299</v>
      </c>
      <c r="E102" s="177"/>
      <c r="F102" s="98"/>
    </row>
    <row r="103" spans="1:6">
      <c r="A103" t="s">
        <v>398</v>
      </c>
      <c r="C103" s="177"/>
      <c r="D103" s="177" t="s">
        <v>299</v>
      </c>
      <c r="E103" s="177"/>
      <c r="F103" s="98"/>
    </row>
    <row r="104" spans="1:6">
      <c r="A104" t="s">
        <v>399</v>
      </c>
      <c r="C104" s="177"/>
      <c r="D104" s="177" t="s">
        <v>299</v>
      </c>
      <c r="E104" s="177"/>
      <c r="F104" s="98"/>
    </row>
    <row r="105" spans="1:6">
      <c r="A105" t="s">
        <v>400</v>
      </c>
      <c r="C105" s="177" t="s">
        <v>299</v>
      </c>
      <c r="D105" s="177"/>
      <c r="E105" s="177"/>
      <c r="F105" s="98"/>
    </row>
    <row r="106" spans="1:6">
      <c r="A106" t="s">
        <v>401</v>
      </c>
      <c r="C106" s="177"/>
      <c r="D106" s="177"/>
      <c r="E106" s="177"/>
      <c r="F106" s="98"/>
    </row>
    <row r="107" spans="1:6">
      <c r="A107" t="s">
        <v>402</v>
      </c>
      <c r="C107" s="177" t="s">
        <v>299</v>
      </c>
      <c r="D107" s="177"/>
      <c r="E107" s="177"/>
      <c r="F107" s="98"/>
    </row>
    <row r="108" spans="1:6">
      <c r="A108" t="s">
        <v>403</v>
      </c>
      <c r="C108" s="177"/>
      <c r="D108" s="177" t="s">
        <v>299</v>
      </c>
      <c r="E108" s="177" t="s">
        <v>299</v>
      </c>
      <c r="F108" s="98" t="s">
        <v>404</v>
      </c>
    </row>
    <row r="109" spans="1:6">
      <c r="A109" t="s">
        <v>405</v>
      </c>
      <c r="C109" s="177"/>
      <c r="D109" s="177"/>
      <c r="E109" s="177"/>
      <c r="F109" s="98"/>
    </row>
    <row r="110" spans="1:6">
      <c r="A110" t="s">
        <v>406</v>
      </c>
      <c r="C110" s="177" t="s">
        <v>299</v>
      </c>
      <c r="D110" s="177"/>
      <c r="E110" s="177"/>
      <c r="F110" s="98"/>
    </row>
    <row r="111" spans="1:6">
      <c r="A111" t="s">
        <v>407</v>
      </c>
      <c r="C111" s="177" t="s">
        <v>299</v>
      </c>
      <c r="D111" s="177"/>
      <c r="E111" s="177"/>
      <c r="F111" s="98"/>
    </row>
    <row r="112" spans="1:6">
      <c r="A112" t="s">
        <v>408</v>
      </c>
      <c r="C112" s="177"/>
      <c r="D112" s="177" t="s">
        <v>299</v>
      </c>
      <c r="E112" s="177"/>
      <c r="F112" s="98"/>
    </row>
    <row r="113" spans="1:6">
      <c r="A113" t="s">
        <v>409</v>
      </c>
      <c r="C113" s="177"/>
      <c r="D113" s="177" t="s">
        <v>299</v>
      </c>
      <c r="E113" s="177"/>
      <c r="F113" s="98"/>
    </row>
    <row r="114" spans="1:6">
      <c r="A114" t="s">
        <v>410</v>
      </c>
      <c r="C114" s="177"/>
      <c r="D114" s="177"/>
      <c r="E114" s="177"/>
      <c r="F114" s="98"/>
    </row>
    <row r="115" spans="1:6">
      <c r="A115" t="s">
        <v>407</v>
      </c>
      <c r="C115" s="177" t="s">
        <v>299</v>
      </c>
      <c r="D115" s="177"/>
      <c r="E115" s="177"/>
      <c r="F115" s="98"/>
    </row>
    <row r="116" spans="1:6">
      <c r="A116" t="s">
        <v>408</v>
      </c>
      <c r="C116" s="177"/>
      <c r="D116" s="177" t="s">
        <v>299</v>
      </c>
      <c r="E116" s="177"/>
      <c r="F116" s="98"/>
    </row>
    <row r="117" spans="1:6" hidden="1">
      <c r="A117" t="s">
        <v>411</v>
      </c>
      <c r="C117" s="98"/>
      <c r="D117" s="98"/>
      <c r="E117" s="177" t="s">
        <v>299</v>
      </c>
      <c r="F117" s="98" t="s">
        <v>412</v>
      </c>
    </row>
    <row r="118" spans="1:6">
      <c r="A118" t="s">
        <v>413</v>
      </c>
      <c r="C118" s="98"/>
      <c r="D118" s="177" t="s">
        <v>299</v>
      </c>
      <c r="E118" s="177"/>
      <c r="F118" s="98"/>
    </row>
    <row r="119" spans="1:6">
      <c r="A119" t="s">
        <v>414</v>
      </c>
      <c r="C119" s="177"/>
      <c r="D119" s="177" t="s">
        <v>299</v>
      </c>
      <c r="E119" s="177"/>
      <c r="F119" s="98"/>
    </row>
    <row r="120" spans="1:6">
      <c r="A120" t="s">
        <v>415</v>
      </c>
      <c r="C120" s="177"/>
      <c r="D120" s="177"/>
      <c r="E120" s="177"/>
      <c r="F120" s="98" t="s">
        <v>341</v>
      </c>
    </row>
    <row r="121" spans="1:6">
      <c r="A121" s="183" t="s">
        <v>416</v>
      </c>
    </row>
    <row r="122" spans="1:6">
      <c r="A122" t="s">
        <v>417</v>
      </c>
    </row>
  </sheetData>
  <printOptions horizontalCentered="1"/>
  <pageMargins left="0.75" right="0.75" top="1" bottom="1" header="0.5" footer="0.5"/>
  <pageSetup scale="79" fitToHeight="2" orientation="portrait" horizontalDpi="4294967292" verticalDpi="4294967292" r:id="rId1"/>
  <headerFooter alignWithMargins="0">
    <oddFooter>&amp;LScot Chambers
&amp;D&amp;CPage _____&amp;R&amp;F
&amp;A</oddFooter>
  </headerFooter>
  <rowBreaks count="3" manualBreakCount="3">
    <brk id="61" max="65535" man="1"/>
    <brk id="62" max="5" man="1"/>
    <brk id="65" max="5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applyStyles="1"/>
    <pageSetUpPr fitToPage="1"/>
  </sheetPr>
  <dimension ref="A1:M903"/>
  <sheetViews>
    <sheetView topLeftCell="E1" zoomScale="80" workbookViewId="0">
      <pane ySplit="2" topLeftCell="A3" activePane="bottomLeft" state="frozen"/>
      <selection activeCell="E5" sqref="E5"/>
      <selection pane="bottomLeft" activeCell="L41" sqref="L41"/>
    </sheetView>
  </sheetViews>
  <sheetFormatPr defaultRowHeight="12.75" outlineLevelRow="2"/>
  <cols>
    <col min="1" max="1" width="23.7109375" style="3" hidden="1" customWidth="1"/>
    <col min="2" max="2" width="24.42578125" style="3" hidden="1" customWidth="1"/>
    <col min="3" max="3" width="20.85546875" style="3" hidden="1" customWidth="1"/>
    <col min="4" max="4" width="22.85546875" style="3" hidden="1" customWidth="1"/>
    <col min="5" max="5" width="35.140625" style="3" customWidth="1"/>
    <col min="6" max="6" width="42.5703125" style="3" customWidth="1"/>
    <col min="7" max="7" width="15.140625" style="3" customWidth="1"/>
    <col min="8" max="8" width="15.7109375" style="3" customWidth="1"/>
    <col min="9" max="9" width="15.7109375" style="3" hidden="1" customWidth="1"/>
    <col min="10" max="10" width="13.85546875" style="3" hidden="1" customWidth="1"/>
    <col min="11" max="11" width="2.5703125" style="3" customWidth="1"/>
    <col min="12" max="12" width="9.42578125" style="44" customWidth="1"/>
    <col min="13" max="13" width="9.140625" style="44"/>
    <col min="14" max="16384" width="9.140625" style="3"/>
  </cols>
  <sheetData>
    <row r="1" spans="1:13" ht="18" customHeight="1" thickBot="1">
      <c r="L1" s="3"/>
      <c r="M1" s="3"/>
    </row>
    <row r="2" spans="1:13" ht="17.25" customHeight="1" thickBot="1">
      <c r="B2" s="184" t="s">
        <v>418</v>
      </c>
      <c r="C2" s="184" t="s">
        <v>419</v>
      </c>
      <c r="D2" s="184" t="s">
        <v>420</v>
      </c>
      <c r="E2" s="185" t="s">
        <v>421</v>
      </c>
      <c r="F2" s="186" t="s">
        <v>422</v>
      </c>
      <c r="G2" s="187"/>
      <c r="H2" s="188" t="s">
        <v>423</v>
      </c>
      <c r="I2" s="188" t="s">
        <v>424</v>
      </c>
      <c r="J2" s="188" t="s">
        <v>425</v>
      </c>
      <c r="L2" s="189" t="s">
        <v>426</v>
      </c>
    </row>
    <row r="3" spans="1:13" ht="17.25" customHeight="1">
      <c r="B3" s="184"/>
      <c r="C3" s="184"/>
      <c r="D3" s="184"/>
      <c r="E3" s="190" t="str">
        <f>Scope!A1</f>
        <v>St Peter, Illinois (Ameren) Power Project, Rev 0</v>
      </c>
      <c r="F3" s="191"/>
      <c r="G3" s="191"/>
      <c r="H3" s="192"/>
      <c r="I3" s="192"/>
      <c r="J3" s="192"/>
      <c r="L3" s="189"/>
    </row>
    <row r="4" spans="1:13" ht="23.25" customHeight="1" thickBot="1">
      <c r="B4" s="184"/>
      <c r="C4" s="184"/>
      <c r="D4" s="184"/>
      <c r="E4" s="193" t="s">
        <v>427</v>
      </c>
      <c r="F4" s="194"/>
      <c r="G4" s="194"/>
      <c r="H4" s="195"/>
      <c r="I4" s="195"/>
      <c r="J4" s="195"/>
      <c r="L4" s="189"/>
    </row>
    <row r="5" spans="1:13" s="201" customFormat="1" ht="13.5" outlineLevel="1" thickBot="1">
      <c r="A5" s="3" t="s">
        <v>428</v>
      </c>
      <c r="B5" s="3" t="s">
        <v>429</v>
      </c>
      <c r="C5" s="3" t="s">
        <v>430</v>
      </c>
      <c r="D5" s="3" t="s">
        <v>431</v>
      </c>
      <c r="E5" s="196" t="s">
        <v>185</v>
      </c>
      <c r="F5" s="197"/>
      <c r="G5" s="198"/>
      <c r="H5" s="199"/>
      <c r="I5" s="199"/>
      <c r="J5" s="200"/>
    </row>
    <row r="6" spans="1:13" ht="13.5" outlineLevel="2" thickBot="1">
      <c r="A6" s="3" t="str">
        <f>B6&amp;C6&amp;D6</f>
        <v>O&amp;M Mobilization BudgetOperating ExpensesPublic Relations</v>
      </c>
      <c r="B6" s="3" t="s">
        <v>429</v>
      </c>
      <c r="C6" s="3" t="s">
        <v>430</v>
      </c>
      <c r="D6" s="3" t="s">
        <v>431</v>
      </c>
      <c r="E6" s="202" t="s">
        <v>1048</v>
      </c>
      <c r="F6" s="40" t="s">
        <v>432</v>
      </c>
      <c r="G6" s="203"/>
      <c r="H6" s="204">
        <v>2500</v>
      </c>
      <c r="I6" s="204">
        <f t="shared" ref="I6:I15" si="0">H6</f>
        <v>2500</v>
      </c>
      <c r="J6" s="204">
        <f t="shared" ref="J6:J15" si="1">H6-I6</f>
        <v>0</v>
      </c>
      <c r="L6" s="3"/>
      <c r="M6" s="3"/>
    </row>
    <row r="7" spans="1:13" ht="13.5" outlineLevel="2" thickBot="1">
      <c r="E7" s="202" t="s">
        <v>433</v>
      </c>
      <c r="F7" s="40" t="s">
        <v>434</v>
      </c>
      <c r="G7" s="203"/>
      <c r="H7" s="204">
        <f>'Pay &amp; Benefits Calculations'!K28*160</f>
        <v>9744.2670769230754</v>
      </c>
      <c r="I7" s="204">
        <f t="shared" si="0"/>
        <v>9744.2670769230754</v>
      </c>
      <c r="J7" s="204">
        <f t="shared" si="1"/>
        <v>0</v>
      </c>
      <c r="L7" s="3"/>
      <c r="M7" s="3"/>
    </row>
    <row r="8" spans="1:13" ht="13.5" outlineLevel="2" thickBot="1">
      <c r="E8" s="202" t="s">
        <v>1047</v>
      </c>
      <c r="F8" s="40" t="s">
        <v>435</v>
      </c>
      <c r="G8" s="203"/>
      <c r="H8" s="204">
        <f>2*1000+150*30</f>
        <v>6500</v>
      </c>
      <c r="I8" s="204">
        <f t="shared" si="0"/>
        <v>6500</v>
      </c>
      <c r="J8" s="204">
        <f t="shared" si="1"/>
        <v>0</v>
      </c>
      <c r="L8" s="3"/>
      <c r="M8" s="3"/>
    </row>
    <row r="9" spans="1:13" ht="13.5" outlineLevel="2" thickBot="1">
      <c r="E9" s="202" t="s">
        <v>1049</v>
      </c>
      <c r="F9" s="40"/>
      <c r="G9" s="203"/>
      <c r="H9" s="204">
        <v>1000</v>
      </c>
      <c r="I9" s="204">
        <f t="shared" si="0"/>
        <v>1000</v>
      </c>
      <c r="J9" s="204">
        <f t="shared" si="1"/>
        <v>0</v>
      </c>
      <c r="L9" s="3"/>
      <c r="M9" s="3"/>
    </row>
    <row r="10" spans="1:13" ht="13.5" outlineLevel="2" thickBot="1">
      <c r="E10" s="202"/>
      <c r="F10" s="40"/>
      <c r="G10" s="203"/>
      <c r="H10" s="204"/>
      <c r="I10" s="204">
        <f t="shared" si="0"/>
        <v>0</v>
      </c>
      <c r="J10" s="204">
        <f t="shared" si="1"/>
        <v>0</v>
      </c>
      <c r="L10" s="3"/>
      <c r="M10" s="3"/>
    </row>
    <row r="11" spans="1:13" ht="13.5" outlineLevel="2" thickBot="1">
      <c r="E11" s="202"/>
      <c r="F11" s="40"/>
      <c r="G11" s="203"/>
      <c r="H11" s="204"/>
      <c r="I11" s="204">
        <f t="shared" si="0"/>
        <v>0</v>
      </c>
      <c r="J11" s="204">
        <f t="shared" si="1"/>
        <v>0</v>
      </c>
      <c r="L11" s="3"/>
      <c r="M11" s="3"/>
    </row>
    <row r="12" spans="1:13" ht="13.5" outlineLevel="2" thickBot="1">
      <c r="E12" s="202"/>
      <c r="F12" s="40"/>
      <c r="G12" s="203"/>
      <c r="H12" s="204"/>
      <c r="I12" s="204">
        <f t="shared" si="0"/>
        <v>0</v>
      </c>
      <c r="J12" s="204">
        <f t="shared" si="1"/>
        <v>0</v>
      </c>
      <c r="L12" s="3"/>
      <c r="M12" s="3"/>
    </row>
    <row r="13" spans="1:13" ht="13.5" outlineLevel="2" thickBot="1">
      <c r="E13" s="202"/>
      <c r="F13" s="40"/>
      <c r="G13" s="203"/>
      <c r="H13" s="204"/>
      <c r="I13" s="204">
        <f t="shared" si="0"/>
        <v>0</v>
      </c>
      <c r="J13" s="204">
        <f t="shared" si="1"/>
        <v>0</v>
      </c>
      <c r="L13" s="3"/>
      <c r="M13" s="3"/>
    </row>
    <row r="14" spans="1:13" ht="13.5" outlineLevel="2" thickBot="1">
      <c r="E14" s="202"/>
      <c r="F14" s="40"/>
      <c r="G14" s="203"/>
      <c r="H14" s="204"/>
      <c r="I14" s="204">
        <f t="shared" si="0"/>
        <v>0</v>
      </c>
      <c r="J14" s="204">
        <f t="shared" si="1"/>
        <v>0</v>
      </c>
      <c r="L14" s="3"/>
      <c r="M14" s="3"/>
    </row>
    <row r="15" spans="1:13" ht="13.5" outlineLevel="2" thickBot="1">
      <c r="E15" s="202"/>
      <c r="F15" s="40"/>
      <c r="G15" s="203"/>
      <c r="H15" s="204"/>
      <c r="I15" s="204">
        <f t="shared" si="0"/>
        <v>0</v>
      </c>
      <c r="J15" s="204">
        <f t="shared" si="1"/>
        <v>0</v>
      </c>
      <c r="L15" s="3"/>
      <c r="M15" s="3"/>
    </row>
    <row r="16" spans="1:13" s="201" customFormat="1" ht="13.5" outlineLevel="1" thickBot="1">
      <c r="A16" s="201" t="s">
        <v>436</v>
      </c>
      <c r="B16" s="201" t="s">
        <v>429</v>
      </c>
      <c r="C16" s="201" t="s">
        <v>430</v>
      </c>
      <c r="D16" s="201" t="s">
        <v>431</v>
      </c>
      <c r="E16" s="40" t="s">
        <v>437</v>
      </c>
      <c r="G16" s="205" t="s">
        <v>438</v>
      </c>
      <c r="H16" s="206">
        <f>SUBTOTAL(9,H6:H15)</f>
        <v>19744.267076923075</v>
      </c>
      <c r="I16" s="206">
        <f>SUBTOTAL(9,I6:I15)</f>
        <v>19744.267076923075</v>
      </c>
      <c r="J16" s="206">
        <f>SUBTOTAL(9,J6:J15)</f>
        <v>0</v>
      </c>
    </row>
    <row r="17" spans="1:13" ht="13.5" customHeight="1" thickBot="1">
      <c r="A17" s="3" t="s">
        <v>439</v>
      </c>
      <c r="B17" s="3" t="s">
        <v>429</v>
      </c>
      <c r="C17" s="3" t="s">
        <v>430</v>
      </c>
      <c r="D17" s="3" t="s">
        <v>440</v>
      </c>
      <c r="E17" s="207" t="s">
        <v>440</v>
      </c>
      <c r="F17" s="208"/>
      <c r="G17" s="209"/>
      <c r="H17" s="210"/>
      <c r="I17" s="211"/>
      <c r="J17" s="212"/>
      <c r="M17" s="3"/>
    </row>
    <row r="18" spans="1:13" ht="13.5" customHeight="1" outlineLevel="2" thickBot="1">
      <c r="E18" s="202" t="s">
        <v>441</v>
      </c>
      <c r="F18" s="40"/>
      <c r="G18" s="203"/>
      <c r="H18" s="204">
        <f>'Pay &amp; Benefits Calculations'!P55</f>
        <v>148618.78253846156</v>
      </c>
      <c r="I18" s="204">
        <f>H18</f>
        <v>148618.78253846156</v>
      </c>
      <c r="J18" s="204">
        <f>H18-I18</f>
        <v>0</v>
      </c>
      <c r="L18" s="3"/>
      <c r="M18" s="3"/>
    </row>
    <row r="19" spans="1:13" ht="13.5" customHeight="1" outlineLevel="2" thickBot="1">
      <c r="E19" s="202" t="s">
        <v>442</v>
      </c>
      <c r="F19" s="40"/>
      <c r="G19" s="203"/>
      <c r="H19" s="204"/>
      <c r="I19" s="204">
        <f>H19</f>
        <v>0</v>
      </c>
      <c r="J19" s="204">
        <f>H19-I19</f>
        <v>0</v>
      </c>
      <c r="L19" s="3"/>
      <c r="M19" s="3"/>
    </row>
    <row r="20" spans="1:13" ht="13.5" customHeight="1" outlineLevel="2" thickBot="1">
      <c r="E20" s="202"/>
      <c r="F20" s="40"/>
      <c r="G20" s="203"/>
      <c r="H20" s="204"/>
      <c r="I20" s="204">
        <f>H20</f>
        <v>0</v>
      </c>
      <c r="J20" s="204">
        <f>H20-I20</f>
        <v>0</v>
      </c>
      <c r="L20" s="3"/>
      <c r="M20" s="3"/>
    </row>
    <row r="21" spans="1:13" ht="13.5" customHeight="1" outlineLevel="2" thickBot="1">
      <c r="E21" s="202"/>
      <c r="F21" s="40"/>
      <c r="G21" s="203"/>
      <c r="H21" s="204"/>
      <c r="I21" s="204">
        <f>H21</f>
        <v>0</v>
      </c>
      <c r="J21" s="204">
        <f>H21-I21</f>
        <v>0</v>
      </c>
      <c r="L21" s="3"/>
      <c r="M21" s="3"/>
    </row>
    <row r="22" spans="1:13" s="201" customFormat="1" ht="13.5" customHeight="1" outlineLevel="1" thickBot="1">
      <c r="A22" s="213" t="s">
        <v>443</v>
      </c>
      <c r="B22" s="201" t="s">
        <v>429</v>
      </c>
      <c r="C22" s="201" t="s">
        <v>430</v>
      </c>
      <c r="D22" s="201" t="s">
        <v>440</v>
      </c>
      <c r="E22" s="202"/>
      <c r="F22" s="40"/>
      <c r="G22" s="205" t="s">
        <v>438</v>
      </c>
      <c r="H22" s="206">
        <f>SUBTOTAL(9,H18:H21)</f>
        <v>148618.78253846156</v>
      </c>
      <c r="I22" s="206">
        <f>SUBTOTAL(9,I18:I21)</f>
        <v>148618.78253846156</v>
      </c>
      <c r="J22" s="206">
        <f>SUBTOTAL(9,J18:J21)</f>
        <v>0</v>
      </c>
    </row>
    <row r="23" spans="1:13" s="201" customFormat="1" ht="13.5" customHeight="1" outlineLevel="1" thickBot="1">
      <c r="A23" s="3" t="s">
        <v>444</v>
      </c>
      <c r="B23" s="3" t="s">
        <v>429</v>
      </c>
      <c r="C23" s="3" t="s">
        <v>430</v>
      </c>
      <c r="D23" s="3" t="s">
        <v>209</v>
      </c>
      <c r="E23" s="207" t="s">
        <v>209</v>
      </c>
      <c r="F23" s="208"/>
      <c r="G23" s="209"/>
      <c r="H23" s="199"/>
      <c r="I23" s="200"/>
      <c r="J23" s="200"/>
    </row>
    <row r="24" spans="1:13" ht="13.5" customHeight="1" outlineLevel="2" thickBot="1">
      <c r="A24" s="3" t="str">
        <f>B24&amp;C24&amp;D24</f>
        <v>O&amp;M Mobilization BudgetOperating ExpensesEmployee Expenses</v>
      </c>
      <c r="B24" s="3" t="s">
        <v>429</v>
      </c>
      <c r="C24" s="3" t="s">
        <v>430</v>
      </c>
      <c r="D24" s="3" t="s">
        <v>209</v>
      </c>
      <c r="E24" s="202" t="s">
        <v>445</v>
      </c>
      <c r="F24" s="40" t="s">
        <v>1051</v>
      </c>
      <c r="G24" s="203"/>
      <c r="H24" s="204">
        <f>6*1500</f>
        <v>9000</v>
      </c>
      <c r="I24" s="204">
        <f>H24-J24</f>
        <v>9000</v>
      </c>
      <c r="J24" s="204"/>
      <c r="L24" s="3"/>
      <c r="M24" s="3"/>
    </row>
    <row r="25" spans="1:13" ht="13.5" customHeight="1" outlineLevel="2" thickBot="1">
      <c r="E25" s="202" t="s">
        <v>446</v>
      </c>
      <c r="F25" s="40" t="s">
        <v>447</v>
      </c>
      <c r="G25" s="203"/>
      <c r="H25" s="204">
        <v>1200</v>
      </c>
      <c r="I25" s="204">
        <f>H25-J25</f>
        <v>1200</v>
      </c>
      <c r="J25" s="204"/>
      <c r="L25" s="3"/>
      <c r="M25" s="3" t="s">
        <v>621</v>
      </c>
    </row>
    <row r="26" spans="1:13" ht="13.5" customHeight="1" outlineLevel="2" thickBot="1">
      <c r="E26" s="202" t="s">
        <v>448</v>
      </c>
      <c r="F26" s="40"/>
      <c r="G26" s="203"/>
      <c r="H26" s="204">
        <v>1000</v>
      </c>
      <c r="I26" s="204">
        <f>H26-J26</f>
        <v>1000</v>
      </c>
      <c r="J26" s="204"/>
      <c r="L26" s="3"/>
      <c r="M26" s="3"/>
    </row>
    <row r="27" spans="1:13" ht="13.5" customHeight="1" outlineLevel="2" thickBot="1">
      <c r="E27" s="202" t="s">
        <v>209</v>
      </c>
      <c r="F27" s="40" t="s">
        <v>1050</v>
      </c>
      <c r="G27" s="203"/>
      <c r="H27" s="204">
        <v>1000</v>
      </c>
      <c r="I27" s="204"/>
      <c r="J27" s="204"/>
      <c r="L27" s="3"/>
      <c r="M27" s="3"/>
    </row>
    <row r="28" spans="1:13" s="201" customFormat="1" ht="13.5" customHeight="1" outlineLevel="1" thickBot="1">
      <c r="A28" s="201" t="s">
        <v>449</v>
      </c>
      <c r="B28" s="201" t="s">
        <v>429</v>
      </c>
      <c r="C28" s="201" t="s">
        <v>430</v>
      </c>
      <c r="D28" s="201" t="s">
        <v>209</v>
      </c>
      <c r="E28" s="202"/>
      <c r="F28" s="40"/>
      <c r="G28" s="205" t="s">
        <v>438</v>
      </c>
      <c r="H28" s="206">
        <f>SUBTOTAL(9,H24:H27)</f>
        <v>12200</v>
      </c>
      <c r="I28" s="206">
        <f>SUBTOTAL(9,I24:I26)</f>
        <v>11200</v>
      </c>
      <c r="J28" s="206">
        <f>SUBTOTAL(9,J24:J26)</f>
        <v>0</v>
      </c>
    </row>
    <row r="29" spans="1:13" s="201" customFormat="1" ht="13.5" customHeight="1" outlineLevel="1" thickBot="1">
      <c r="A29" s="3" t="s">
        <v>450</v>
      </c>
      <c r="B29" s="3" t="s">
        <v>429</v>
      </c>
      <c r="C29" s="3" t="s">
        <v>430</v>
      </c>
      <c r="D29" s="3" t="s">
        <v>210</v>
      </c>
      <c r="E29" s="207" t="s">
        <v>210</v>
      </c>
      <c r="F29" s="208"/>
      <c r="G29" s="209"/>
      <c r="H29" s="199"/>
      <c r="I29" s="200"/>
      <c r="J29" s="199"/>
    </row>
    <row r="30" spans="1:13" s="201" customFormat="1" ht="13.5" customHeight="1" outlineLevel="1" thickBot="1">
      <c r="A30" s="3"/>
      <c r="B30" s="3"/>
      <c r="C30" s="3"/>
      <c r="D30" s="3"/>
      <c r="E30" s="214" t="s">
        <v>1036</v>
      </c>
      <c r="F30" s="40" t="s">
        <v>1037</v>
      </c>
      <c r="G30" s="203"/>
      <c r="H30" s="204">
        <f>2*1000+150*4</f>
        <v>2600</v>
      </c>
      <c r="I30" s="200"/>
      <c r="J30" s="199"/>
    </row>
    <row r="31" spans="1:13" ht="13.5" outlineLevel="2" thickBot="1">
      <c r="A31" s="3" t="str">
        <f>B31&amp;C31&amp;D31</f>
        <v>O&amp;M Mobilization BudgetOperating ExpensesRecruiting Expenses</v>
      </c>
      <c r="B31" s="3" t="s">
        <v>429</v>
      </c>
      <c r="C31" s="3" t="s">
        <v>430</v>
      </c>
      <c r="D31" s="3" t="s">
        <v>210</v>
      </c>
      <c r="E31" s="214" t="s">
        <v>451</v>
      </c>
      <c r="F31" s="40" t="s">
        <v>1030</v>
      </c>
      <c r="G31" s="203"/>
      <c r="H31" s="204">
        <f>2*1500+10*150</f>
        <v>4500</v>
      </c>
      <c r="I31" s="204">
        <f>H31</f>
        <v>4500</v>
      </c>
      <c r="J31" s="204">
        <f>H31-I31</f>
        <v>0</v>
      </c>
      <c r="L31" s="3"/>
      <c r="M31" s="3"/>
    </row>
    <row r="32" spans="1:13" ht="13.5" customHeight="1" outlineLevel="2" thickBot="1">
      <c r="A32" s="3" t="str">
        <f>B32&amp;C32&amp;D32</f>
        <v>O&amp;M Mobilization BudgetOperating ExpensesRecruiting Expenses</v>
      </c>
      <c r="B32" s="3" t="s">
        <v>429</v>
      </c>
      <c r="C32" s="3" t="s">
        <v>430</v>
      </c>
      <c r="D32" s="3" t="s">
        <v>210</v>
      </c>
      <c r="E32" s="214" t="s">
        <v>452</v>
      </c>
      <c r="F32" s="40" t="s">
        <v>622</v>
      </c>
      <c r="G32" s="203"/>
      <c r="H32" s="204">
        <v>5000</v>
      </c>
      <c r="I32" s="204">
        <f>H32</f>
        <v>5000</v>
      </c>
      <c r="J32" s="204">
        <f>H32-I32</f>
        <v>0</v>
      </c>
      <c r="L32" s="3"/>
      <c r="M32" s="3"/>
    </row>
    <row r="33" spans="1:13" ht="13.5" customHeight="1" outlineLevel="2" thickBot="1">
      <c r="E33" s="214" t="s">
        <v>453</v>
      </c>
      <c r="F33" s="40" t="s">
        <v>454</v>
      </c>
      <c r="G33" s="203"/>
      <c r="H33" s="204">
        <f>200*Plt_Staff!B22</f>
        <v>1400</v>
      </c>
      <c r="I33" s="204">
        <f>H33</f>
        <v>1400</v>
      </c>
      <c r="J33" s="204">
        <f>H33-I33</f>
        <v>0</v>
      </c>
      <c r="L33" s="3"/>
      <c r="M33" s="3"/>
    </row>
    <row r="34" spans="1:13" ht="13.5" customHeight="1" outlineLevel="2" thickBot="1">
      <c r="E34" s="202" t="s">
        <v>455</v>
      </c>
      <c r="F34" s="40" t="s">
        <v>456</v>
      </c>
      <c r="G34" s="203"/>
      <c r="H34" s="204">
        <v>1000</v>
      </c>
      <c r="I34" s="204">
        <f>H34</f>
        <v>1000</v>
      </c>
      <c r="J34" s="204">
        <f>H34-I34</f>
        <v>0</v>
      </c>
      <c r="L34" s="3"/>
      <c r="M34" s="3"/>
    </row>
    <row r="35" spans="1:13" ht="13.5" customHeight="1" outlineLevel="2" thickBot="1">
      <c r="E35" s="202"/>
      <c r="F35" s="40"/>
      <c r="G35" s="203"/>
      <c r="H35" s="204"/>
      <c r="I35" s="204"/>
      <c r="J35" s="204"/>
      <c r="L35" s="3"/>
      <c r="M35" s="3"/>
    </row>
    <row r="36" spans="1:13" s="201" customFormat="1" ht="13.5" outlineLevel="1" thickBot="1">
      <c r="A36" s="201" t="s">
        <v>457</v>
      </c>
      <c r="B36" s="201" t="s">
        <v>429</v>
      </c>
      <c r="C36" s="201" t="s">
        <v>430</v>
      </c>
      <c r="D36" s="201" t="s">
        <v>210</v>
      </c>
      <c r="E36" s="202"/>
      <c r="F36" s="40"/>
      <c r="G36" s="205" t="s">
        <v>438</v>
      </c>
      <c r="H36" s="206">
        <f>SUM(H30:H35)</f>
        <v>14500</v>
      </c>
      <c r="I36" s="206">
        <f>SUBTOTAL(9,I32:I35)</f>
        <v>7400</v>
      </c>
      <c r="J36" s="206">
        <f>SUBTOTAL(9,J31:J35)</f>
        <v>0</v>
      </c>
    </row>
    <row r="37" spans="1:13" s="201" customFormat="1" ht="13.5" outlineLevel="1" thickBot="1">
      <c r="A37" s="3" t="s">
        <v>458</v>
      </c>
      <c r="B37" s="3" t="s">
        <v>429</v>
      </c>
      <c r="C37" s="3" t="s">
        <v>430</v>
      </c>
      <c r="D37" s="3" t="s">
        <v>211</v>
      </c>
      <c r="E37" s="207" t="s">
        <v>211</v>
      </c>
      <c r="F37" s="208"/>
      <c r="G37" s="209"/>
      <c r="H37" s="199"/>
      <c r="I37" s="200"/>
      <c r="J37" s="199"/>
    </row>
    <row r="38" spans="1:13" ht="13.5" outlineLevel="2" thickBot="1">
      <c r="E38" s="214" t="s">
        <v>1035</v>
      </c>
      <c r="F38" s="215" t="s">
        <v>1033</v>
      </c>
      <c r="G38" s="203"/>
      <c r="H38" s="204">
        <f>0.2*Plt_Staff!C8</f>
        <v>17056</v>
      </c>
      <c r="I38" s="204"/>
      <c r="J38" s="204"/>
      <c r="L38" s="3"/>
      <c r="M38" s="3"/>
    </row>
    <row r="39" spans="1:13" ht="13.5" outlineLevel="2" thickBot="1">
      <c r="E39" s="202" t="s">
        <v>459</v>
      </c>
      <c r="F39" s="215" t="s">
        <v>1034</v>
      </c>
      <c r="G39" s="203"/>
      <c r="H39" s="204">
        <v>5000</v>
      </c>
      <c r="I39" s="204">
        <f>H39</f>
        <v>5000</v>
      </c>
      <c r="J39" s="204">
        <f>H39-I39</f>
        <v>0</v>
      </c>
      <c r="L39" s="3"/>
      <c r="M39" s="3"/>
    </row>
    <row r="40" spans="1:13" ht="13.5" outlineLevel="2" thickBot="1">
      <c r="E40" s="202" t="s">
        <v>625</v>
      </c>
      <c r="F40" s="215" t="s">
        <v>1034</v>
      </c>
      <c r="G40" s="203"/>
      <c r="H40" s="204">
        <v>0</v>
      </c>
      <c r="I40" s="204">
        <f>H40</f>
        <v>0</v>
      </c>
      <c r="J40" s="204">
        <f>H40-I40</f>
        <v>0</v>
      </c>
      <c r="L40" s="3"/>
      <c r="M40" s="3"/>
    </row>
    <row r="41" spans="1:13" ht="13.5" outlineLevel="2" thickBot="1">
      <c r="E41" s="3" t="s">
        <v>623</v>
      </c>
      <c r="F41" s="40" t="s">
        <v>624</v>
      </c>
      <c r="G41" s="203"/>
      <c r="H41" s="204">
        <f>300*3+30*50*3</f>
        <v>5400</v>
      </c>
      <c r="I41" s="204"/>
      <c r="J41" s="204"/>
      <c r="L41" s="3"/>
      <c r="M41" s="3"/>
    </row>
    <row r="42" spans="1:13" s="201" customFormat="1" ht="13.5" outlineLevel="1" thickBot="1">
      <c r="A42" s="201" t="s">
        <v>461</v>
      </c>
      <c r="B42" s="201" t="s">
        <v>429</v>
      </c>
      <c r="C42" s="201" t="s">
        <v>430</v>
      </c>
      <c r="D42" s="201" t="s">
        <v>211</v>
      </c>
      <c r="E42" s="202" t="s">
        <v>460</v>
      </c>
      <c r="F42" s="40"/>
      <c r="G42" s="205" t="s">
        <v>438</v>
      </c>
      <c r="H42" s="206">
        <f>SUM(H38:H41)</f>
        <v>27456</v>
      </c>
      <c r="I42" s="206">
        <f>SUBTOTAL(9,I38:I40)</f>
        <v>5000</v>
      </c>
      <c r="J42" s="206">
        <f>SUBTOTAL(9,J38:J40)</f>
        <v>0</v>
      </c>
    </row>
    <row r="43" spans="1:13" s="201" customFormat="1" ht="13.5" outlineLevel="1" thickBot="1">
      <c r="A43" s="3" t="s">
        <v>462</v>
      </c>
      <c r="B43" s="3" t="s">
        <v>429</v>
      </c>
      <c r="C43" s="3" t="s">
        <v>430</v>
      </c>
      <c r="D43" s="3" t="s">
        <v>212</v>
      </c>
      <c r="E43" s="207" t="s">
        <v>212</v>
      </c>
      <c r="F43" s="208"/>
      <c r="G43" s="209"/>
      <c r="H43" s="199"/>
      <c r="I43" s="199"/>
      <c r="J43" s="199"/>
    </row>
    <row r="44" spans="1:13" ht="13.5" outlineLevel="2" thickBot="1">
      <c r="A44" s="3" t="str">
        <f>B44&amp;C44&amp;D44</f>
        <v>O&amp;M Mobilization BudgetOperating ExpensesOutside Services</v>
      </c>
      <c r="B44" s="3" t="s">
        <v>429</v>
      </c>
      <c r="C44" s="3" t="s">
        <v>430</v>
      </c>
      <c r="D44" s="3" t="s">
        <v>212</v>
      </c>
      <c r="E44" s="202" t="s">
        <v>463</v>
      </c>
      <c r="F44" s="40" t="s">
        <v>464</v>
      </c>
      <c r="G44" s="203"/>
      <c r="H44" s="204"/>
      <c r="I44" s="204">
        <f t="shared" ref="I44:I51" si="2">H44</f>
        <v>0</v>
      </c>
      <c r="J44" s="204">
        <f t="shared" ref="J44:J51" si="3">H44-I44</f>
        <v>0</v>
      </c>
      <c r="L44" s="3"/>
      <c r="M44" s="3"/>
    </row>
    <row r="45" spans="1:13" ht="13.5" outlineLevel="2" thickBot="1">
      <c r="A45" s="3" t="str">
        <f>B45&amp;C45&amp;D45</f>
        <v>O&amp;M Mobilization BudgetOperating ExpensesOutside Services</v>
      </c>
      <c r="B45" s="3" t="s">
        <v>429</v>
      </c>
      <c r="C45" s="3" t="s">
        <v>430</v>
      </c>
      <c r="D45" s="3" t="s">
        <v>212</v>
      </c>
      <c r="E45" s="202" t="s">
        <v>465</v>
      </c>
      <c r="F45" s="40" t="s">
        <v>464</v>
      </c>
      <c r="G45" s="203"/>
      <c r="H45" s="204"/>
      <c r="I45" s="204">
        <f t="shared" si="2"/>
        <v>0</v>
      </c>
      <c r="J45" s="204">
        <f t="shared" si="3"/>
        <v>0</v>
      </c>
      <c r="L45" s="3"/>
      <c r="M45" s="3"/>
    </row>
    <row r="46" spans="1:13" ht="13.5" outlineLevel="2" thickBot="1">
      <c r="A46" s="3" t="str">
        <f>B46&amp;C46&amp;D46</f>
        <v>O&amp;M Mobilization BudgetOperating ExpensesOutside Services</v>
      </c>
      <c r="B46" s="3" t="s">
        <v>429</v>
      </c>
      <c r="C46" s="3" t="s">
        <v>430</v>
      </c>
      <c r="D46" s="3" t="s">
        <v>212</v>
      </c>
      <c r="E46" s="202" t="s">
        <v>466</v>
      </c>
      <c r="F46" s="40" t="s">
        <v>1055</v>
      </c>
      <c r="G46" s="203"/>
      <c r="H46" s="204">
        <f>800*5</f>
        <v>4000</v>
      </c>
      <c r="I46" s="204">
        <f t="shared" si="2"/>
        <v>4000</v>
      </c>
      <c r="J46" s="204">
        <f t="shared" si="3"/>
        <v>0</v>
      </c>
      <c r="L46" s="3"/>
      <c r="M46" s="3"/>
    </row>
    <row r="47" spans="1:13" ht="13.5" outlineLevel="2" thickBot="1">
      <c r="A47" s="3" t="str">
        <f>B47&amp;C47&amp;D47</f>
        <v>O&amp;M Mobilization BudgetOperating ExpensesOutside Services</v>
      </c>
      <c r="B47" s="3" t="s">
        <v>429</v>
      </c>
      <c r="C47" s="3" t="s">
        <v>430</v>
      </c>
      <c r="D47" s="3" t="s">
        <v>212</v>
      </c>
      <c r="E47" s="202" t="s">
        <v>467</v>
      </c>
      <c r="F47" s="40" t="s">
        <v>1057</v>
      </c>
      <c r="G47" s="203"/>
      <c r="H47" s="204">
        <v>0</v>
      </c>
      <c r="I47" s="204">
        <f t="shared" si="2"/>
        <v>0</v>
      </c>
      <c r="J47" s="204">
        <f t="shared" si="3"/>
        <v>0</v>
      </c>
      <c r="L47" s="3"/>
      <c r="M47" s="3"/>
    </row>
    <row r="48" spans="1:13" ht="13.5" outlineLevel="2" thickBot="1">
      <c r="E48" s="202" t="s">
        <v>468</v>
      </c>
      <c r="F48" s="40" t="s">
        <v>1057</v>
      </c>
      <c r="G48" s="203"/>
      <c r="H48" s="204">
        <v>0</v>
      </c>
      <c r="I48" s="204">
        <f t="shared" si="2"/>
        <v>0</v>
      </c>
      <c r="J48" s="204">
        <f t="shared" si="3"/>
        <v>0</v>
      </c>
      <c r="L48" s="3"/>
      <c r="M48" s="3"/>
    </row>
    <row r="49" spans="1:13" ht="13.5" outlineLevel="2" thickBot="1">
      <c r="A49" s="3" t="str">
        <f>B49&amp;C49&amp;D49</f>
        <v>O&amp;M Mobilization BudgetOperating ExpensesOutside Services</v>
      </c>
      <c r="B49" s="3" t="s">
        <v>429</v>
      </c>
      <c r="C49" s="3" t="s">
        <v>430</v>
      </c>
      <c r="D49" s="3" t="s">
        <v>212</v>
      </c>
      <c r="E49" s="202" t="s">
        <v>469</v>
      </c>
      <c r="F49" s="40" t="s">
        <v>1056</v>
      </c>
      <c r="G49" s="203"/>
      <c r="H49" s="204">
        <f>1*1000+4*150</f>
        <v>1600</v>
      </c>
      <c r="I49" s="204">
        <f t="shared" si="2"/>
        <v>1600</v>
      </c>
      <c r="J49" s="204">
        <f t="shared" si="3"/>
        <v>0</v>
      </c>
      <c r="L49" s="3"/>
      <c r="M49" s="3"/>
    </row>
    <row r="50" spans="1:13" ht="13.5" outlineLevel="2" thickBot="1">
      <c r="A50" s="3" t="str">
        <f>B50&amp;C50&amp;D50</f>
        <v>O&amp;M Mobilization BudgetOperating ExpensesOutside Services</v>
      </c>
      <c r="B50" s="3" t="s">
        <v>429</v>
      </c>
      <c r="C50" s="3" t="s">
        <v>430</v>
      </c>
      <c r="D50" s="3" t="s">
        <v>212</v>
      </c>
      <c r="E50" s="202" t="s">
        <v>470</v>
      </c>
      <c r="F50" s="40" t="s">
        <v>1052</v>
      </c>
      <c r="G50" s="203"/>
      <c r="H50" s="204">
        <f>2*1000+8*150</f>
        <v>3200</v>
      </c>
      <c r="I50" s="204">
        <f t="shared" si="2"/>
        <v>3200</v>
      </c>
      <c r="J50" s="204">
        <f t="shared" si="3"/>
        <v>0</v>
      </c>
      <c r="L50" s="3"/>
      <c r="M50" s="3"/>
    </row>
    <row r="51" spans="1:13" ht="13.5" outlineLevel="2" thickBot="1">
      <c r="A51" s="3" t="str">
        <f>B51&amp;C51&amp;D51</f>
        <v>O&amp;M Mobilization BudgetOperating ExpensesOutside Services</v>
      </c>
      <c r="B51" s="3" t="s">
        <v>429</v>
      </c>
      <c r="C51" s="3" t="s">
        <v>430</v>
      </c>
      <c r="D51" s="3" t="s">
        <v>212</v>
      </c>
      <c r="E51" s="202" t="s">
        <v>471</v>
      </c>
      <c r="F51" s="40" t="s">
        <v>1052</v>
      </c>
      <c r="G51" s="203"/>
      <c r="H51" s="204">
        <f>2*1000+8*150</f>
        <v>3200</v>
      </c>
      <c r="I51" s="204">
        <f t="shared" si="2"/>
        <v>3200</v>
      </c>
      <c r="J51" s="204">
        <f t="shared" si="3"/>
        <v>0</v>
      </c>
      <c r="L51" s="3"/>
      <c r="M51" s="3"/>
    </row>
    <row r="52" spans="1:13" ht="13.5" outlineLevel="2" thickBot="1">
      <c r="E52" s="202" t="s">
        <v>472</v>
      </c>
      <c r="F52" s="40" t="s">
        <v>1052</v>
      </c>
      <c r="G52" s="203"/>
      <c r="H52" s="204">
        <f>2*1000+8*150</f>
        <v>3200</v>
      </c>
      <c r="I52" s="204"/>
      <c r="J52" s="204"/>
      <c r="L52" s="3"/>
      <c r="M52" s="3"/>
    </row>
    <row r="53" spans="1:13" ht="13.5" outlineLevel="2" thickBot="1">
      <c r="E53" s="202" t="s">
        <v>473</v>
      </c>
      <c r="F53" s="40" t="s">
        <v>1053</v>
      </c>
      <c r="G53" s="203"/>
      <c r="H53" s="204">
        <f>15*8*60</f>
        <v>7200</v>
      </c>
      <c r="I53" s="204"/>
      <c r="J53" s="204"/>
      <c r="L53" s="3"/>
      <c r="M53" s="3"/>
    </row>
    <row r="54" spans="1:13" ht="13.5" outlineLevel="2" thickBot="1">
      <c r="E54" s="202" t="s">
        <v>474</v>
      </c>
      <c r="F54" s="40" t="s">
        <v>464</v>
      </c>
      <c r="G54" s="203"/>
      <c r="H54" s="204"/>
      <c r="I54" s="204">
        <f>H54</f>
        <v>0</v>
      </c>
      <c r="J54" s="204">
        <f>H54-I54</f>
        <v>0</v>
      </c>
      <c r="L54" s="3"/>
      <c r="M54" s="3"/>
    </row>
    <row r="55" spans="1:13" ht="13.5" outlineLevel="2" thickBot="1">
      <c r="E55" s="202" t="s">
        <v>475</v>
      </c>
      <c r="F55" s="40" t="s">
        <v>464</v>
      </c>
      <c r="G55" s="203"/>
      <c r="H55" s="204"/>
      <c r="I55" s="204">
        <f>H55</f>
        <v>0</v>
      </c>
      <c r="J55" s="204">
        <f>H55-I55</f>
        <v>0</v>
      </c>
      <c r="L55" s="3"/>
      <c r="M55" s="3"/>
    </row>
    <row r="56" spans="1:13" ht="13.5" outlineLevel="2" thickBot="1">
      <c r="E56" s="202" t="s">
        <v>95</v>
      </c>
      <c r="F56" s="40" t="s">
        <v>1054</v>
      </c>
      <c r="G56" s="203"/>
      <c r="H56" s="204">
        <f>480*43</f>
        <v>20640</v>
      </c>
      <c r="I56" s="204">
        <f>H56</f>
        <v>20640</v>
      </c>
      <c r="J56" s="204">
        <f>H56-I56</f>
        <v>0</v>
      </c>
      <c r="L56" s="3"/>
      <c r="M56" s="3"/>
    </row>
    <row r="57" spans="1:13" ht="13.5" outlineLevel="2" thickBot="1">
      <c r="E57" s="202" t="s">
        <v>476</v>
      </c>
      <c r="F57" s="40"/>
      <c r="G57" s="203"/>
      <c r="H57" s="204">
        <v>3000</v>
      </c>
      <c r="I57" s="204"/>
      <c r="J57" s="204"/>
      <c r="L57" s="3"/>
      <c r="M57" s="3"/>
    </row>
    <row r="58" spans="1:13" ht="13.5" outlineLevel="2" thickBot="1">
      <c r="A58" s="3" t="str">
        <f>B58&amp;C58&amp;D58</f>
        <v>O&amp;M Mobilization BudgetOperating ExpensesOutside Services</v>
      </c>
      <c r="B58" s="3" t="s">
        <v>429</v>
      </c>
      <c r="C58" s="3" t="s">
        <v>430</v>
      </c>
      <c r="D58" s="3" t="s">
        <v>212</v>
      </c>
      <c r="E58" s="202" t="s">
        <v>477</v>
      </c>
      <c r="F58" s="40"/>
      <c r="G58" s="203"/>
      <c r="H58" s="204">
        <v>0</v>
      </c>
      <c r="I58" s="204">
        <f>H58</f>
        <v>0</v>
      </c>
      <c r="J58" s="204">
        <f>H58-I58</f>
        <v>0</v>
      </c>
      <c r="L58" s="3"/>
      <c r="M58" s="3"/>
    </row>
    <row r="59" spans="1:13" ht="13.5" outlineLevel="2" thickBot="1">
      <c r="E59" s="202" t="s">
        <v>478</v>
      </c>
      <c r="F59" s="40" t="s">
        <v>479</v>
      </c>
      <c r="G59" s="203"/>
      <c r="H59" s="204">
        <f>20*160</f>
        <v>3200</v>
      </c>
      <c r="I59" s="204"/>
      <c r="J59" s="204"/>
      <c r="L59" s="3"/>
      <c r="M59" s="3"/>
    </row>
    <row r="60" spans="1:13" s="201" customFormat="1" ht="13.5" outlineLevel="1" thickBot="1">
      <c r="A60" s="201" t="s">
        <v>480</v>
      </c>
      <c r="B60" s="201" t="s">
        <v>429</v>
      </c>
      <c r="C60" s="201" t="s">
        <v>430</v>
      </c>
      <c r="D60" s="201" t="s">
        <v>212</v>
      </c>
      <c r="E60" s="202" t="s">
        <v>1058</v>
      </c>
      <c r="F60" s="40"/>
      <c r="G60" s="205" t="s">
        <v>438</v>
      </c>
      <c r="H60" s="206">
        <f>SUBTOTAL(9,H44:H59)</f>
        <v>49240</v>
      </c>
      <c r="I60" s="206">
        <f>SUBTOTAL(9,I44:I59)</f>
        <v>32640</v>
      </c>
      <c r="J60" s="206">
        <f>SUBTOTAL(9,J44:J59)</f>
        <v>0</v>
      </c>
    </row>
    <row r="61" spans="1:13" s="201" customFormat="1" ht="13.5" outlineLevel="1" thickBot="1">
      <c r="A61" s="3" t="s">
        <v>481</v>
      </c>
      <c r="B61" s="3" t="s">
        <v>429</v>
      </c>
      <c r="C61" s="3" t="s">
        <v>430</v>
      </c>
      <c r="D61" s="3" t="s">
        <v>213</v>
      </c>
      <c r="E61" s="207" t="s">
        <v>213</v>
      </c>
      <c r="F61" s="208"/>
      <c r="G61" s="209"/>
      <c r="H61" s="199"/>
      <c r="I61" s="199"/>
      <c r="J61" s="199"/>
    </row>
    <row r="62" spans="1:13" ht="13.5" outlineLevel="2" thickBot="1">
      <c r="E62" s="214" t="s">
        <v>482</v>
      </c>
      <c r="F62" s="215" t="s">
        <v>483</v>
      </c>
      <c r="G62" s="203"/>
      <c r="H62" s="204">
        <v>600</v>
      </c>
      <c r="I62" s="204">
        <f>H62-J62</f>
        <v>600</v>
      </c>
      <c r="J62" s="204"/>
      <c r="L62" s="3"/>
      <c r="M62" s="3"/>
    </row>
    <row r="63" spans="1:13" ht="13.5" outlineLevel="2" thickBot="1">
      <c r="A63" s="3" t="str">
        <f>B63&amp;C63&amp;D63</f>
        <v>O&amp;M Mobilization BudgetOperating ExpensesOther Supplies &amp; Expenses</v>
      </c>
      <c r="B63" s="3" t="s">
        <v>429</v>
      </c>
      <c r="C63" s="3" t="s">
        <v>430</v>
      </c>
      <c r="D63" s="3" t="s">
        <v>213</v>
      </c>
      <c r="E63" s="214" t="s">
        <v>484</v>
      </c>
      <c r="F63" s="215" t="s">
        <v>485</v>
      </c>
      <c r="G63" s="203"/>
      <c r="H63" s="204">
        <v>2500</v>
      </c>
      <c r="I63" s="204">
        <f>H63-J63</f>
        <v>2500</v>
      </c>
      <c r="J63" s="204"/>
      <c r="L63" s="3"/>
      <c r="M63" s="3"/>
    </row>
    <row r="64" spans="1:13" ht="13.5" outlineLevel="2" thickBot="1">
      <c r="A64" s="3" t="str">
        <f>B64&amp;C64&amp;D64</f>
        <v>O&amp;M Mobilization BudgetOperating ExpensesOther Supplies &amp; Expenses</v>
      </c>
      <c r="B64" s="3" t="s">
        <v>429</v>
      </c>
      <c r="C64" s="3" t="s">
        <v>430</v>
      </c>
      <c r="D64" s="3" t="s">
        <v>213</v>
      </c>
      <c r="E64" s="214" t="s">
        <v>486</v>
      </c>
      <c r="F64" s="215" t="s">
        <v>487</v>
      </c>
      <c r="G64" s="203"/>
      <c r="H64" s="204">
        <f>1*5*1000*1.5/14+500</f>
        <v>1035.7142857142858</v>
      </c>
      <c r="I64" s="204">
        <f>H64-J64</f>
        <v>1035.7142857142858</v>
      </c>
      <c r="J64" s="204"/>
      <c r="L64" s="3"/>
      <c r="M64" s="3"/>
    </row>
    <row r="65" spans="1:13" ht="13.5" outlineLevel="2" thickBot="1">
      <c r="A65" s="3" t="str">
        <f>B65&amp;C65&amp;D65</f>
        <v>O&amp;M Mobilization BudgetOperating ExpensesOther Supplies &amp; Expenses</v>
      </c>
      <c r="B65" s="3" t="s">
        <v>429</v>
      </c>
      <c r="C65" s="3" t="s">
        <v>430</v>
      </c>
      <c r="D65" s="3" t="s">
        <v>213</v>
      </c>
      <c r="E65" s="214" t="s">
        <v>488</v>
      </c>
      <c r="F65" s="215"/>
      <c r="G65" s="203"/>
      <c r="H65" s="204">
        <v>2000</v>
      </c>
      <c r="I65" s="204">
        <f>H65-J65</f>
        <v>2000</v>
      </c>
      <c r="J65" s="204"/>
      <c r="L65" s="3"/>
      <c r="M65" s="3"/>
    </row>
    <row r="66" spans="1:13" ht="13.5" outlineLevel="2" thickBot="1">
      <c r="A66" s="3" t="str">
        <f>B66&amp;C66&amp;D66</f>
        <v>O&amp;M Mobilization BudgetOperating ExpensesOther Supplies &amp; Expenses</v>
      </c>
      <c r="B66" s="3" t="s">
        <v>429</v>
      </c>
      <c r="C66" s="3" t="s">
        <v>430</v>
      </c>
      <c r="D66" s="3" t="s">
        <v>213</v>
      </c>
      <c r="E66" s="214" t="s">
        <v>489</v>
      </c>
      <c r="F66" s="215" t="s">
        <v>490</v>
      </c>
      <c r="G66" s="203"/>
      <c r="H66" s="204">
        <v>2500</v>
      </c>
      <c r="I66" s="204">
        <f>H66-J66</f>
        <v>2500</v>
      </c>
      <c r="J66" s="204"/>
      <c r="L66" s="3"/>
      <c r="M66" s="3"/>
    </row>
    <row r="67" spans="1:13" ht="13.5" outlineLevel="2" thickBot="1">
      <c r="E67" s="202"/>
      <c r="F67" s="40"/>
      <c r="G67" s="203"/>
      <c r="H67" s="204"/>
      <c r="I67" s="204"/>
      <c r="J67" s="204"/>
      <c r="L67" s="3"/>
      <c r="M67" s="3"/>
    </row>
    <row r="68" spans="1:13" s="201" customFormat="1" ht="13.5" outlineLevel="1" thickBot="1">
      <c r="A68" s="201" t="s">
        <v>491</v>
      </c>
      <c r="B68" s="201" t="s">
        <v>429</v>
      </c>
      <c r="C68" s="201" t="s">
        <v>430</v>
      </c>
      <c r="D68" s="201" t="s">
        <v>213</v>
      </c>
      <c r="E68" s="202"/>
      <c r="F68" s="40"/>
      <c r="G68" s="205" t="s">
        <v>438</v>
      </c>
      <c r="H68" s="206">
        <f>SUBTOTAL(9,H62:H67)</f>
        <v>8635.7142857142862</v>
      </c>
      <c r="I68" s="206">
        <f>SUBTOTAL(9,I62:I67)</f>
        <v>8635.7142857142862</v>
      </c>
      <c r="J68" s="206">
        <f>SUBTOTAL(9,J62:J67)</f>
        <v>0</v>
      </c>
    </row>
    <row r="69" spans="1:13" s="201" customFormat="1" ht="13.5" outlineLevel="1" thickBot="1">
      <c r="A69" s="3" t="s">
        <v>492</v>
      </c>
      <c r="B69" s="3" t="s">
        <v>429</v>
      </c>
      <c r="C69" s="3" t="s">
        <v>430</v>
      </c>
      <c r="D69" s="3" t="s">
        <v>214</v>
      </c>
      <c r="E69" s="207" t="s">
        <v>214</v>
      </c>
      <c r="F69" s="208"/>
      <c r="G69" s="209"/>
      <c r="H69" s="199"/>
      <c r="I69" s="199"/>
      <c r="J69" s="199"/>
    </row>
    <row r="70" spans="1:13" ht="13.5" outlineLevel="2" thickBot="1">
      <c r="A70" s="3" t="str">
        <f>B70&amp;C70&amp;D70</f>
        <v>O&amp;M Mobilization BudgetOperating ExpensesCommunications</v>
      </c>
      <c r="B70" s="3" t="s">
        <v>429</v>
      </c>
      <c r="C70" s="3" t="s">
        <v>430</v>
      </c>
      <c r="D70" s="3" t="s">
        <v>214</v>
      </c>
      <c r="E70" s="202" t="s">
        <v>493</v>
      </c>
      <c r="F70" s="40" t="s">
        <v>494</v>
      </c>
      <c r="G70" s="203"/>
      <c r="H70" s="204">
        <f>5*500</f>
        <v>2500</v>
      </c>
      <c r="I70" s="204">
        <f>H70-J70</f>
        <v>2500</v>
      </c>
      <c r="J70" s="204"/>
      <c r="L70" s="3"/>
      <c r="M70" s="3"/>
    </row>
    <row r="71" spans="1:13" ht="13.5" outlineLevel="2" thickBot="1">
      <c r="A71" s="3" t="str">
        <f>B71&amp;C71&amp;D71</f>
        <v>O&amp;M Mobilization BudgetOperating ExpensesCommunications</v>
      </c>
      <c r="B71" s="3" t="s">
        <v>429</v>
      </c>
      <c r="C71" s="3" t="s">
        <v>430</v>
      </c>
      <c r="D71" s="3" t="s">
        <v>214</v>
      </c>
      <c r="E71" s="202" t="s">
        <v>495</v>
      </c>
      <c r="F71" s="40" t="s">
        <v>1038</v>
      </c>
      <c r="G71" s="203"/>
      <c r="H71" s="204">
        <f>1*6*300</f>
        <v>1800</v>
      </c>
      <c r="I71" s="204">
        <f>H71-J71</f>
        <v>1800</v>
      </c>
      <c r="J71" s="204"/>
      <c r="L71" s="3"/>
      <c r="M71" s="3"/>
    </row>
    <row r="72" spans="1:13" ht="13.5" outlineLevel="2" thickBot="1">
      <c r="A72" s="3" t="str">
        <f>B72&amp;C72&amp;D72</f>
        <v>O&amp;M Mobilization BudgetOperating ExpensesCommunications</v>
      </c>
      <c r="B72" s="3" t="s">
        <v>429</v>
      </c>
      <c r="C72" s="3" t="s">
        <v>430</v>
      </c>
      <c r="D72" s="3" t="s">
        <v>214</v>
      </c>
      <c r="E72" s="202" t="s">
        <v>1039</v>
      </c>
      <c r="F72" s="40" t="s">
        <v>1040</v>
      </c>
      <c r="G72" s="203"/>
      <c r="H72" s="204">
        <f>6*20*4</f>
        <v>480</v>
      </c>
      <c r="I72" s="204">
        <f>H72-J72</f>
        <v>480</v>
      </c>
      <c r="J72" s="204"/>
      <c r="L72" s="3"/>
      <c r="M72" s="3"/>
    </row>
    <row r="73" spans="1:13" ht="13.5" outlineLevel="2" thickBot="1">
      <c r="E73" s="202"/>
      <c r="F73" s="40"/>
      <c r="G73" s="203"/>
      <c r="H73" s="204"/>
      <c r="I73" s="204"/>
      <c r="J73" s="204"/>
      <c r="L73" s="3"/>
      <c r="M73" s="3"/>
    </row>
    <row r="74" spans="1:13" s="201" customFormat="1" ht="13.5" outlineLevel="1" thickBot="1">
      <c r="A74" s="201" t="s">
        <v>496</v>
      </c>
      <c r="B74" s="201" t="s">
        <v>429</v>
      </c>
      <c r="C74" s="201" t="s">
        <v>430</v>
      </c>
      <c r="D74" s="201" t="s">
        <v>214</v>
      </c>
      <c r="E74" s="202"/>
      <c r="F74" s="40"/>
      <c r="G74" s="205" t="s">
        <v>438</v>
      </c>
      <c r="H74" s="206">
        <f>SUBTOTAL(9,H70:H72)</f>
        <v>4780</v>
      </c>
      <c r="I74" s="206">
        <f>SUBTOTAL(9,I70:I72)</f>
        <v>4780</v>
      </c>
      <c r="J74" s="206">
        <f>SUBTOTAL(9,J70:J72)</f>
        <v>0</v>
      </c>
    </row>
    <row r="75" spans="1:13" s="201" customFormat="1" ht="13.5" outlineLevel="1" thickBot="1">
      <c r="A75" s="3" t="s">
        <v>497</v>
      </c>
      <c r="B75" s="3" t="s">
        <v>429</v>
      </c>
      <c r="C75" s="3" t="s">
        <v>430</v>
      </c>
      <c r="D75" s="3" t="s">
        <v>498</v>
      </c>
      <c r="E75" s="207" t="s">
        <v>215</v>
      </c>
      <c r="F75" s="208"/>
      <c r="G75" s="209"/>
      <c r="H75" s="199"/>
      <c r="I75" s="199"/>
      <c r="J75" s="199"/>
    </row>
    <row r="76" spans="1:13" ht="13.5" outlineLevel="2" thickBot="1">
      <c r="A76" s="3" t="str">
        <f>B76&amp;C76&amp;D76</f>
        <v>O&amp;M Mobilization BudgetOperating ExpensesMiscellaneous Office Expenses</v>
      </c>
      <c r="B76" s="3" t="s">
        <v>429</v>
      </c>
      <c r="C76" s="3" t="s">
        <v>430</v>
      </c>
      <c r="D76" s="3" t="s">
        <v>498</v>
      </c>
      <c r="E76" s="202" t="s">
        <v>499</v>
      </c>
      <c r="F76" s="40" t="s">
        <v>92</v>
      </c>
      <c r="G76" s="203"/>
      <c r="H76" s="204"/>
      <c r="I76" s="204">
        <f>H76-J76</f>
        <v>0</v>
      </c>
      <c r="J76" s="204"/>
      <c r="L76" s="3"/>
      <c r="M76" s="3"/>
    </row>
    <row r="77" spans="1:13" ht="13.5" outlineLevel="2" thickBot="1">
      <c r="A77" s="3" t="str">
        <f>B77&amp;C77&amp;D77</f>
        <v>O&amp;M Mobilization BudgetOperating ExpensesMiscellaneous Office Expenses</v>
      </c>
      <c r="B77" s="3" t="s">
        <v>429</v>
      </c>
      <c r="C77" s="3" t="s">
        <v>430</v>
      </c>
      <c r="D77" s="3" t="s">
        <v>498</v>
      </c>
      <c r="E77" s="202" t="s">
        <v>500</v>
      </c>
      <c r="F77" s="40" t="s">
        <v>1059</v>
      </c>
      <c r="G77" s="203"/>
      <c r="H77" s="204">
        <v>4000</v>
      </c>
      <c r="I77" s="204">
        <f>H77-J77</f>
        <v>4000</v>
      </c>
      <c r="J77" s="204"/>
      <c r="L77" s="3"/>
      <c r="M77" s="3"/>
    </row>
    <row r="78" spans="1:13" ht="13.5" outlineLevel="2" thickBot="1">
      <c r="A78" s="3" t="str">
        <f>B78&amp;C78&amp;D78</f>
        <v>O&amp;M Mobilization BudgetOperating ExpensesMiscellaneous Office Expenses</v>
      </c>
      <c r="B78" s="3" t="s">
        <v>429</v>
      </c>
      <c r="C78" s="3" t="s">
        <v>430</v>
      </c>
      <c r="D78" s="3" t="s">
        <v>498</v>
      </c>
      <c r="E78" s="202" t="s">
        <v>501</v>
      </c>
      <c r="F78" s="40"/>
      <c r="G78" s="203"/>
      <c r="H78" s="204">
        <v>800</v>
      </c>
      <c r="I78" s="204">
        <f>H78-J78</f>
        <v>800</v>
      </c>
      <c r="J78" s="204"/>
      <c r="L78" s="3"/>
      <c r="M78" s="3"/>
    </row>
    <row r="79" spans="1:13" ht="13.5" outlineLevel="2" thickBot="1">
      <c r="A79" s="3" t="str">
        <f>B79&amp;C79&amp;D79</f>
        <v>O&amp;M Mobilization BudgetOperating ExpensesMiscellaneous Office Expenses</v>
      </c>
      <c r="B79" s="3" t="s">
        <v>429</v>
      </c>
      <c r="C79" s="3" t="s">
        <v>430</v>
      </c>
      <c r="D79" s="3" t="s">
        <v>498</v>
      </c>
      <c r="E79" s="202" t="s">
        <v>502</v>
      </c>
      <c r="G79" s="203"/>
      <c r="H79" s="204"/>
      <c r="I79" s="204">
        <f>H79-J79</f>
        <v>0</v>
      </c>
      <c r="J79" s="204"/>
      <c r="L79" s="3"/>
      <c r="M79" s="3"/>
    </row>
    <row r="80" spans="1:13" ht="13.5" outlineLevel="2" thickBot="1">
      <c r="E80" s="202" t="s">
        <v>503</v>
      </c>
      <c r="G80" s="203"/>
      <c r="H80" s="204"/>
      <c r="I80" s="204">
        <f>H80-J80</f>
        <v>0</v>
      </c>
      <c r="J80" s="204"/>
      <c r="L80" s="3"/>
      <c r="M80" s="3"/>
    </row>
    <row r="81" spans="1:13" ht="13.5" outlineLevel="2" thickBot="1">
      <c r="E81" s="202"/>
      <c r="F81" s="40" t="s">
        <v>1041</v>
      </c>
      <c r="G81" s="203"/>
      <c r="H81" s="204"/>
      <c r="I81" s="204"/>
      <c r="J81" s="204"/>
      <c r="L81" s="3"/>
      <c r="M81" s="3"/>
    </row>
    <row r="82" spans="1:13" s="201" customFormat="1" ht="13.5" outlineLevel="1" thickBot="1">
      <c r="A82" s="201" t="s">
        <v>504</v>
      </c>
      <c r="B82" s="201" t="s">
        <v>429</v>
      </c>
      <c r="C82" s="201" t="s">
        <v>430</v>
      </c>
      <c r="D82" s="201" t="s">
        <v>498</v>
      </c>
      <c r="E82" s="202"/>
      <c r="F82" s="40"/>
      <c r="G82" s="205" t="s">
        <v>438</v>
      </c>
      <c r="H82" s="206">
        <f>SUBTOTAL(9,H76:H80)</f>
        <v>4800</v>
      </c>
      <c r="I82" s="206">
        <f>SUBTOTAL(9,I76:I80)</f>
        <v>4800</v>
      </c>
      <c r="J82" s="206">
        <f>SUBTOTAL(9,J76:J80)</f>
        <v>0</v>
      </c>
    </row>
    <row r="83" spans="1:13" s="201" customFormat="1" ht="13.5" outlineLevel="1" thickBot="1">
      <c r="A83" s="3" t="s">
        <v>505</v>
      </c>
      <c r="B83" s="3" t="s">
        <v>429</v>
      </c>
      <c r="C83" s="3" t="s">
        <v>430</v>
      </c>
      <c r="D83" s="3" t="s">
        <v>216</v>
      </c>
      <c r="E83" s="207" t="s">
        <v>216</v>
      </c>
      <c r="F83" s="208"/>
      <c r="G83" s="209"/>
      <c r="H83" s="199"/>
      <c r="I83" s="199"/>
      <c r="J83" s="199"/>
    </row>
    <row r="84" spans="1:13" ht="13.5" outlineLevel="2" thickBot="1">
      <c r="A84" s="3" t="str">
        <f t="shared" ref="A84:A97" si="4">B84&amp;C84&amp;D84</f>
        <v>O&amp;M Mobilization BudgetOperating ExpensesTraining</v>
      </c>
      <c r="B84" s="3" t="s">
        <v>429</v>
      </c>
      <c r="C84" s="3" t="s">
        <v>430</v>
      </c>
      <c r="D84" s="3" t="s">
        <v>216</v>
      </c>
      <c r="E84" s="202" t="s">
        <v>506</v>
      </c>
      <c r="F84" s="40" t="s">
        <v>507</v>
      </c>
      <c r="G84" s="203"/>
      <c r="H84" s="204">
        <f>Training!I53*1000</f>
        <v>41732</v>
      </c>
      <c r="I84" s="204">
        <f t="shared" ref="I84:I98" si="5">H84</f>
        <v>41732</v>
      </c>
      <c r="J84" s="204">
        <f t="shared" ref="J84:J98" si="6">H84-I84</f>
        <v>0</v>
      </c>
      <c r="L84" s="3"/>
      <c r="M84" s="3"/>
    </row>
    <row r="85" spans="1:13" ht="13.5" outlineLevel="2" thickBot="1">
      <c r="A85" s="3" t="str">
        <f t="shared" si="4"/>
        <v>O&amp;M Mobilization BudgetOperating ExpensesTraining</v>
      </c>
      <c r="B85" s="3" t="s">
        <v>429</v>
      </c>
      <c r="C85" s="3" t="s">
        <v>430</v>
      </c>
      <c r="D85" s="3" t="s">
        <v>216</v>
      </c>
      <c r="E85" s="202" t="s">
        <v>508</v>
      </c>
      <c r="F85" s="40"/>
      <c r="G85" s="203"/>
      <c r="H85" s="204"/>
      <c r="I85" s="204">
        <f t="shared" si="5"/>
        <v>0</v>
      </c>
      <c r="J85" s="204">
        <f t="shared" si="6"/>
        <v>0</v>
      </c>
      <c r="L85" s="3"/>
      <c r="M85" s="3"/>
    </row>
    <row r="86" spans="1:13" ht="13.5" outlineLevel="2" thickBot="1">
      <c r="A86" s="3" t="str">
        <f t="shared" si="4"/>
        <v>O&amp;M Mobilization BudgetOperating ExpensesTraining</v>
      </c>
      <c r="B86" s="3" t="s">
        <v>429</v>
      </c>
      <c r="C86" s="3" t="s">
        <v>430</v>
      </c>
      <c r="D86" s="3" t="s">
        <v>216</v>
      </c>
      <c r="E86" s="202" t="s">
        <v>509</v>
      </c>
      <c r="F86" s="40"/>
      <c r="G86" s="203"/>
      <c r="H86" s="204"/>
      <c r="I86" s="204">
        <f t="shared" si="5"/>
        <v>0</v>
      </c>
      <c r="J86" s="204">
        <f t="shared" si="6"/>
        <v>0</v>
      </c>
      <c r="L86" s="3"/>
      <c r="M86" s="3"/>
    </row>
    <row r="87" spans="1:13" ht="13.5" outlineLevel="2" thickBot="1">
      <c r="A87" s="3" t="str">
        <f t="shared" si="4"/>
        <v>O&amp;M Mobilization BudgetOperating ExpensesTraining</v>
      </c>
      <c r="B87" s="3" t="s">
        <v>429</v>
      </c>
      <c r="C87" s="3" t="s">
        <v>430</v>
      </c>
      <c r="D87" s="3" t="s">
        <v>216</v>
      </c>
      <c r="E87" s="202" t="s">
        <v>510</v>
      </c>
      <c r="F87" s="40"/>
      <c r="G87" s="203"/>
      <c r="H87" s="204"/>
      <c r="I87" s="204">
        <f t="shared" si="5"/>
        <v>0</v>
      </c>
      <c r="J87" s="204">
        <f t="shared" si="6"/>
        <v>0</v>
      </c>
      <c r="L87" s="3"/>
      <c r="M87" s="3"/>
    </row>
    <row r="88" spans="1:13" ht="13.5" outlineLevel="2" thickBot="1">
      <c r="A88" s="3" t="str">
        <f t="shared" si="4"/>
        <v>O&amp;M Mobilization BudgetOperating ExpensesTraining</v>
      </c>
      <c r="B88" s="3" t="s">
        <v>429</v>
      </c>
      <c r="C88" s="3" t="s">
        <v>430</v>
      </c>
      <c r="D88" s="3" t="s">
        <v>216</v>
      </c>
      <c r="E88" s="202" t="s">
        <v>511</v>
      </c>
      <c r="F88" s="40"/>
      <c r="G88" s="203"/>
      <c r="H88" s="204"/>
      <c r="I88" s="204">
        <f t="shared" si="5"/>
        <v>0</v>
      </c>
      <c r="J88" s="204">
        <f t="shared" si="6"/>
        <v>0</v>
      </c>
      <c r="L88" s="3"/>
      <c r="M88" s="3"/>
    </row>
    <row r="89" spans="1:13" ht="13.5" outlineLevel="2" thickBot="1">
      <c r="A89" s="3" t="str">
        <f t="shared" si="4"/>
        <v>O&amp;M Mobilization BudgetOperating ExpensesTraining</v>
      </c>
      <c r="B89" s="3" t="s">
        <v>429</v>
      </c>
      <c r="C89" s="3" t="s">
        <v>430</v>
      </c>
      <c r="D89" s="3" t="s">
        <v>216</v>
      </c>
      <c r="E89" s="202" t="s">
        <v>512</v>
      </c>
      <c r="F89" s="40"/>
      <c r="G89" s="203"/>
      <c r="H89" s="204"/>
      <c r="I89" s="204">
        <f t="shared" si="5"/>
        <v>0</v>
      </c>
      <c r="J89" s="204">
        <f t="shared" si="6"/>
        <v>0</v>
      </c>
      <c r="L89" s="3"/>
      <c r="M89" s="3"/>
    </row>
    <row r="90" spans="1:13" ht="13.5" outlineLevel="2" thickBot="1">
      <c r="A90" s="3" t="str">
        <f t="shared" si="4"/>
        <v>O&amp;M Mobilization BudgetOperating ExpensesTraining</v>
      </c>
      <c r="B90" s="3" t="s">
        <v>429</v>
      </c>
      <c r="C90" s="3" t="s">
        <v>430</v>
      </c>
      <c r="D90" s="3" t="s">
        <v>216</v>
      </c>
      <c r="E90" s="202" t="s">
        <v>513</v>
      </c>
      <c r="F90" s="40"/>
      <c r="G90" s="203"/>
      <c r="H90" s="204"/>
      <c r="I90" s="204">
        <f t="shared" si="5"/>
        <v>0</v>
      </c>
      <c r="J90" s="204">
        <f t="shared" si="6"/>
        <v>0</v>
      </c>
      <c r="L90" s="3"/>
      <c r="M90" s="3"/>
    </row>
    <row r="91" spans="1:13" ht="13.5" outlineLevel="2" thickBot="1">
      <c r="A91" s="3" t="str">
        <f t="shared" si="4"/>
        <v>O&amp;M Mobilization BudgetOperating ExpensesTraining</v>
      </c>
      <c r="B91" s="3" t="s">
        <v>429</v>
      </c>
      <c r="C91" s="3" t="s">
        <v>430</v>
      </c>
      <c r="D91" s="3" t="s">
        <v>216</v>
      </c>
      <c r="E91" s="202" t="s">
        <v>514</v>
      </c>
      <c r="F91" s="40"/>
      <c r="G91" s="203"/>
      <c r="H91" s="204"/>
      <c r="I91" s="204">
        <f t="shared" si="5"/>
        <v>0</v>
      </c>
      <c r="J91" s="204">
        <f t="shared" si="6"/>
        <v>0</v>
      </c>
      <c r="L91" s="3"/>
      <c r="M91" s="3"/>
    </row>
    <row r="92" spans="1:13" ht="13.5" outlineLevel="2" thickBot="1">
      <c r="A92" s="3" t="str">
        <f t="shared" si="4"/>
        <v>O&amp;M Mobilization BudgetOperating ExpensesTraining</v>
      </c>
      <c r="B92" s="3" t="s">
        <v>429</v>
      </c>
      <c r="C92" s="3" t="s">
        <v>430</v>
      </c>
      <c r="D92" s="3" t="s">
        <v>216</v>
      </c>
      <c r="E92" s="202" t="s">
        <v>515</v>
      </c>
      <c r="F92" s="40"/>
      <c r="G92" s="203"/>
      <c r="H92" s="204"/>
      <c r="I92" s="204">
        <f t="shared" si="5"/>
        <v>0</v>
      </c>
      <c r="J92" s="204">
        <f t="shared" si="6"/>
        <v>0</v>
      </c>
      <c r="L92" s="3"/>
      <c r="M92" s="3"/>
    </row>
    <row r="93" spans="1:13" ht="13.5" outlineLevel="2" thickBot="1">
      <c r="A93" s="3" t="str">
        <f t="shared" si="4"/>
        <v>O&amp;M Mobilization BudgetOperating ExpensesTraining</v>
      </c>
      <c r="B93" s="3" t="s">
        <v>429</v>
      </c>
      <c r="C93" s="3" t="s">
        <v>430</v>
      </c>
      <c r="D93" s="3" t="s">
        <v>216</v>
      </c>
      <c r="E93" s="202" t="s">
        <v>516</v>
      </c>
      <c r="F93" s="40"/>
      <c r="G93" s="203"/>
      <c r="H93" s="204"/>
      <c r="I93" s="204">
        <f t="shared" si="5"/>
        <v>0</v>
      </c>
      <c r="J93" s="204">
        <f t="shared" si="6"/>
        <v>0</v>
      </c>
      <c r="L93" s="3"/>
      <c r="M93" s="3"/>
    </row>
    <row r="94" spans="1:13" ht="13.5" outlineLevel="2" thickBot="1">
      <c r="A94" s="3" t="str">
        <f t="shared" si="4"/>
        <v>O&amp;M Mobilization BudgetOperating ExpensesTraining</v>
      </c>
      <c r="B94" s="3" t="s">
        <v>429</v>
      </c>
      <c r="C94" s="3" t="s">
        <v>430</v>
      </c>
      <c r="D94" s="3" t="s">
        <v>216</v>
      </c>
      <c r="E94" s="202" t="s">
        <v>517</v>
      </c>
      <c r="F94" s="40"/>
      <c r="G94" s="203"/>
      <c r="H94" s="204"/>
      <c r="I94" s="204">
        <f t="shared" si="5"/>
        <v>0</v>
      </c>
      <c r="J94" s="204">
        <f t="shared" si="6"/>
        <v>0</v>
      </c>
      <c r="L94" s="3"/>
      <c r="M94" s="3"/>
    </row>
    <row r="95" spans="1:13" ht="13.5" outlineLevel="2" thickBot="1">
      <c r="A95" s="3" t="str">
        <f t="shared" si="4"/>
        <v>O&amp;M Mobilization BudgetOperating ExpensesTraining</v>
      </c>
      <c r="B95" s="3" t="s">
        <v>429</v>
      </c>
      <c r="C95" s="3" t="s">
        <v>430</v>
      </c>
      <c r="D95" s="3" t="s">
        <v>216</v>
      </c>
      <c r="E95" s="202" t="s">
        <v>518</v>
      </c>
      <c r="F95" s="40"/>
      <c r="G95" s="203"/>
      <c r="H95" s="204"/>
      <c r="I95" s="204">
        <f t="shared" si="5"/>
        <v>0</v>
      </c>
      <c r="J95" s="204">
        <f t="shared" si="6"/>
        <v>0</v>
      </c>
      <c r="L95" s="3"/>
      <c r="M95" s="3"/>
    </row>
    <row r="96" spans="1:13" ht="13.5" customHeight="1" outlineLevel="2" thickBot="1">
      <c r="A96" s="3" t="str">
        <f t="shared" si="4"/>
        <v>O&amp;M Mobilization BudgetOperating ExpensesTraining</v>
      </c>
      <c r="B96" s="3" t="s">
        <v>429</v>
      </c>
      <c r="C96" s="3" t="s">
        <v>430</v>
      </c>
      <c r="D96" s="3" t="s">
        <v>216</v>
      </c>
      <c r="E96" s="202" t="s">
        <v>519</v>
      </c>
      <c r="F96" s="40"/>
      <c r="G96" s="203"/>
      <c r="H96" s="204"/>
      <c r="I96" s="204">
        <f t="shared" si="5"/>
        <v>0</v>
      </c>
      <c r="J96" s="204">
        <f t="shared" si="6"/>
        <v>0</v>
      </c>
      <c r="L96" s="3"/>
      <c r="M96" s="3"/>
    </row>
    <row r="97" spans="1:13" ht="13.5" outlineLevel="2" thickBot="1">
      <c r="A97" s="3" t="str">
        <f t="shared" si="4"/>
        <v>O&amp;M Mobilization BudgetOperating ExpensesTraining</v>
      </c>
      <c r="B97" s="3" t="s">
        <v>429</v>
      </c>
      <c r="C97" s="3" t="s">
        <v>430</v>
      </c>
      <c r="D97" s="3" t="s">
        <v>216</v>
      </c>
      <c r="E97" s="202" t="s">
        <v>520</v>
      </c>
      <c r="F97" s="40"/>
      <c r="G97" s="203"/>
      <c r="H97" s="204"/>
      <c r="I97" s="204">
        <f t="shared" si="5"/>
        <v>0</v>
      </c>
      <c r="J97" s="204">
        <f t="shared" si="6"/>
        <v>0</v>
      </c>
      <c r="L97" s="3"/>
      <c r="M97" s="3"/>
    </row>
    <row r="98" spans="1:13" ht="13.5" outlineLevel="2" thickBot="1">
      <c r="E98" s="202"/>
      <c r="F98" s="40"/>
      <c r="G98" s="203"/>
      <c r="H98" s="204"/>
      <c r="I98" s="204">
        <f t="shared" si="5"/>
        <v>0</v>
      </c>
      <c r="J98" s="204">
        <f t="shared" si="6"/>
        <v>0</v>
      </c>
      <c r="L98" s="3"/>
      <c r="M98" s="3"/>
    </row>
    <row r="99" spans="1:13" s="201" customFormat="1" ht="13.5" outlineLevel="1" thickBot="1">
      <c r="A99" s="201" t="s">
        <v>521</v>
      </c>
      <c r="B99" s="201" t="s">
        <v>429</v>
      </c>
      <c r="C99" s="201" t="s">
        <v>430</v>
      </c>
      <c r="D99" s="201" t="s">
        <v>216</v>
      </c>
      <c r="E99" s="202"/>
      <c r="F99" s="40"/>
      <c r="G99" s="205" t="s">
        <v>438</v>
      </c>
      <c r="H99" s="206">
        <f>SUBTOTAL(9,H84:H97)</f>
        <v>41732</v>
      </c>
      <c r="I99" s="206">
        <f>SUBTOTAL(9,I84:I97)</f>
        <v>41732</v>
      </c>
      <c r="J99" s="206">
        <f>SUBTOTAL(9,J84:J97)</f>
        <v>0</v>
      </c>
    </row>
    <row r="100" spans="1:13" s="201" customFormat="1" ht="13.5" outlineLevel="1" thickBot="1">
      <c r="A100" s="3" t="s">
        <v>522</v>
      </c>
      <c r="B100" s="3" t="s">
        <v>429</v>
      </c>
      <c r="C100" s="3" t="s">
        <v>430</v>
      </c>
      <c r="D100" s="3" t="s">
        <v>523</v>
      </c>
      <c r="E100" s="216" t="s">
        <v>523</v>
      </c>
      <c r="F100" s="217"/>
      <c r="G100" s="218"/>
      <c r="H100" s="199"/>
      <c r="I100" s="199"/>
      <c r="J100" s="199"/>
    </row>
    <row r="101" spans="1:13" ht="13.5" outlineLevel="2" thickBot="1">
      <c r="A101" s="3" t="str">
        <f>B101&amp;C101&amp;D101</f>
        <v>O&amp;M Mobilization BudgetOperating ExpensesManuals/Operating Procedures</v>
      </c>
      <c r="B101" s="3" t="s">
        <v>429</v>
      </c>
      <c r="C101" s="3" t="s">
        <v>430</v>
      </c>
      <c r="D101" s="3" t="s">
        <v>523</v>
      </c>
      <c r="E101" s="202" t="s">
        <v>524</v>
      </c>
      <c r="F101" s="40" t="s">
        <v>1043</v>
      </c>
      <c r="G101" s="203"/>
      <c r="H101" s="204">
        <v>2000</v>
      </c>
      <c r="I101" s="204">
        <f t="shared" ref="I101:I116" si="7">H101</f>
        <v>2000</v>
      </c>
      <c r="J101" s="204">
        <f t="shared" ref="J101:J116" si="8">H101-I101</f>
        <v>0</v>
      </c>
      <c r="L101" s="3"/>
      <c r="M101" s="3"/>
    </row>
    <row r="102" spans="1:13" ht="13.5" outlineLevel="2" thickBot="1">
      <c r="A102" s="3" t="str">
        <f>B102&amp;C102&amp;D102</f>
        <v>O&amp;M Mobilization BudgetOperating ExpensesManuals/Operating Procedures</v>
      </c>
      <c r="B102" s="3" t="s">
        <v>429</v>
      </c>
      <c r="C102" s="3" t="s">
        <v>430</v>
      </c>
      <c r="D102" s="3" t="s">
        <v>523</v>
      </c>
      <c r="E102" s="202" t="s">
        <v>525</v>
      </c>
      <c r="F102" s="40" t="s">
        <v>737</v>
      </c>
      <c r="G102" s="203"/>
      <c r="H102" s="204">
        <v>8000</v>
      </c>
      <c r="I102" s="204">
        <f t="shared" si="7"/>
        <v>8000</v>
      </c>
      <c r="J102" s="204">
        <f t="shared" si="8"/>
        <v>0</v>
      </c>
      <c r="L102" s="3"/>
      <c r="M102" s="3"/>
    </row>
    <row r="103" spans="1:13" ht="13.5" outlineLevel="2" thickBot="1">
      <c r="E103" s="202" t="s">
        <v>526</v>
      </c>
      <c r="F103" s="40" t="s">
        <v>738</v>
      </c>
      <c r="G103" s="203"/>
      <c r="H103" s="204">
        <f>0.5*H102</f>
        <v>4000</v>
      </c>
      <c r="I103" s="204">
        <f t="shared" si="7"/>
        <v>4000</v>
      </c>
      <c r="J103" s="204">
        <f t="shared" si="8"/>
        <v>0</v>
      </c>
      <c r="L103" s="3"/>
      <c r="M103" s="3"/>
    </row>
    <row r="104" spans="1:13" ht="13.5" outlineLevel="2" thickBot="1">
      <c r="A104" s="3" t="str">
        <f t="shared" ref="A104:A111" si="9">B104&amp;C104&amp;D104</f>
        <v>O&amp;M Mobilization BudgetOperating ExpensesManuals/Operating Procedures</v>
      </c>
      <c r="B104" s="3" t="s">
        <v>429</v>
      </c>
      <c r="C104" s="3" t="s">
        <v>430</v>
      </c>
      <c r="D104" s="3" t="s">
        <v>523</v>
      </c>
      <c r="E104" s="202" t="s">
        <v>527</v>
      </c>
      <c r="F104" s="40" t="s">
        <v>1043</v>
      </c>
      <c r="G104" s="203"/>
      <c r="H104" s="204">
        <v>2000</v>
      </c>
      <c r="I104" s="204">
        <f t="shared" si="7"/>
        <v>2000</v>
      </c>
      <c r="J104" s="204">
        <f t="shared" si="8"/>
        <v>0</v>
      </c>
      <c r="L104" s="3"/>
      <c r="M104" s="3"/>
    </row>
    <row r="105" spans="1:13" ht="13.5" outlineLevel="2" thickBot="1">
      <c r="A105" s="3" t="str">
        <f t="shared" si="9"/>
        <v>O&amp;M Mobilization BudgetOperating ExpensesManuals/Operating Procedures</v>
      </c>
      <c r="B105" s="3" t="s">
        <v>429</v>
      </c>
      <c r="C105" s="3" t="s">
        <v>430</v>
      </c>
      <c r="D105" s="3" t="s">
        <v>523</v>
      </c>
      <c r="E105" s="202" t="s">
        <v>528</v>
      </c>
      <c r="F105" s="40" t="s">
        <v>1043</v>
      </c>
      <c r="G105" s="203"/>
      <c r="H105" s="204">
        <v>2000</v>
      </c>
      <c r="I105" s="204">
        <f t="shared" si="7"/>
        <v>2000</v>
      </c>
      <c r="J105" s="204">
        <f t="shared" si="8"/>
        <v>0</v>
      </c>
      <c r="L105" s="3"/>
      <c r="M105" s="3"/>
    </row>
    <row r="106" spans="1:13" ht="13.5" outlineLevel="2" thickBot="1">
      <c r="A106" s="3" t="str">
        <f t="shared" si="9"/>
        <v>O&amp;M Mobilization BudgetOperating ExpensesManuals/Operating Procedures</v>
      </c>
      <c r="B106" s="3" t="s">
        <v>429</v>
      </c>
      <c r="C106" s="3" t="s">
        <v>430</v>
      </c>
      <c r="D106" s="3" t="s">
        <v>523</v>
      </c>
      <c r="E106" s="202" t="s">
        <v>529</v>
      </c>
      <c r="F106" s="40" t="s">
        <v>530</v>
      </c>
      <c r="G106" s="203"/>
      <c r="H106" s="204">
        <f>40*400</f>
        <v>16000</v>
      </c>
      <c r="I106" s="204">
        <f t="shared" si="7"/>
        <v>16000</v>
      </c>
      <c r="J106" s="204">
        <f t="shared" si="8"/>
        <v>0</v>
      </c>
      <c r="L106" s="3"/>
      <c r="M106" s="3"/>
    </row>
    <row r="107" spans="1:13" ht="13.5" outlineLevel="2" thickBot="1">
      <c r="A107" s="3" t="str">
        <f t="shared" si="9"/>
        <v>O&amp;M Mobilization BudgetOperating ExpensesManuals/Operating Procedures</v>
      </c>
      <c r="B107" s="3" t="s">
        <v>429</v>
      </c>
      <c r="C107" s="3" t="s">
        <v>430</v>
      </c>
      <c r="D107" s="3" t="s">
        <v>523</v>
      </c>
      <c r="E107" s="202" t="s">
        <v>531</v>
      </c>
      <c r="F107" s="40" t="s">
        <v>1043</v>
      </c>
      <c r="G107" s="203"/>
      <c r="H107" s="204">
        <v>2000</v>
      </c>
      <c r="I107" s="204">
        <f t="shared" si="7"/>
        <v>2000</v>
      </c>
      <c r="J107" s="204">
        <f t="shared" si="8"/>
        <v>0</v>
      </c>
      <c r="L107" s="3"/>
      <c r="M107" s="3"/>
    </row>
    <row r="108" spans="1:13" ht="13.5" outlineLevel="2" thickBot="1">
      <c r="A108" s="3" t="str">
        <f t="shared" si="9"/>
        <v>O&amp;M Mobilization BudgetOperating ExpensesManuals/Operating Procedures</v>
      </c>
      <c r="B108" s="3" t="s">
        <v>429</v>
      </c>
      <c r="C108" s="3" t="s">
        <v>430</v>
      </c>
      <c r="D108" s="3" t="s">
        <v>523</v>
      </c>
      <c r="E108" s="202" t="s">
        <v>532</v>
      </c>
      <c r="F108" s="40" t="s">
        <v>1064</v>
      </c>
      <c r="G108" s="203"/>
      <c r="H108" s="204">
        <f>20*400</f>
        <v>8000</v>
      </c>
      <c r="I108" s="204">
        <f t="shared" si="7"/>
        <v>8000</v>
      </c>
      <c r="J108" s="204">
        <f t="shared" si="8"/>
        <v>0</v>
      </c>
      <c r="L108" s="3"/>
      <c r="M108" s="3"/>
    </row>
    <row r="109" spans="1:13" ht="13.5" outlineLevel="2" thickBot="1">
      <c r="A109" s="3" t="str">
        <f t="shared" si="9"/>
        <v>O&amp;M Mobilization BudgetOperating ExpensesManuals/Operating Procedures</v>
      </c>
      <c r="B109" s="3" t="s">
        <v>429</v>
      </c>
      <c r="C109" s="3" t="s">
        <v>430</v>
      </c>
      <c r="D109" s="3" t="s">
        <v>523</v>
      </c>
      <c r="E109" s="202" t="s">
        <v>533</v>
      </c>
      <c r="F109" s="40" t="s">
        <v>534</v>
      </c>
      <c r="G109" s="203"/>
      <c r="H109" s="204">
        <v>4000</v>
      </c>
      <c r="I109" s="204">
        <f t="shared" si="7"/>
        <v>4000</v>
      </c>
      <c r="J109" s="204">
        <f t="shared" si="8"/>
        <v>0</v>
      </c>
      <c r="L109" s="3"/>
      <c r="M109" s="3"/>
    </row>
    <row r="110" spans="1:13" ht="13.5" outlineLevel="2" thickBot="1">
      <c r="A110" s="3" t="str">
        <f t="shared" si="9"/>
        <v>O&amp;M Mobilization BudgetOperating ExpensesManuals/Operating Procedures</v>
      </c>
      <c r="B110" s="3" t="s">
        <v>429</v>
      </c>
      <c r="C110" s="3" t="s">
        <v>430</v>
      </c>
      <c r="D110" s="3" t="s">
        <v>523</v>
      </c>
      <c r="E110" s="202" t="s">
        <v>535</v>
      </c>
      <c r="F110" s="40" t="s">
        <v>534</v>
      </c>
      <c r="G110" s="203"/>
      <c r="H110" s="204">
        <v>4000</v>
      </c>
      <c r="I110" s="204">
        <f t="shared" si="7"/>
        <v>4000</v>
      </c>
      <c r="J110" s="204">
        <f t="shared" si="8"/>
        <v>0</v>
      </c>
      <c r="L110" s="3"/>
      <c r="M110" s="3"/>
    </row>
    <row r="111" spans="1:13" ht="13.5" outlineLevel="2" thickBot="1">
      <c r="A111" s="3" t="str">
        <f t="shared" si="9"/>
        <v>O&amp;M Mobilization BudgetOperating ExpensesManuals/Operating Procedures</v>
      </c>
      <c r="B111" s="3" t="s">
        <v>429</v>
      </c>
      <c r="C111" s="3" t="s">
        <v>430</v>
      </c>
      <c r="D111" s="3" t="s">
        <v>523</v>
      </c>
      <c r="E111" s="202" t="s">
        <v>536</v>
      </c>
      <c r="F111" s="40" t="s">
        <v>1043</v>
      </c>
      <c r="G111" s="203"/>
      <c r="H111" s="204">
        <v>2000</v>
      </c>
      <c r="I111" s="204">
        <f t="shared" si="7"/>
        <v>2000</v>
      </c>
      <c r="J111" s="204">
        <f t="shared" si="8"/>
        <v>0</v>
      </c>
      <c r="L111" s="3"/>
      <c r="M111" s="3"/>
    </row>
    <row r="112" spans="1:13" ht="13.5" outlineLevel="2" thickBot="1">
      <c r="E112" s="202" t="s">
        <v>469</v>
      </c>
      <c r="F112" s="40" t="s">
        <v>1042</v>
      </c>
      <c r="G112" s="203"/>
      <c r="H112" s="204">
        <v>400</v>
      </c>
      <c r="I112" s="204">
        <f t="shared" si="7"/>
        <v>400</v>
      </c>
      <c r="J112" s="204">
        <f t="shared" si="8"/>
        <v>0</v>
      </c>
      <c r="L112" s="3"/>
      <c r="M112" s="3"/>
    </row>
    <row r="113" spans="1:13" ht="13.5" outlineLevel="2" thickBot="1">
      <c r="E113" s="202" t="s">
        <v>118</v>
      </c>
      <c r="F113" s="40" t="s">
        <v>534</v>
      </c>
      <c r="G113" s="203"/>
      <c r="H113" s="204">
        <v>4000</v>
      </c>
      <c r="I113" s="204">
        <f t="shared" si="7"/>
        <v>4000</v>
      </c>
      <c r="J113" s="204">
        <f t="shared" si="8"/>
        <v>0</v>
      </c>
      <c r="L113" s="3"/>
      <c r="M113" s="3"/>
    </row>
    <row r="114" spans="1:13" ht="13.5" outlineLevel="2" thickBot="1">
      <c r="A114" s="3" t="str">
        <f>B114&amp;C114&amp;D114</f>
        <v>O&amp;M Mobilization BudgetOperating ExpensesManuals/Operating Procedures</v>
      </c>
      <c r="B114" s="3" t="s">
        <v>429</v>
      </c>
      <c r="C114" s="3" t="s">
        <v>430</v>
      </c>
      <c r="D114" s="3" t="s">
        <v>523</v>
      </c>
      <c r="E114" s="202"/>
      <c r="F114" s="40"/>
      <c r="G114" s="203"/>
      <c r="H114" s="204"/>
      <c r="I114" s="204">
        <f t="shared" si="7"/>
        <v>0</v>
      </c>
      <c r="J114" s="204">
        <f t="shared" si="8"/>
        <v>0</v>
      </c>
      <c r="L114" s="3"/>
      <c r="M114" s="3"/>
    </row>
    <row r="115" spans="1:13" ht="13.5" outlineLevel="2" thickBot="1">
      <c r="A115" s="3" t="str">
        <f>B115&amp;C115&amp;D115</f>
        <v>O&amp;M Mobilization BudgetOperating ExpensesManuals/Operating Procedures</v>
      </c>
      <c r="B115" s="3" t="s">
        <v>429</v>
      </c>
      <c r="C115" s="3" t="s">
        <v>430</v>
      </c>
      <c r="D115" s="3" t="s">
        <v>523</v>
      </c>
      <c r="E115" s="202" t="s">
        <v>537</v>
      </c>
      <c r="F115" s="40"/>
      <c r="G115" s="203"/>
      <c r="H115" s="204">
        <v>3000</v>
      </c>
      <c r="I115" s="204">
        <f t="shared" si="7"/>
        <v>3000</v>
      </c>
      <c r="J115" s="204">
        <f t="shared" si="8"/>
        <v>0</v>
      </c>
      <c r="L115" s="3"/>
      <c r="M115" s="3"/>
    </row>
    <row r="116" spans="1:13" ht="13.5" outlineLevel="2" thickBot="1">
      <c r="E116" s="202" t="s">
        <v>538</v>
      </c>
      <c r="F116" s="40" t="s">
        <v>539</v>
      </c>
      <c r="G116" s="203"/>
      <c r="H116" s="204">
        <f>0.05*H115</f>
        <v>150</v>
      </c>
      <c r="I116" s="204">
        <f t="shared" si="7"/>
        <v>150</v>
      </c>
      <c r="J116" s="204">
        <f t="shared" si="8"/>
        <v>0</v>
      </c>
      <c r="L116" s="3"/>
      <c r="M116" s="3"/>
    </row>
    <row r="117" spans="1:13" ht="13.5" outlineLevel="2" thickBot="1">
      <c r="A117" s="3" t="str">
        <f>B117&amp;C117&amp;D117</f>
        <v>O&amp;M Mobilization BudgetOperating ExpensesManuals/Operating Procedures</v>
      </c>
      <c r="B117" s="3" t="s">
        <v>429</v>
      </c>
      <c r="C117" s="3" t="s">
        <v>430</v>
      </c>
      <c r="D117" s="3" t="s">
        <v>523</v>
      </c>
      <c r="E117" s="202"/>
      <c r="F117" s="40"/>
      <c r="G117" s="203"/>
      <c r="H117" s="204"/>
      <c r="I117" s="204"/>
      <c r="J117" s="204"/>
      <c r="L117" s="3"/>
      <c r="M117" s="3"/>
    </row>
    <row r="118" spans="1:13" s="201" customFormat="1" ht="13.5" outlineLevel="1" thickBot="1">
      <c r="A118" s="201" t="s">
        <v>540</v>
      </c>
      <c r="B118" s="201" t="s">
        <v>429</v>
      </c>
      <c r="C118" s="201" t="s">
        <v>430</v>
      </c>
      <c r="D118" s="201" t="s">
        <v>523</v>
      </c>
      <c r="E118" s="202"/>
      <c r="F118" s="40"/>
      <c r="G118" s="205" t="s">
        <v>438</v>
      </c>
      <c r="H118" s="206">
        <f>SUBTOTAL(9,H101:H117)</f>
        <v>61550</v>
      </c>
      <c r="I118" s="206">
        <f>SUBTOTAL(9,I101:I117)</f>
        <v>61550</v>
      </c>
      <c r="J118" s="206">
        <f>SUBTOTAL(9,J101:J117)</f>
        <v>0</v>
      </c>
    </row>
    <row r="119" spans="1:13" s="201" customFormat="1" ht="13.5" outlineLevel="1" thickBot="1">
      <c r="A119" s="3" t="s">
        <v>541</v>
      </c>
      <c r="B119" s="3" t="s">
        <v>429</v>
      </c>
      <c r="C119" s="3" t="s">
        <v>430</v>
      </c>
      <c r="D119" s="3" t="s">
        <v>218</v>
      </c>
      <c r="E119" s="216" t="s">
        <v>218</v>
      </c>
      <c r="F119" s="217"/>
      <c r="G119" s="218"/>
      <c r="H119" s="199"/>
      <c r="I119" s="199"/>
      <c r="J119" s="199"/>
    </row>
    <row r="120" spans="1:13" ht="13.5" outlineLevel="2" thickBot="1">
      <c r="A120" s="3" t="str">
        <f>B120&amp;C120&amp;D120</f>
        <v>O&amp;M Mobilization BudgetOperating ExpensesPermits</v>
      </c>
      <c r="B120" s="3" t="s">
        <v>429</v>
      </c>
      <c r="C120" s="3" t="s">
        <v>430</v>
      </c>
      <c r="D120" s="3" t="s">
        <v>218</v>
      </c>
      <c r="E120" s="202" t="s">
        <v>542</v>
      </c>
      <c r="F120" s="40"/>
      <c r="G120" s="203"/>
      <c r="H120" s="204">
        <v>0</v>
      </c>
      <c r="I120" s="204">
        <f>H120-J120</f>
        <v>0</v>
      </c>
      <c r="J120" s="204"/>
      <c r="L120" s="3"/>
      <c r="M120" s="3"/>
    </row>
    <row r="121" spans="1:13" s="201" customFormat="1" ht="13.5" outlineLevel="1" thickBot="1">
      <c r="A121" s="201" t="s">
        <v>543</v>
      </c>
      <c r="B121" s="201" t="s">
        <v>429</v>
      </c>
      <c r="C121" s="201" t="s">
        <v>430</v>
      </c>
      <c r="D121" s="201" t="s">
        <v>218</v>
      </c>
      <c r="E121" s="202"/>
      <c r="F121" s="40"/>
      <c r="G121" s="205" t="s">
        <v>438</v>
      </c>
      <c r="H121" s="206">
        <f>SUBTOTAL(9,H120:H120)</f>
        <v>0</v>
      </c>
      <c r="I121" s="206">
        <f>SUBTOTAL(9,I120:I120)</f>
        <v>0</v>
      </c>
      <c r="J121" s="206">
        <f>SUBTOTAL(9,J120:J120)</f>
        <v>0</v>
      </c>
    </row>
    <row r="122" spans="1:13" s="201" customFormat="1" ht="13.5" outlineLevel="1" thickBot="1">
      <c r="A122" s="3" t="s">
        <v>544</v>
      </c>
      <c r="B122" s="3" t="s">
        <v>429</v>
      </c>
      <c r="C122" s="3" t="s">
        <v>430</v>
      </c>
      <c r="D122" s="3" t="s">
        <v>219</v>
      </c>
      <c r="E122" s="216" t="s">
        <v>545</v>
      </c>
      <c r="F122" s="217"/>
      <c r="G122" s="218"/>
      <c r="H122" s="199"/>
      <c r="I122" s="199"/>
      <c r="J122" s="199"/>
    </row>
    <row r="123" spans="1:13" ht="13.5" outlineLevel="2" thickBot="1">
      <c r="A123" s="3" t="str">
        <f>B123&amp;C123&amp;D123</f>
        <v>O&amp;M Mobilization BudgetOperating ExpensesInsurance</v>
      </c>
      <c r="B123" s="3" t="s">
        <v>429</v>
      </c>
      <c r="C123" s="3" t="s">
        <v>430</v>
      </c>
      <c r="D123" s="3" t="s">
        <v>219</v>
      </c>
      <c r="E123" s="202" t="s">
        <v>1067</v>
      </c>
      <c r="F123" s="40" t="s">
        <v>1085</v>
      </c>
      <c r="G123" s="203"/>
      <c r="H123" s="204">
        <f>200*Plt_Staff!B22/2</f>
        <v>700</v>
      </c>
      <c r="I123" s="204">
        <f>H123-J123</f>
        <v>700</v>
      </c>
      <c r="J123" s="204"/>
      <c r="L123" s="3"/>
      <c r="M123" s="3" t="s">
        <v>1071</v>
      </c>
    </row>
    <row r="124" spans="1:13" ht="13.5" outlineLevel="2" thickBot="1">
      <c r="E124" s="202" t="s">
        <v>1068</v>
      </c>
      <c r="F124" s="40" t="s">
        <v>1070</v>
      </c>
      <c r="G124" s="203"/>
      <c r="H124" s="204">
        <f>0.5*400</f>
        <v>200</v>
      </c>
      <c r="I124" s="204"/>
      <c r="J124" s="204"/>
      <c r="L124" s="3"/>
      <c r="M124" s="3"/>
    </row>
    <row r="125" spans="1:13" ht="13.5" outlineLevel="2" thickBot="1">
      <c r="A125" s="3" t="str">
        <f>B125&amp;C125&amp;D125</f>
        <v>O&amp;M Mobilization BudgetOperating ExpensesInsurance</v>
      </c>
      <c r="B125" s="3" t="s">
        <v>429</v>
      </c>
      <c r="C125" s="3" t="s">
        <v>430</v>
      </c>
      <c r="D125" s="3" t="s">
        <v>219</v>
      </c>
      <c r="E125" s="202" t="s">
        <v>1069</v>
      </c>
      <c r="F125" s="40" t="s">
        <v>1084</v>
      </c>
      <c r="G125" s="203"/>
      <c r="H125" s="204">
        <f ca="1">L125*'O&amp;M_Estimate'!G47</f>
        <v>1651.9490713655557</v>
      </c>
      <c r="I125" s="204"/>
      <c r="J125" s="204"/>
      <c r="L125" s="3">
        <f>1500/1000000</f>
        <v>1.5E-3</v>
      </c>
      <c r="M125" s="3"/>
    </row>
    <row r="126" spans="1:13" s="201" customFormat="1" ht="13.5" outlineLevel="1" thickBot="1">
      <c r="A126" s="201" t="s">
        <v>546</v>
      </c>
      <c r="B126" s="201" t="s">
        <v>429</v>
      </c>
      <c r="C126" s="201" t="s">
        <v>430</v>
      </c>
      <c r="D126" s="201" t="s">
        <v>219</v>
      </c>
      <c r="E126" s="202"/>
      <c r="F126" s="40"/>
      <c r="G126" s="205" t="s">
        <v>438</v>
      </c>
      <c r="H126" s="206">
        <f ca="1">SUBTOTAL(9,H123:H125)</f>
        <v>2551.9490713655559</v>
      </c>
      <c r="I126" s="206">
        <f>SUBTOTAL(9,I123:I125)</f>
        <v>700</v>
      </c>
      <c r="J126" s="206">
        <f>SUBTOTAL(9,J123:J125)</f>
        <v>0</v>
      </c>
    </row>
    <row r="127" spans="1:13" s="201" customFormat="1" ht="13.5" outlineLevel="1" thickBot="1">
      <c r="E127" s="216" t="s">
        <v>220</v>
      </c>
      <c r="F127" s="217"/>
      <c r="G127" s="218"/>
      <c r="H127" s="199"/>
      <c r="I127" s="199"/>
      <c r="J127" s="199"/>
    </row>
    <row r="128" spans="1:13" s="201" customFormat="1" ht="13.5" outlineLevel="1" thickBot="1">
      <c r="E128" s="219" t="s">
        <v>220</v>
      </c>
      <c r="F128" s="20" t="s">
        <v>547</v>
      </c>
      <c r="G128" s="220"/>
      <c r="H128" s="221">
        <f>1*350*30</f>
        <v>10500</v>
      </c>
      <c r="I128" s="204">
        <f>H128</f>
        <v>10500</v>
      </c>
      <c r="J128" s="204">
        <f>H128-I128</f>
        <v>0</v>
      </c>
    </row>
    <row r="129" spans="1:13" s="201" customFormat="1" ht="13.5" outlineLevel="1" thickBot="1">
      <c r="E129" s="219" t="s">
        <v>548</v>
      </c>
      <c r="F129" s="20" t="s">
        <v>549</v>
      </c>
      <c r="G129" s="220"/>
      <c r="H129" s="221">
        <f>1*125*30</f>
        <v>3750</v>
      </c>
      <c r="I129" s="204">
        <f>H129</f>
        <v>3750</v>
      </c>
      <c r="J129" s="204">
        <f>H129-I129</f>
        <v>0</v>
      </c>
    </row>
    <row r="130" spans="1:13" s="201" customFormat="1" ht="13.5" outlineLevel="1" thickBot="1">
      <c r="E130" s="219" t="s">
        <v>550</v>
      </c>
      <c r="F130" s="20" t="s">
        <v>551</v>
      </c>
      <c r="G130" s="220"/>
      <c r="H130" s="221">
        <v>1000</v>
      </c>
      <c r="I130" s="204">
        <f>H130</f>
        <v>1000</v>
      </c>
      <c r="J130" s="204">
        <f>H130-I130</f>
        <v>0</v>
      </c>
    </row>
    <row r="131" spans="1:13" s="201" customFormat="1" ht="13.5" outlineLevel="1" thickBot="1">
      <c r="E131" s="219"/>
      <c r="F131" s="20"/>
      <c r="G131" s="220"/>
      <c r="H131" s="221"/>
      <c r="I131" s="204">
        <f>H131</f>
        <v>0</v>
      </c>
      <c r="J131" s="204">
        <f>H131-I131</f>
        <v>0</v>
      </c>
    </row>
    <row r="132" spans="1:13" s="201" customFormat="1" ht="13.5" outlineLevel="1" thickBot="1">
      <c r="E132" s="219"/>
      <c r="F132" s="20"/>
      <c r="G132" s="220"/>
      <c r="H132" s="221"/>
      <c r="I132" s="222"/>
      <c r="J132" s="222"/>
    </row>
    <row r="133" spans="1:13" s="201" customFormat="1" ht="13.5" outlineLevel="1" thickBot="1">
      <c r="E133" s="219" t="s">
        <v>552</v>
      </c>
      <c r="F133" s="20"/>
      <c r="G133" s="223" t="s">
        <v>438</v>
      </c>
      <c r="H133" s="224">
        <f>SUBTOTAL(9,H128:H131)</f>
        <v>15250</v>
      </c>
      <c r="I133" s="224">
        <f>SUBTOTAL(9,I128:I131)</f>
        <v>15250</v>
      </c>
      <c r="J133" s="224">
        <f>SUBTOTAL(9,J128:J131)</f>
        <v>0</v>
      </c>
    </row>
    <row r="134" spans="1:13" s="201" customFormat="1" ht="13.5" outlineLevel="1" thickBot="1">
      <c r="A134" s="3" t="s">
        <v>553</v>
      </c>
      <c r="B134" s="3" t="s">
        <v>429</v>
      </c>
      <c r="C134" s="3" t="s">
        <v>554</v>
      </c>
      <c r="D134" s="3" t="s">
        <v>555</v>
      </c>
      <c r="E134" s="216" t="s">
        <v>555</v>
      </c>
      <c r="F134" s="217"/>
      <c r="G134" s="218"/>
      <c r="H134" s="199"/>
      <c r="I134" s="199"/>
      <c r="J134" s="199"/>
    </row>
    <row r="135" spans="1:13" ht="13.5" outlineLevel="2" thickBot="1">
      <c r="A135" s="3" t="str">
        <f t="shared" ref="A135:A149" si="10">B135&amp;C135&amp;D135</f>
        <v>O&amp;M Mobilization BudgetProcurement ExpensesOffice Furnishings, Equipment, Supplies</v>
      </c>
      <c r="B135" s="3" t="s">
        <v>429</v>
      </c>
      <c r="C135" s="3" t="s">
        <v>554</v>
      </c>
      <c r="D135" s="3" t="s">
        <v>555</v>
      </c>
      <c r="E135" s="202" t="s">
        <v>556</v>
      </c>
      <c r="F135" s="40" t="s">
        <v>557</v>
      </c>
      <c r="G135" s="203"/>
      <c r="H135" s="204">
        <v>3200</v>
      </c>
      <c r="I135" s="204">
        <f t="shared" ref="I135:I167" si="11">H135</f>
        <v>3200</v>
      </c>
      <c r="J135" s="204">
        <f t="shared" ref="J135:J167" si="12">H135-I135</f>
        <v>0</v>
      </c>
      <c r="L135" s="3"/>
      <c r="M135" s="3"/>
    </row>
    <row r="136" spans="1:13" ht="13.5" outlineLevel="2" thickBot="1">
      <c r="A136" s="3" t="str">
        <f t="shared" si="10"/>
        <v>O&amp;M Mobilization BudgetProcurement ExpensesOffice Furnishings, Equipment, Supplies</v>
      </c>
      <c r="B136" s="3" t="s">
        <v>429</v>
      </c>
      <c r="C136" s="3" t="s">
        <v>554</v>
      </c>
      <c r="D136" s="3" t="s">
        <v>555</v>
      </c>
      <c r="E136" s="202" t="s">
        <v>558</v>
      </c>
      <c r="F136" s="40" t="s">
        <v>559</v>
      </c>
      <c r="G136" s="203"/>
      <c r="H136" s="204">
        <v>1500</v>
      </c>
      <c r="I136" s="204">
        <f t="shared" si="11"/>
        <v>1500</v>
      </c>
      <c r="J136" s="204">
        <f t="shared" si="12"/>
        <v>0</v>
      </c>
      <c r="L136" s="3"/>
      <c r="M136" s="3"/>
    </row>
    <row r="137" spans="1:13" ht="13.5" outlineLevel="2" thickBot="1">
      <c r="A137" s="3" t="str">
        <f t="shared" si="10"/>
        <v>O&amp;M Mobilization BudgetProcurement ExpensesOffice Furnishings, Equipment, Supplies</v>
      </c>
      <c r="B137" s="3" t="s">
        <v>429</v>
      </c>
      <c r="C137" s="3" t="s">
        <v>554</v>
      </c>
      <c r="D137" s="3" t="s">
        <v>555</v>
      </c>
      <c r="E137" s="202" t="s">
        <v>560</v>
      </c>
      <c r="F137" s="40" t="s">
        <v>561</v>
      </c>
      <c r="G137" s="203"/>
      <c r="H137" s="204">
        <v>750</v>
      </c>
      <c r="I137" s="204">
        <f t="shared" si="11"/>
        <v>750</v>
      </c>
      <c r="J137" s="204">
        <f t="shared" si="12"/>
        <v>0</v>
      </c>
      <c r="L137" s="3"/>
      <c r="M137" s="3"/>
    </row>
    <row r="138" spans="1:13" ht="13.5" outlineLevel="2" thickBot="1">
      <c r="A138" s="3" t="str">
        <f t="shared" si="10"/>
        <v>O&amp;M Mobilization BudgetProcurement ExpensesOffice Furnishings, Equipment, Supplies</v>
      </c>
      <c r="B138" s="3" t="s">
        <v>429</v>
      </c>
      <c r="C138" s="3" t="s">
        <v>554</v>
      </c>
      <c r="D138" s="3" t="s">
        <v>555</v>
      </c>
      <c r="E138" s="202" t="s">
        <v>562</v>
      </c>
      <c r="F138" s="40" t="s">
        <v>563</v>
      </c>
      <c r="G138" s="203"/>
      <c r="H138" s="204">
        <f>4*200</f>
        <v>800</v>
      </c>
      <c r="I138" s="204">
        <f t="shared" si="11"/>
        <v>800</v>
      </c>
      <c r="J138" s="204">
        <f t="shared" si="12"/>
        <v>0</v>
      </c>
      <c r="L138" s="3"/>
      <c r="M138" s="3"/>
    </row>
    <row r="139" spans="1:13" ht="13.5" outlineLevel="2" thickBot="1">
      <c r="A139" s="3" t="str">
        <f t="shared" si="10"/>
        <v>O&amp;M Mobilization BudgetProcurement ExpensesOffice Furnishings, Equipment, Supplies</v>
      </c>
      <c r="B139" s="3" t="s">
        <v>429</v>
      </c>
      <c r="C139" s="3" t="s">
        <v>554</v>
      </c>
      <c r="D139" s="3" t="s">
        <v>555</v>
      </c>
      <c r="E139" s="202" t="s">
        <v>564</v>
      </c>
      <c r="F139" s="40" t="s">
        <v>565</v>
      </c>
      <c r="G139" s="203"/>
      <c r="H139" s="204">
        <v>500</v>
      </c>
      <c r="I139" s="204">
        <f t="shared" si="11"/>
        <v>500</v>
      </c>
      <c r="J139" s="204">
        <f t="shared" si="12"/>
        <v>0</v>
      </c>
      <c r="L139" s="3"/>
      <c r="M139" s="3"/>
    </row>
    <row r="140" spans="1:13" ht="13.5" outlineLevel="2" thickBot="1">
      <c r="A140" s="3" t="str">
        <f t="shared" si="10"/>
        <v>O&amp;M Mobilization BudgetProcurement ExpensesOffice Furnishings, Equipment, Supplies</v>
      </c>
      <c r="B140" s="3" t="s">
        <v>429</v>
      </c>
      <c r="C140" s="3" t="s">
        <v>554</v>
      </c>
      <c r="D140" s="3" t="s">
        <v>555</v>
      </c>
      <c r="E140" s="202" t="s">
        <v>566</v>
      </c>
      <c r="F140" s="40" t="s">
        <v>1065</v>
      </c>
      <c r="G140" s="203"/>
      <c r="H140" s="204">
        <f>6*150+1000</f>
        <v>1900</v>
      </c>
      <c r="I140" s="204">
        <f t="shared" si="11"/>
        <v>1900</v>
      </c>
      <c r="J140" s="204">
        <f t="shared" si="12"/>
        <v>0</v>
      </c>
      <c r="L140" s="3"/>
      <c r="M140" s="3"/>
    </row>
    <row r="141" spans="1:13" ht="13.5" outlineLevel="2" thickBot="1">
      <c r="A141" s="3" t="str">
        <f t="shared" si="10"/>
        <v>O&amp;M Mobilization BudgetProcurement ExpensesOffice Furnishings, Equipment, Supplies</v>
      </c>
      <c r="B141" s="3" t="s">
        <v>429</v>
      </c>
      <c r="C141" s="3" t="s">
        <v>554</v>
      </c>
      <c r="D141" s="3" t="s">
        <v>555</v>
      </c>
      <c r="E141" s="202" t="s">
        <v>567</v>
      </c>
      <c r="F141" s="40" t="s">
        <v>568</v>
      </c>
      <c r="G141" s="203"/>
      <c r="H141" s="204">
        <v>0</v>
      </c>
      <c r="I141" s="204">
        <f t="shared" si="11"/>
        <v>0</v>
      </c>
      <c r="J141" s="204">
        <f t="shared" si="12"/>
        <v>0</v>
      </c>
      <c r="L141" s="3"/>
      <c r="M141" s="3"/>
    </row>
    <row r="142" spans="1:13" ht="13.5" outlineLevel="2" thickBot="1">
      <c r="A142" s="3" t="str">
        <f t="shared" si="10"/>
        <v>O&amp;M Mobilization BudgetProcurement ExpensesOffice Furnishings, Equipment, Supplies</v>
      </c>
      <c r="B142" s="3" t="s">
        <v>429</v>
      </c>
      <c r="C142" s="3" t="s">
        <v>554</v>
      </c>
      <c r="D142" s="3" t="s">
        <v>555</v>
      </c>
      <c r="E142" s="202" t="s">
        <v>569</v>
      </c>
      <c r="F142" s="40" t="s">
        <v>570</v>
      </c>
      <c r="G142" s="203"/>
      <c r="H142" s="204">
        <v>0</v>
      </c>
      <c r="I142" s="204">
        <f t="shared" si="11"/>
        <v>0</v>
      </c>
      <c r="J142" s="204">
        <f t="shared" si="12"/>
        <v>0</v>
      </c>
      <c r="L142" s="3"/>
      <c r="M142" s="3"/>
    </row>
    <row r="143" spans="1:13" ht="13.5" outlineLevel="2" thickBot="1">
      <c r="A143" s="3" t="str">
        <f t="shared" si="10"/>
        <v>O&amp;M Mobilization BudgetProcurement ExpensesOffice Furnishings, Equipment, Supplies</v>
      </c>
      <c r="B143" s="3" t="s">
        <v>429</v>
      </c>
      <c r="C143" s="3" t="s">
        <v>554</v>
      </c>
      <c r="D143" s="3" t="s">
        <v>555</v>
      </c>
      <c r="E143" s="202" t="s">
        <v>571</v>
      </c>
      <c r="F143" s="40" t="s">
        <v>1066</v>
      </c>
      <c r="G143" s="203"/>
      <c r="H143" s="204">
        <v>150</v>
      </c>
      <c r="I143" s="204">
        <f t="shared" si="11"/>
        <v>150</v>
      </c>
      <c r="J143" s="204">
        <f t="shared" si="12"/>
        <v>0</v>
      </c>
      <c r="L143" s="3"/>
      <c r="M143" s="3"/>
    </row>
    <row r="144" spans="1:13" ht="13.5" outlineLevel="2" thickBot="1">
      <c r="A144" s="3" t="str">
        <f t="shared" si="10"/>
        <v>O&amp;M Mobilization BudgetProcurement ExpensesOffice Furnishings, Equipment, Supplies</v>
      </c>
      <c r="B144" s="3" t="s">
        <v>429</v>
      </c>
      <c r="C144" s="3" t="s">
        <v>554</v>
      </c>
      <c r="D144" s="3" t="s">
        <v>555</v>
      </c>
      <c r="E144" s="202" t="s">
        <v>572</v>
      </c>
      <c r="F144" s="40" t="s">
        <v>573</v>
      </c>
      <c r="G144" s="203"/>
      <c r="H144" s="204">
        <v>150</v>
      </c>
      <c r="I144" s="204">
        <f t="shared" si="11"/>
        <v>150</v>
      </c>
      <c r="J144" s="204">
        <f t="shared" si="12"/>
        <v>0</v>
      </c>
      <c r="L144" s="3"/>
      <c r="M144" s="3"/>
    </row>
    <row r="145" spans="1:13" ht="13.5" outlineLevel="2" thickBot="1">
      <c r="A145" s="3" t="str">
        <f t="shared" si="10"/>
        <v>O&amp;M Mobilization BudgetProcurement ExpensesOffice Furnishings, Equipment, Supplies</v>
      </c>
      <c r="B145" s="3" t="s">
        <v>429</v>
      </c>
      <c r="C145" s="3" t="s">
        <v>554</v>
      </c>
      <c r="D145" s="3" t="s">
        <v>555</v>
      </c>
      <c r="E145" s="202" t="s">
        <v>574</v>
      </c>
      <c r="F145" s="40" t="s">
        <v>575</v>
      </c>
      <c r="G145" s="203"/>
      <c r="H145" s="204">
        <f>1*750</f>
        <v>750</v>
      </c>
      <c r="I145" s="204">
        <f t="shared" si="11"/>
        <v>750</v>
      </c>
      <c r="J145" s="204">
        <f t="shared" si="12"/>
        <v>0</v>
      </c>
      <c r="L145" s="3"/>
      <c r="M145" s="3"/>
    </row>
    <row r="146" spans="1:13" ht="13.5" outlineLevel="2" thickBot="1">
      <c r="A146" s="3" t="str">
        <f t="shared" si="10"/>
        <v>O&amp;M Mobilization BudgetProcurement ExpensesOffice Furnishings, Equipment, Supplies</v>
      </c>
      <c r="B146" s="3" t="s">
        <v>429</v>
      </c>
      <c r="C146" s="3" t="s">
        <v>554</v>
      </c>
      <c r="D146" s="3" t="s">
        <v>555</v>
      </c>
      <c r="E146" s="202" t="s">
        <v>576</v>
      </c>
      <c r="F146" s="40"/>
      <c r="G146" s="203"/>
      <c r="H146" s="204">
        <v>500</v>
      </c>
      <c r="I146" s="204">
        <f t="shared" si="11"/>
        <v>500</v>
      </c>
      <c r="J146" s="204">
        <f t="shared" si="12"/>
        <v>0</v>
      </c>
      <c r="L146" s="3"/>
      <c r="M146" s="3"/>
    </row>
    <row r="147" spans="1:13" ht="13.5" outlineLevel="2" thickBot="1">
      <c r="A147" s="3" t="str">
        <f t="shared" si="10"/>
        <v>O&amp;M Mobilization BudgetProcurement ExpensesOffice Furnishings, Equipment, Supplies</v>
      </c>
      <c r="B147" s="3" t="s">
        <v>429</v>
      </c>
      <c r="C147" s="3" t="s">
        <v>554</v>
      </c>
      <c r="D147" s="3" t="s">
        <v>555</v>
      </c>
      <c r="E147" s="202" t="s">
        <v>577</v>
      </c>
      <c r="F147" s="40" t="s">
        <v>578</v>
      </c>
      <c r="G147" s="203"/>
      <c r="H147" s="204">
        <v>1000</v>
      </c>
      <c r="I147" s="204">
        <f t="shared" si="11"/>
        <v>1000</v>
      </c>
      <c r="J147" s="204">
        <f t="shared" si="12"/>
        <v>0</v>
      </c>
      <c r="L147" s="3"/>
      <c r="M147" s="3"/>
    </row>
    <row r="148" spans="1:13" ht="13.5" outlineLevel="2" thickBot="1">
      <c r="A148" s="3" t="str">
        <f t="shared" si="10"/>
        <v>O&amp;M Mobilization BudgetProcurement ExpensesOffice Furnishings, Equipment, Supplies</v>
      </c>
      <c r="B148" s="3" t="s">
        <v>429</v>
      </c>
      <c r="C148" s="3" t="s">
        <v>554</v>
      </c>
      <c r="D148" s="3" t="s">
        <v>555</v>
      </c>
      <c r="E148" s="202" t="s">
        <v>579</v>
      </c>
      <c r="F148" s="40" t="s">
        <v>580</v>
      </c>
      <c r="G148" s="203"/>
      <c r="H148" s="204">
        <v>15000</v>
      </c>
      <c r="I148" s="204">
        <f t="shared" si="11"/>
        <v>15000</v>
      </c>
      <c r="J148" s="204">
        <f t="shared" si="12"/>
        <v>0</v>
      </c>
      <c r="L148" s="3"/>
      <c r="M148" s="3"/>
    </row>
    <row r="149" spans="1:13" ht="13.5" outlineLevel="2" thickBot="1">
      <c r="A149" s="3" t="str">
        <f t="shared" si="10"/>
        <v>O&amp;M Mobilization BudgetProcurement ExpensesOffice Furnishings, Equipment, Supplies</v>
      </c>
      <c r="B149" s="3" t="s">
        <v>429</v>
      </c>
      <c r="C149" s="3" t="s">
        <v>554</v>
      </c>
      <c r="D149" s="3" t="s">
        <v>555</v>
      </c>
      <c r="E149" s="202" t="s">
        <v>581</v>
      </c>
      <c r="F149" s="40" t="s">
        <v>582</v>
      </c>
      <c r="G149" s="203"/>
      <c r="H149" s="204">
        <v>2500</v>
      </c>
      <c r="I149" s="204">
        <f t="shared" si="11"/>
        <v>2500</v>
      </c>
      <c r="J149" s="204">
        <f t="shared" si="12"/>
        <v>0</v>
      </c>
      <c r="L149" s="3"/>
      <c r="M149" s="3"/>
    </row>
    <row r="150" spans="1:13" ht="13.5" outlineLevel="2" thickBot="1">
      <c r="E150" s="202" t="s">
        <v>753</v>
      </c>
      <c r="F150" s="40" t="s">
        <v>754</v>
      </c>
      <c r="G150" s="203"/>
      <c r="H150" s="204">
        <v>20000</v>
      </c>
      <c r="I150" s="204">
        <f t="shared" si="11"/>
        <v>20000</v>
      </c>
      <c r="J150" s="204">
        <f t="shared" si="12"/>
        <v>0</v>
      </c>
      <c r="L150" s="3"/>
      <c r="M150" s="3"/>
    </row>
    <row r="151" spans="1:13" ht="13.5" outlineLevel="2" thickBot="1">
      <c r="E151" s="202" t="s">
        <v>755</v>
      </c>
      <c r="F151" s="40" t="s">
        <v>756</v>
      </c>
      <c r="G151" s="203"/>
      <c r="H151" s="204">
        <v>0</v>
      </c>
      <c r="I151" s="204">
        <f t="shared" si="11"/>
        <v>0</v>
      </c>
      <c r="J151" s="204">
        <f t="shared" si="12"/>
        <v>0</v>
      </c>
      <c r="L151" s="3"/>
      <c r="M151" s="3"/>
    </row>
    <row r="152" spans="1:13" ht="13.5" outlineLevel="2" thickBot="1">
      <c r="E152" s="202" t="s">
        <v>757</v>
      </c>
      <c r="F152" s="40" t="s">
        <v>758</v>
      </c>
      <c r="G152" s="203"/>
      <c r="H152" s="204">
        <v>0</v>
      </c>
      <c r="I152" s="204">
        <f t="shared" si="11"/>
        <v>0</v>
      </c>
      <c r="J152" s="204">
        <f t="shared" si="12"/>
        <v>0</v>
      </c>
      <c r="L152" s="3"/>
      <c r="M152" s="3"/>
    </row>
    <row r="153" spans="1:13" ht="13.5" outlineLevel="2" thickBot="1">
      <c r="E153" s="202" t="s">
        <v>757</v>
      </c>
      <c r="F153" s="40" t="s">
        <v>759</v>
      </c>
      <c r="G153" s="203"/>
      <c r="H153" s="204">
        <v>10000</v>
      </c>
      <c r="I153" s="204">
        <f t="shared" si="11"/>
        <v>10000</v>
      </c>
      <c r="J153" s="204">
        <f t="shared" si="12"/>
        <v>0</v>
      </c>
      <c r="L153" s="3"/>
      <c r="M153" s="3"/>
    </row>
    <row r="154" spans="1:13" ht="13.5" outlineLevel="2" thickBot="1">
      <c r="A154" s="3" t="str">
        <f t="shared" ref="A154:A162" si="13">B154&amp;C154&amp;D154</f>
        <v>O&amp;M Mobilization BudgetProcurement ExpensesOffice Furnishings, Equipment, Supplies</v>
      </c>
      <c r="B154" s="3" t="s">
        <v>429</v>
      </c>
      <c r="C154" s="3" t="s">
        <v>554</v>
      </c>
      <c r="D154" s="3" t="s">
        <v>555</v>
      </c>
      <c r="E154" s="202" t="s">
        <v>760</v>
      </c>
      <c r="F154" s="40" t="s">
        <v>761</v>
      </c>
      <c r="G154" s="203"/>
      <c r="H154" s="204">
        <v>8000</v>
      </c>
      <c r="I154" s="204">
        <f t="shared" si="11"/>
        <v>8000</v>
      </c>
      <c r="J154" s="204">
        <f t="shared" si="12"/>
        <v>0</v>
      </c>
      <c r="L154" s="3"/>
      <c r="M154" s="3"/>
    </row>
    <row r="155" spans="1:13" ht="13.5" outlineLevel="2" thickBot="1">
      <c r="A155" s="3" t="str">
        <f t="shared" si="13"/>
        <v>O&amp;M Mobilization BudgetProcurement ExpensesOffice Furnishings, Equipment, Supplies</v>
      </c>
      <c r="B155" s="3" t="s">
        <v>429</v>
      </c>
      <c r="C155" s="3" t="s">
        <v>554</v>
      </c>
      <c r="D155" s="3" t="s">
        <v>555</v>
      </c>
      <c r="E155" s="202" t="s">
        <v>762</v>
      </c>
      <c r="F155" s="40" t="s">
        <v>763</v>
      </c>
      <c r="G155" s="203"/>
      <c r="H155" s="204">
        <v>250</v>
      </c>
      <c r="I155" s="204">
        <f t="shared" si="11"/>
        <v>250</v>
      </c>
      <c r="J155" s="204">
        <f t="shared" si="12"/>
        <v>0</v>
      </c>
      <c r="L155" s="3"/>
      <c r="M155" s="3"/>
    </row>
    <row r="156" spans="1:13" ht="13.5" outlineLevel="2" thickBot="1">
      <c r="A156" s="3" t="str">
        <f t="shared" si="13"/>
        <v>O&amp;M Mobilization BudgetProcurement ExpensesOffice Furnishings, Equipment, Supplies</v>
      </c>
      <c r="B156" s="3" t="s">
        <v>429</v>
      </c>
      <c r="C156" s="3" t="s">
        <v>554</v>
      </c>
      <c r="D156" s="3" t="s">
        <v>555</v>
      </c>
      <c r="E156" s="202" t="s">
        <v>764</v>
      </c>
      <c r="F156" s="40" t="s">
        <v>765</v>
      </c>
      <c r="G156" s="203"/>
      <c r="H156" s="204">
        <v>3000</v>
      </c>
      <c r="I156" s="204">
        <f t="shared" si="11"/>
        <v>3000</v>
      </c>
      <c r="J156" s="204">
        <f t="shared" si="12"/>
        <v>0</v>
      </c>
      <c r="L156" s="3"/>
      <c r="M156" s="3"/>
    </row>
    <row r="157" spans="1:13" ht="13.5" outlineLevel="2" thickBot="1">
      <c r="A157" s="3" t="str">
        <f t="shared" si="13"/>
        <v>O&amp;M Mobilization BudgetProcurement ExpensesOffice Furnishings, Equipment, Supplies</v>
      </c>
      <c r="B157" s="3" t="s">
        <v>429</v>
      </c>
      <c r="C157" s="3" t="s">
        <v>554</v>
      </c>
      <c r="D157" s="3" t="s">
        <v>555</v>
      </c>
      <c r="E157" s="202" t="s">
        <v>766</v>
      </c>
      <c r="F157" s="40" t="s">
        <v>767</v>
      </c>
      <c r="G157" s="203"/>
      <c r="H157" s="204">
        <v>100</v>
      </c>
      <c r="I157" s="204">
        <f t="shared" si="11"/>
        <v>100</v>
      </c>
      <c r="J157" s="204">
        <f t="shared" si="12"/>
        <v>0</v>
      </c>
      <c r="L157" s="3"/>
      <c r="M157" s="3"/>
    </row>
    <row r="158" spans="1:13" ht="13.5" outlineLevel="2" thickBot="1">
      <c r="A158" s="3" t="str">
        <f t="shared" si="13"/>
        <v>O&amp;M Mobilization BudgetProcurement ExpensesOffice Furnishings, Equipment, Supplies</v>
      </c>
      <c r="B158" s="3" t="s">
        <v>429</v>
      </c>
      <c r="C158" s="3" t="s">
        <v>554</v>
      </c>
      <c r="D158" s="3" t="s">
        <v>555</v>
      </c>
      <c r="E158" s="202" t="s">
        <v>768</v>
      </c>
      <c r="F158" s="40" t="s">
        <v>769</v>
      </c>
      <c r="G158" s="203"/>
      <c r="H158" s="204">
        <v>400</v>
      </c>
      <c r="I158" s="204">
        <f t="shared" si="11"/>
        <v>400</v>
      </c>
      <c r="J158" s="204">
        <f t="shared" si="12"/>
        <v>0</v>
      </c>
      <c r="L158" s="3"/>
      <c r="M158" s="3"/>
    </row>
    <row r="159" spans="1:13" ht="13.5" outlineLevel="2" thickBot="1">
      <c r="A159" s="3" t="str">
        <f t="shared" si="13"/>
        <v>O&amp;M Mobilization BudgetProcurement ExpensesOffice Furnishings, Equipment, Supplies</v>
      </c>
      <c r="B159" s="3" t="s">
        <v>429</v>
      </c>
      <c r="C159" s="3" t="s">
        <v>554</v>
      </c>
      <c r="D159" s="3" t="s">
        <v>555</v>
      </c>
      <c r="E159" s="202" t="s">
        <v>770</v>
      </c>
      <c r="F159" s="40" t="s">
        <v>771</v>
      </c>
      <c r="G159" s="203"/>
      <c r="H159" s="204">
        <v>2000</v>
      </c>
      <c r="I159" s="204">
        <f t="shared" si="11"/>
        <v>2000</v>
      </c>
      <c r="J159" s="204">
        <f t="shared" si="12"/>
        <v>0</v>
      </c>
      <c r="L159" s="3"/>
      <c r="M159" s="3"/>
    </row>
    <row r="160" spans="1:13" ht="13.5" outlineLevel="2" thickBot="1">
      <c r="A160" s="3" t="str">
        <f t="shared" si="13"/>
        <v>O&amp;M Mobilization BudgetProcurement ExpensesOffice Furnishings, Equipment, Supplies</v>
      </c>
      <c r="B160" s="3" t="s">
        <v>429</v>
      </c>
      <c r="C160" s="3" t="s">
        <v>554</v>
      </c>
      <c r="D160" s="3" t="s">
        <v>555</v>
      </c>
      <c r="E160" s="202"/>
      <c r="F160" s="40"/>
      <c r="G160" s="203"/>
      <c r="H160" s="204"/>
      <c r="I160" s="204">
        <f t="shared" si="11"/>
        <v>0</v>
      </c>
      <c r="J160" s="204">
        <f t="shared" si="12"/>
        <v>0</v>
      </c>
      <c r="L160" s="3"/>
      <c r="M160" s="3"/>
    </row>
    <row r="161" spans="1:13" ht="13.5" outlineLevel="2" thickBot="1">
      <c r="A161" s="3" t="str">
        <f t="shared" si="13"/>
        <v>O&amp;M Mobilization BudgetProcurement ExpensesOffice Furnishings, Equipment, Supplies</v>
      </c>
      <c r="B161" s="3" t="s">
        <v>429</v>
      </c>
      <c r="C161" s="3" t="s">
        <v>554</v>
      </c>
      <c r="D161" s="3" t="s">
        <v>555</v>
      </c>
      <c r="E161" s="202" t="s">
        <v>772</v>
      </c>
      <c r="F161" s="40" t="s">
        <v>773</v>
      </c>
      <c r="G161" s="203"/>
      <c r="H161" s="204">
        <v>400</v>
      </c>
      <c r="I161" s="204">
        <f t="shared" si="11"/>
        <v>400</v>
      </c>
      <c r="J161" s="204">
        <f t="shared" si="12"/>
        <v>0</v>
      </c>
      <c r="L161" s="3"/>
      <c r="M161" s="3"/>
    </row>
    <row r="162" spans="1:13" ht="13.5" outlineLevel="2" thickBot="1">
      <c r="A162" s="3" t="str">
        <f t="shared" si="13"/>
        <v>O&amp;M Mobilization BudgetProcurement ExpensesOffice Furnishings, Equipment, Supplies</v>
      </c>
      <c r="B162" s="3" t="s">
        <v>429</v>
      </c>
      <c r="C162" s="3" t="s">
        <v>554</v>
      </c>
      <c r="D162" s="3" t="s">
        <v>555</v>
      </c>
      <c r="E162" s="202" t="s">
        <v>774</v>
      </c>
      <c r="F162" s="40" t="s">
        <v>769</v>
      </c>
      <c r="G162" s="203"/>
      <c r="H162" s="204">
        <v>400</v>
      </c>
      <c r="I162" s="204">
        <f t="shared" si="11"/>
        <v>400</v>
      </c>
      <c r="J162" s="204">
        <f t="shared" si="12"/>
        <v>0</v>
      </c>
      <c r="L162" s="3"/>
      <c r="M162" s="3"/>
    </row>
    <row r="163" spans="1:13" ht="13.5" outlineLevel="2" thickBot="1">
      <c r="E163" s="202" t="s">
        <v>775</v>
      </c>
      <c r="F163" s="40" t="s">
        <v>776</v>
      </c>
      <c r="G163" s="203"/>
      <c r="H163" s="204">
        <v>1000</v>
      </c>
      <c r="I163" s="204">
        <f t="shared" si="11"/>
        <v>1000</v>
      </c>
      <c r="J163" s="204">
        <f t="shared" si="12"/>
        <v>0</v>
      </c>
      <c r="L163" s="3"/>
      <c r="M163" s="3"/>
    </row>
    <row r="164" spans="1:13" ht="13.5" outlineLevel="2" thickBot="1">
      <c r="A164" s="3" t="str">
        <f>B164&amp;C164&amp;D164</f>
        <v>O&amp;M Mobilization BudgetProcurement ExpensesOffice Furnishings, Equipment, Supplies</v>
      </c>
      <c r="B164" s="3" t="s">
        <v>429</v>
      </c>
      <c r="C164" s="3" t="s">
        <v>554</v>
      </c>
      <c r="D164" s="3" t="s">
        <v>555</v>
      </c>
      <c r="E164" s="202" t="s">
        <v>777</v>
      </c>
      <c r="F164" s="40" t="s">
        <v>778</v>
      </c>
      <c r="G164" s="203"/>
      <c r="H164" s="204">
        <v>1200</v>
      </c>
      <c r="I164" s="204">
        <f t="shared" si="11"/>
        <v>1200</v>
      </c>
      <c r="J164" s="204">
        <f t="shared" si="12"/>
        <v>0</v>
      </c>
      <c r="L164" s="3"/>
      <c r="M164" s="3"/>
    </row>
    <row r="165" spans="1:13" ht="13.5" outlineLevel="2" thickBot="1">
      <c r="E165" s="202" t="s">
        <v>779</v>
      </c>
      <c r="F165" s="40"/>
      <c r="G165" s="203"/>
      <c r="H165" s="204">
        <v>5000</v>
      </c>
      <c r="I165" s="204">
        <f t="shared" si="11"/>
        <v>5000</v>
      </c>
      <c r="J165" s="204">
        <f t="shared" si="12"/>
        <v>0</v>
      </c>
      <c r="L165" s="3"/>
      <c r="M165" s="3"/>
    </row>
    <row r="166" spans="1:13" ht="13.5" outlineLevel="2" thickBot="1">
      <c r="E166" s="202" t="s">
        <v>780</v>
      </c>
      <c r="F166" s="40"/>
      <c r="G166" s="203"/>
      <c r="H166" s="204">
        <v>1000</v>
      </c>
      <c r="I166" s="204">
        <f t="shared" si="11"/>
        <v>1000</v>
      </c>
      <c r="J166" s="204">
        <f t="shared" si="12"/>
        <v>0</v>
      </c>
      <c r="L166" s="3"/>
      <c r="M166" s="3"/>
    </row>
    <row r="167" spans="1:13" ht="13.5" outlineLevel="2" thickBot="1">
      <c r="E167" s="202" t="s">
        <v>538</v>
      </c>
      <c r="F167" s="40" t="s">
        <v>781</v>
      </c>
      <c r="G167" s="203"/>
      <c r="H167" s="204">
        <f>SUM(H135:H166)*0.05</f>
        <v>4072.5</v>
      </c>
      <c r="I167" s="204">
        <f t="shared" si="11"/>
        <v>4072.5</v>
      </c>
      <c r="J167" s="204">
        <f t="shared" si="12"/>
        <v>0</v>
      </c>
      <c r="L167" s="3"/>
      <c r="M167" s="3"/>
    </row>
    <row r="168" spans="1:13" ht="13.5" outlineLevel="2" thickBot="1">
      <c r="E168" s="202"/>
      <c r="F168" s="40"/>
      <c r="G168" s="203"/>
      <c r="H168" s="204"/>
      <c r="I168" s="204"/>
      <c r="J168" s="204"/>
      <c r="L168" s="3"/>
      <c r="M168" s="3"/>
    </row>
    <row r="169" spans="1:13" s="201" customFormat="1" ht="13.5" outlineLevel="1" thickBot="1">
      <c r="A169" s="201" t="s">
        <v>782</v>
      </c>
      <c r="B169" s="201" t="s">
        <v>429</v>
      </c>
      <c r="C169" s="201" t="s">
        <v>554</v>
      </c>
      <c r="D169" s="201" t="s">
        <v>555</v>
      </c>
      <c r="E169" s="202"/>
      <c r="F169" s="40"/>
      <c r="G169" s="205" t="s">
        <v>438</v>
      </c>
      <c r="H169" s="206">
        <f>SUBTOTAL(9,H135:H168)</f>
        <v>85522.5</v>
      </c>
      <c r="I169" s="206">
        <f>SUBTOTAL(9,I135:I168)</f>
        <v>85522.5</v>
      </c>
      <c r="J169" s="206">
        <f>SUBTOTAL(9,J135:J168)</f>
        <v>0</v>
      </c>
    </row>
    <row r="170" spans="1:13" s="201" customFormat="1" ht="13.5" outlineLevel="1" thickBot="1">
      <c r="A170" s="3" t="s">
        <v>783</v>
      </c>
      <c r="B170" s="3" t="s">
        <v>429</v>
      </c>
      <c r="C170" s="3" t="s">
        <v>554</v>
      </c>
      <c r="D170" s="3" t="s">
        <v>784</v>
      </c>
      <c r="E170" s="216" t="s">
        <v>785</v>
      </c>
      <c r="F170" s="217"/>
      <c r="G170" s="218"/>
      <c r="H170" s="199"/>
      <c r="I170" s="199"/>
      <c r="J170" s="199"/>
    </row>
    <row r="171" spans="1:13" ht="13.5" outlineLevel="2" thickBot="1">
      <c r="A171" s="3" t="str">
        <f>B171&amp;C171&amp;D171</f>
        <v>O&amp;M Mobilization BudgetProcurement ExpensesSafety Equipment &amp; Supplies</v>
      </c>
      <c r="B171" s="3" t="s">
        <v>429</v>
      </c>
      <c r="C171" s="3" t="s">
        <v>554</v>
      </c>
      <c r="D171" s="3" t="s">
        <v>784</v>
      </c>
      <c r="E171" s="202" t="s">
        <v>786</v>
      </c>
      <c r="F171" s="40" t="s">
        <v>787</v>
      </c>
      <c r="G171" s="203"/>
      <c r="H171" s="204"/>
      <c r="I171" s="204">
        <f t="shared" ref="I171:I181" si="14">H171</f>
        <v>0</v>
      </c>
      <c r="J171" s="204">
        <f t="shared" ref="J171:J181" si="15">H171-I171</f>
        <v>0</v>
      </c>
      <c r="L171" s="3"/>
      <c r="M171" s="3"/>
    </row>
    <row r="172" spans="1:13" ht="13.5" outlineLevel="2" thickBot="1">
      <c r="E172" s="202"/>
      <c r="F172" s="40" t="s">
        <v>788</v>
      </c>
      <c r="G172" s="203"/>
      <c r="H172" s="204">
        <v>3000</v>
      </c>
      <c r="I172" s="204">
        <f t="shared" si="14"/>
        <v>3000</v>
      </c>
      <c r="J172" s="204">
        <f t="shared" si="15"/>
        <v>0</v>
      </c>
      <c r="L172" s="3"/>
      <c r="M172" s="3"/>
    </row>
    <row r="173" spans="1:13" ht="13.5" outlineLevel="2" thickBot="1">
      <c r="E173" s="202" t="s">
        <v>789</v>
      </c>
      <c r="F173" s="40" t="s">
        <v>790</v>
      </c>
      <c r="G173" s="203"/>
      <c r="H173" s="204">
        <f>10*120</f>
        <v>1200</v>
      </c>
      <c r="I173" s="204">
        <f t="shared" si="14"/>
        <v>1200</v>
      </c>
      <c r="J173" s="204">
        <f t="shared" si="15"/>
        <v>0</v>
      </c>
      <c r="L173" s="3"/>
      <c r="M173" s="3"/>
    </row>
    <row r="174" spans="1:13" ht="13.5" outlineLevel="2" thickBot="1">
      <c r="E174" s="202" t="s">
        <v>791</v>
      </c>
      <c r="F174" s="40"/>
      <c r="G174" s="203"/>
      <c r="H174" s="204">
        <v>7700</v>
      </c>
      <c r="I174" s="204">
        <f t="shared" si="14"/>
        <v>7700</v>
      </c>
      <c r="J174" s="204">
        <f t="shared" si="15"/>
        <v>0</v>
      </c>
      <c r="L174" s="3"/>
      <c r="M174" s="3"/>
    </row>
    <row r="175" spans="1:13" ht="13.5" outlineLevel="2" thickBot="1">
      <c r="E175" s="202" t="s">
        <v>792</v>
      </c>
      <c r="F175" s="40" t="s">
        <v>793</v>
      </c>
      <c r="G175" s="203"/>
      <c r="H175" s="204">
        <v>6000</v>
      </c>
      <c r="I175" s="204">
        <f t="shared" si="14"/>
        <v>6000</v>
      </c>
      <c r="J175" s="204">
        <f t="shared" si="15"/>
        <v>0</v>
      </c>
      <c r="L175" s="3"/>
      <c r="M175" s="3"/>
    </row>
    <row r="176" spans="1:13" ht="13.5" outlineLevel="2" thickBot="1">
      <c r="E176" s="202" t="s">
        <v>794</v>
      </c>
      <c r="F176" s="40" t="s">
        <v>795</v>
      </c>
      <c r="G176" s="203"/>
      <c r="H176" s="204">
        <v>2500</v>
      </c>
      <c r="I176" s="204">
        <f t="shared" si="14"/>
        <v>2500</v>
      </c>
      <c r="J176" s="204">
        <f t="shared" si="15"/>
        <v>0</v>
      </c>
      <c r="L176" s="3"/>
      <c r="M176" s="3"/>
    </row>
    <row r="177" spans="1:13" ht="13.5" outlineLevel="2" thickBot="1">
      <c r="E177" s="202" t="s">
        <v>796</v>
      </c>
      <c r="F177" s="40" t="s">
        <v>797</v>
      </c>
      <c r="G177" s="203"/>
      <c r="H177" s="204"/>
      <c r="I177" s="204">
        <f t="shared" si="14"/>
        <v>0</v>
      </c>
      <c r="J177" s="204">
        <f t="shared" si="15"/>
        <v>0</v>
      </c>
      <c r="L177" s="3"/>
      <c r="M177" s="3"/>
    </row>
    <row r="178" spans="1:13" ht="13.5" outlineLevel="2" thickBot="1">
      <c r="E178" s="202" t="s">
        <v>798</v>
      </c>
      <c r="F178" s="40"/>
      <c r="G178" s="203">
        <v>44700</v>
      </c>
      <c r="H178" s="204"/>
      <c r="I178" s="204">
        <f t="shared" si="14"/>
        <v>0</v>
      </c>
      <c r="J178" s="204">
        <f t="shared" si="15"/>
        <v>0</v>
      </c>
      <c r="L178" s="3"/>
      <c r="M178" s="3"/>
    </row>
    <row r="179" spans="1:13" ht="13.5" outlineLevel="2" thickBot="1">
      <c r="E179" s="202" t="s">
        <v>799</v>
      </c>
      <c r="F179" s="40"/>
      <c r="G179" s="203">
        <v>21000</v>
      </c>
      <c r="H179" s="204"/>
      <c r="I179" s="204">
        <f t="shared" si="14"/>
        <v>0</v>
      </c>
      <c r="J179" s="204">
        <f t="shared" si="15"/>
        <v>0</v>
      </c>
      <c r="L179" s="3"/>
      <c r="M179" s="3"/>
    </row>
    <row r="180" spans="1:13" ht="13.5" outlineLevel="2" thickBot="1">
      <c r="E180" s="202" t="s">
        <v>800</v>
      </c>
      <c r="F180" s="40"/>
      <c r="G180" s="203">
        <v>17600</v>
      </c>
      <c r="H180" s="204"/>
      <c r="I180" s="204">
        <f t="shared" si="14"/>
        <v>0</v>
      </c>
      <c r="J180" s="204">
        <f t="shared" si="15"/>
        <v>0</v>
      </c>
      <c r="L180" s="3"/>
      <c r="M180" s="3"/>
    </row>
    <row r="181" spans="1:13" ht="13.5" outlineLevel="2" thickBot="1">
      <c r="E181" s="202" t="s">
        <v>538</v>
      </c>
      <c r="F181" s="40" t="s">
        <v>781</v>
      </c>
      <c r="G181" s="203"/>
      <c r="H181" s="204">
        <f>0.05*SUM(H171:H177)</f>
        <v>1020</v>
      </c>
      <c r="I181" s="204">
        <f t="shared" si="14"/>
        <v>1020</v>
      </c>
      <c r="J181" s="204">
        <f t="shared" si="15"/>
        <v>0</v>
      </c>
      <c r="L181" s="3"/>
      <c r="M181" s="3"/>
    </row>
    <row r="182" spans="1:13" ht="13.5" outlineLevel="2" thickBot="1">
      <c r="E182" s="202"/>
      <c r="F182" s="40"/>
      <c r="G182" s="203"/>
      <c r="H182" s="204"/>
      <c r="I182" s="204"/>
      <c r="J182" s="204"/>
      <c r="L182" s="3"/>
      <c r="M182" s="3"/>
    </row>
    <row r="183" spans="1:13" s="201" customFormat="1" ht="13.5" outlineLevel="1" thickBot="1">
      <c r="A183" s="201" t="s">
        <v>801</v>
      </c>
      <c r="B183" s="201" t="s">
        <v>429</v>
      </c>
      <c r="C183" s="201" t="s">
        <v>554</v>
      </c>
      <c r="D183" s="201" t="s">
        <v>784</v>
      </c>
      <c r="E183" s="202"/>
      <c r="F183" s="40"/>
      <c r="G183" s="205" t="s">
        <v>438</v>
      </c>
      <c r="H183" s="206">
        <f>SUBTOTAL(9,H171:H182)</f>
        <v>21420</v>
      </c>
      <c r="I183" s="206">
        <f>SUBTOTAL(9,I171:I182)</f>
        <v>21420</v>
      </c>
      <c r="J183" s="206">
        <f>SUBTOTAL(9,J171:J182)</f>
        <v>0</v>
      </c>
    </row>
    <row r="184" spans="1:13" s="201" customFormat="1" ht="13.5" outlineLevel="1" thickBot="1">
      <c r="A184" s="3" t="s">
        <v>802</v>
      </c>
      <c r="B184" s="3" t="s">
        <v>429</v>
      </c>
      <c r="C184" s="3" t="s">
        <v>554</v>
      </c>
      <c r="D184" s="3" t="s">
        <v>386</v>
      </c>
      <c r="E184" s="216" t="s">
        <v>386</v>
      </c>
      <c r="F184" s="217"/>
      <c r="G184" s="218"/>
      <c r="H184" s="199"/>
      <c r="I184" s="199"/>
      <c r="J184" s="199"/>
    </row>
    <row r="185" spans="1:13" ht="13.5" outlineLevel="2" thickBot="1">
      <c r="A185" s="3" t="str">
        <f>B185&amp;C185&amp;D185</f>
        <v>O&amp;M Mobilization BudgetProcurement ExpensesVehicles &amp; Mobile Equipment</v>
      </c>
      <c r="B185" s="3" t="s">
        <v>429</v>
      </c>
      <c r="C185" s="3" t="s">
        <v>554</v>
      </c>
      <c r="D185" s="3" t="s">
        <v>386</v>
      </c>
      <c r="E185" s="202" t="s">
        <v>803</v>
      </c>
      <c r="F185" s="40"/>
      <c r="G185" s="203" t="s">
        <v>804</v>
      </c>
      <c r="H185" s="204"/>
      <c r="I185" s="204">
        <f t="shared" ref="I185:I199" si="16">H185</f>
        <v>0</v>
      </c>
      <c r="J185" s="204">
        <f t="shared" ref="J185:J199" si="17">H185-I185</f>
        <v>0</v>
      </c>
      <c r="L185" s="3"/>
      <c r="M185" s="3"/>
    </row>
    <row r="186" spans="1:13" ht="13.5" outlineLevel="2" thickBot="1">
      <c r="A186" s="3" t="str">
        <f>B186&amp;C186&amp;D186</f>
        <v>O&amp;M Mobilization BudgetProcurement ExpensesVehicles &amp; Mobile Equipment</v>
      </c>
      <c r="B186" s="3" t="s">
        <v>429</v>
      </c>
      <c r="C186" s="3" t="s">
        <v>554</v>
      </c>
      <c r="D186" s="3" t="s">
        <v>386</v>
      </c>
      <c r="E186" s="202" t="s">
        <v>805</v>
      </c>
      <c r="F186" s="40" t="s">
        <v>806</v>
      </c>
      <c r="G186" s="203" t="s">
        <v>807</v>
      </c>
      <c r="H186" s="204">
        <f>2000+700*6</f>
        <v>6200</v>
      </c>
      <c r="I186" s="204">
        <f t="shared" si="16"/>
        <v>6200</v>
      </c>
      <c r="J186" s="204">
        <f t="shared" si="17"/>
        <v>0</v>
      </c>
      <c r="L186" s="3"/>
      <c r="M186" s="3"/>
    </row>
    <row r="187" spans="1:13" ht="13.5" outlineLevel="2" thickBot="1">
      <c r="E187" s="202" t="s">
        <v>808</v>
      </c>
      <c r="F187" s="40"/>
      <c r="G187" s="203" t="s">
        <v>809</v>
      </c>
      <c r="H187" s="204"/>
      <c r="I187" s="204">
        <f t="shared" si="16"/>
        <v>0</v>
      </c>
      <c r="J187" s="204">
        <f t="shared" si="17"/>
        <v>0</v>
      </c>
      <c r="L187" s="3"/>
      <c r="M187" s="3"/>
    </row>
    <row r="188" spans="1:13" ht="13.5" outlineLevel="2" thickBot="1">
      <c r="A188" s="3" t="str">
        <f>B188&amp;C188&amp;D188</f>
        <v>O&amp;M Mobilization BudgetProcurement ExpensesVehicles &amp; Mobile Equipment</v>
      </c>
      <c r="B188" s="3" t="s">
        <v>429</v>
      </c>
      <c r="C188" s="3" t="s">
        <v>554</v>
      </c>
      <c r="D188" s="3" t="s">
        <v>386</v>
      </c>
      <c r="E188" s="202" t="s">
        <v>810</v>
      </c>
      <c r="F188" s="40"/>
      <c r="G188" s="203" t="s">
        <v>811</v>
      </c>
      <c r="H188" s="204"/>
      <c r="I188" s="204">
        <f t="shared" si="16"/>
        <v>0</v>
      </c>
      <c r="J188" s="204">
        <f t="shared" si="17"/>
        <v>0</v>
      </c>
      <c r="L188" s="3"/>
      <c r="M188" s="3"/>
    </row>
    <row r="189" spans="1:13" ht="13.5" outlineLevel="2" thickBot="1">
      <c r="E189" s="202" t="s">
        <v>812</v>
      </c>
      <c r="F189" s="40" t="s">
        <v>813</v>
      </c>
      <c r="G189" s="203" t="s">
        <v>814</v>
      </c>
      <c r="H189" s="204">
        <f>1000+2*500</f>
        <v>2000</v>
      </c>
      <c r="I189" s="204">
        <f t="shared" si="16"/>
        <v>2000</v>
      </c>
      <c r="J189" s="204">
        <f t="shared" si="17"/>
        <v>0</v>
      </c>
      <c r="L189" s="3"/>
      <c r="M189" s="3"/>
    </row>
    <row r="190" spans="1:13" ht="13.5" outlineLevel="2" thickBot="1">
      <c r="E190" s="202" t="s">
        <v>815</v>
      </c>
      <c r="F190" s="40"/>
      <c r="G190" s="203" t="s">
        <v>816</v>
      </c>
      <c r="H190" s="204"/>
      <c r="I190" s="204">
        <f t="shared" si="16"/>
        <v>0</v>
      </c>
      <c r="J190" s="204">
        <f t="shared" si="17"/>
        <v>0</v>
      </c>
      <c r="L190" s="3"/>
      <c r="M190" s="3"/>
    </row>
    <row r="191" spans="1:13" ht="13.5" outlineLevel="2" thickBot="1">
      <c r="A191" s="3" t="str">
        <f>B191&amp;C191&amp;D191</f>
        <v>O&amp;M Mobilization BudgetProcurement ExpensesVehicles &amp; Mobile Equipment</v>
      </c>
      <c r="B191" s="3" t="s">
        <v>429</v>
      </c>
      <c r="C191" s="3" t="s">
        <v>554</v>
      </c>
      <c r="D191" s="3" t="s">
        <v>386</v>
      </c>
      <c r="E191" s="202" t="s">
        <v>817</v>
      </c>
      <c r="F191" s="40"/>
      <c r="G191" s="203" t="s">
        <v>818</v>
      </c>
      <c r="H191" s="204">
        <v>0</v>
      </c>
      <c r="I191" s="204">
        <f t="shared" si="16"/>
        <v>0</v>
      </c>
      <c r="J191" s="204">
        <f t="shared" si="17"/>
        <v>0</v>
      </c>
      <c r="L191" s="3"/>
      <c r="M191" s="3"/>
    </row>
    <row r="192" spans="1:13" ht="13.5" outlineLevel="2" thickBot="1">
      <c r="E192" s="202" t="s">
        <v>819</v>
      </c>
      <c r="F192" s="40" t="s">
        <v>820</v>
      </c>
      <c r="G192" s="203" t="s">
        <v>821</v>
      </c>
      <c r="H192" s="204">
        <v>1000</v>
      </c>
      <c r="I192" s="204">
        <f t="shared" si="16"/>
        <v>1000</v>
      </c>
      <c r="J192" s="204">
        <f t="shared" si="17"/>
        <v>0</v>
      </c>
      <c r="L192" s="3"/>
      <c r="M192" s="3"/>
    </row>
    <row r="193" spans="1:13" ht="13.5" outlineLevel="2" thickBot="1">
      <c r="E193" s="202" t="s">
        <v>822</v>
      </c>
      <c r="F193" s="40"/>
      <c r="G193" s="203"/>
      <c r="H193" s="204">
        <v>0</v>
      </c>
      <c r="I193" s="204">
        <f t="shared" si="16"/>
        <v>0</v>
      </c>
      <c r="J193" s="204">
        <f t="shared" si="17"/>
        <v>0</v>
      </c>
      <c r="L193" s="3"/>
      <c r="M193" s="3"/>
    </row>
    <row r="194" spans="1:13" ht="13.5" outlineLevel="2" thickBot="1">
      <c r="E194" s="202" t="s">
        <v>823</v>
      </c>
      <c r="F194" s="40"/>
      <c r="G194" s="203" t="s">
        <v>824</v>
      </c>
      <c r="H194" s="204"/>
      <c r="I194" s="204">
        <f t="shared" si="16"/>
        <v>0</v>
      </c>
      <c r="J194" s="204">
        <f t="shared" si="17"/>
        <v>0</v>
      </c>
      <c r="L194" s="3"/>
      <c r="M194" s="3"/>
    </row>
    <row r="195" spans="1:13" ht="13.5" outlineLevel="2" thickBot="1">
      <c r="E195" s="202" t="s">
        <v>825</v>
      </c>
      <c r="F195" s="40"/>
      <c r="G195" s="203" t="s">
        <v>826</v>
      </c>
      <c r="H195" s="204"/>
      <c r="I195" s="204">
        <f t="shared" si="16"/>
        <v>0</v>
      </c>
      <c r="J195" s="204">
        <f t="shared" si="17"/>
        <v>0</v>
      </c>
      <c r="L195" s="3"/>
      <c r="M195" s="3"/>
    </row>
    <row r="196" spans="1:13" ht="13.5" outlineLevel="2" thickBot="1">
      <c r="E196" s="202" t="s">
        <v>827</v>
      </c>
      <c r="F196" s="40"/>
      <c r="G196" s="203" t="s">
        <v>828</v>
      </c>
      <c r="H196" s="204"/>
      <c r="I196" s="204">
        <f t="shared" si="16"/>
        <v>0</v>
      </c>
      <c r="J196" s="204">
        <f t="shared" si="17"/>
        <v>0</v>
      </c>
      <c r="L196" s="3"/>
      <c r="M196" s="3"/>
    </row>
    <row r="197" spans="1:13" ht="13.5" outlineLevel="2" thickBot="1">
      <c r="A197" s="3" t="str">
        <f>B197&amp;C197&amp;D197</f>
        <v>O&amp;M Mobilization BudgetProcurement ExpensesVehicles &amp; Mobile Equipment</v>
      </c>
      <c r="B197" s="3" t="s">
        <v>429</v>
      </c>
      <c r="C197" s="3" t="s">
        <v>554</v>
      </c>
      <c r="D197" s="3" t="s">
        <v>386</v>
      </c>
      <c r="E197" s="202" t="s">
        <v>829</v>
      </c>
      <c r="F197" s="40"/>
      <c r="G197" s="203" t="s">
        <v>830</v>
      </c>
      <c r="H197" s="204"/>
      <c r="I197" s="204">
        <f t="shared" si="16"/>
        <v>0</v>
      </c>
      <c r="J197" s="204">
        <f t="shared" si="17"/>
        <v>0</v>
      </c>
      <c r="L197" s="3"/>
      <c r="M197" s="3"/>
    </row>
    <row r="198" spans="1:13" ht="13.5" outlineLevel="2" thickBot="1">
      <c r="E198" s="202" t="s">
        <v>831</v>
      </c>
      <c r="F198" s="40"/>
      <c r="G198" s="203" t="s">
        <v>832</v>
      </c>
      <c r="H198" s="204">
        <v>0</v>
      </c>
      <c r="I198" s="204">
        <f t="shared" si="16"/>
        <v>0</v>
      </c>
      <c r="J198" s="204">
        <f t="shared" si="17"/>
        <v>0</v>
      </c>
      <c r="L198" s="3"/>
      <c r="M198" s="3"/>
    </row>
    <row r="199" spans="1:13" ht="13.5" outlineLevel="2" thickBot="1">
      <c r="E199" s="202" t="s">
        <v>833</v>
      </c>
      <c r="F199" s="40"/>
      <c r="G199" s="203" t="s">
        <v>834</v>
      </c>
      <c r="H199" s="204">
        <v>0</v>
      </c>
      <c r="I199" s="204">
        <f t="shared" si="16"/>
        <v>0</v>
      </c>
      <c r="J199" s="204">
        <f t="shared" si="17"/>
        <v>0</v>
      </c>
      <c r="L199" s="3"/>
      <c r="M199" s="3"/>
    </row>
    <row r="200" spans="1:13" ht="13.5" outlineLevel="2" thickBot="1">
      <c r="E200" s="202" t="s">
        <v>835</v>
      </c>
      <c r="F200" s="40"/>
      <c r="G200" s="203"/>
      <c r="H200" s="204">
        <v>2500</v>
      </c>
      <c r="I200" s="204"/>
      <c r="J200" s="204"/>
      <c r="L200" s="3"/>
      <c r="M200" s="3"/>
    </row>
    <row r="201" spans="1:13" ht="13.5" outlineLevel="2" thickBot="1">
      <c r="E201" s="202" t="s">
        <v>538</v>
      </c>
      <c r="F201" s="40" t="s">
        <v>781</v>
      </c>
      <c r="G201" s="203"/>
      <c r="H201" s="204">
        <f>0.05*SUM(H185:H198)</f>
        <v>460</v>
      </c>
      <c r="I201" s="204">
        <f>H201</f>
        <v>460</v>
      </c>
      <c r="J201" s="204">
        <f>H201-I201</f>
        <v>0</v>
      </c>
      <c r="L201" s="3"/>
      <c r="M201" s="3"/>
    </row>
    <row r="202" spans="1:13" ht="13.5" outlineLevel="2" thickBot="1">
      <c r="E202" s="202"/>
      <c r="F202" s="40"/>
      <c r="G202" s="203"/>
      <c r="H202" s="204"/>
      <c r="I202" s="204"/>
      <c r="J202" s="204"/>
      <c r="L202" s="3"/>
      <c r="M202" s="3"/>
    </row>
    <row r="203" spans="1:13" s="201" customFormat="1" ht="13.5" outlineLevel="1" thickBot="1">
      <c r="A203" s="201" t="s">
        <v>836</v>
      </c>
      <c r="B203" s="201" t="s">
        <v>429</v>
      </c>
      <c r="C203" s="201" t="s">
        <v>554</v>
      </c>
      <c r="D203" s="201" t="s">
        <v>386</v>
      </c>
      <c r="E203" s="202" t="s">
        <v>837</v>
      </c>
      <c r="F203" s="40"/>
      <c r="G203" s="205" t="s">
        <v>438</v>
      </c>
      <c r="H203" s="206">
        <f>SUBTOTAL(9,H185:H202)</f>
        <v>12160</v>
      </c>
      <c r="I203" s="206">
        <f>SUBTOTAL(9,I185:I202)</f>
        <v>9660</v>
      </c>
      <c r="J203" s="206">
        <f>SUBTOTAL(9,J185:J202)</f>
        <v>0</v>
      </c>
    </row>
    <row r="204" spans="1:13" s="201" customFormat="1" ht="13.5" outlineLevel="1" thickBot="1">
      <c r="A204" s="3" t="s">
        <v>838</v>
      </c>
      <c r="B204" s="3" t="s">
        <v>429</v>
      </c>
      <c r="C204" s="3" t="s">
        <v>554</v>
      </c>
      <c r="D204" s="3" t="s">
        <v>225</v>
      </c>
      <c r="E204" s="216" t="s">
        <v>225</v>
      </c>
      <c r="F204" s="217"/>
      <c r="G204" s="218"/>
      <c r="H204" s="199"/>
      <c r="I204" s="199"/>
      <c r="J204" s="199"/>
    </row>
    <row r="205" spans="1:13" ht="13.5" outlineLevel="2" thickBot="1">
      <c r="A205" s="3" t="str">
        <f>B205&amp;C205&amp;D205</f>
        <v>O&amp;M Mobilization BudgetProcurement ExpensesWarehouse Furnishings &amp; Equipment</v>
      </c>
      <c r="B205" s="3" t="s">
        <v>429</v>
      </c>
      <c r="C205" s="3" t="s">
        <v>554</v>
      </c>
      <c r="D205" s="3" t="s">
        <v>225</v>
      </c>
      <c r="E205" s="202" t="s">
        <v>839</v>
      </c>
      <c r="F205" s="40" t="s">
        <v>840</v>
      </c>
      <c r="G205" s="203"/>
      <c r="H205" s="204">
        <v>9000</v>
      </c>
      <c r="I205" s="204">
        <f>H205</f>
        <v>9000</v>
      </c>
      <c r="J205" s="204">
        <f>H205-I205</f>
        <v>0</v>
      </c>
      <c r="L205" s="3"/>
      <c r="M205" s="3"/>
    </row>
    <row r="206" spans="1:13" ht="13.5" outlineLevel="2" thickBot="1">
      <c r="A206" s="3" t="str">
        <f>B206&amp;C206&amp;D206</f>
        <v>O&amp;M Mobilization BudgetProcurement ExpensesWarehouse Furnishings &amp; Equipment</v>
      </c>
      <c r="B206" s="3" t="s">
        <v>429</v>
      </c>
      <c r="C206" s="3" t="s">
        <v>554</v>
      </c>
      <c r="D206" s="3" t="s">
        <v>225</v>
      </c>
      <c r="E206" s="202" t="s">
        <v>841</v>
      </c>
      <c r="F206" s="40" t="s">
        <v>842</v>
      </c>
      <c r="G206" s="203"/>
      <c r="H206" s="204">
        <v>1500</v>
      </c>
      <c r="I206" s="204">
        <f>H206</f>
        <v>1500</v>
      </c>
      <c r="J206" s="204">
        <f>H206-I206</f>
        <v>0</v>
      </c>
      <c r="L206" s="3"/>
      <c r="M206" s="3"/>
    </row>
    <row r="207" spans="1:13" ht="14.25" customHeight="1" outlineLevel="2" thickBot="1">
      <c r="A207" s="3" t="str">
        <f>B207&amp;C207&amp;D207</f>
        <v>O&amp;M Mobilization BudgetProcurement ExpensesWarehouse Furnishings &amp; Equipment</v>
      </c>
      <c r="B207" s="3" t="s">
        <v>429</v>
      </c>
      <c r="C207" s="3" t="s">
        <v>554</v>
      </c>
      <c r="D207" s="3" t="s">
        <v>225</v>
      </c>
      <c r="E207" s="202" t="s">
        <v>843</v>
      </c>
      <c r="F207" s="40" t="s">
        <v>844</v>
      </c>
      <c r="G207" s="203"/>
      <c r="H207" s="204"/>
      <c r="I207" s="204">
        <f>H207</f>
        <v>0</v>
      </c>
      <c r="J207" s="204">
        <f>H207-I207</f>
        <v>0</v>
      </c>
      <c r="L207" s="3"/>
      <c r="M207" s="3"/>
    </row>
    <row r="208" spans="1:13" ht="13.5" outlineLevel="2" thickBot="1">
      <c r="A208" s="3" t="str">
        <f>B208&amp;C208&amp;D208</f>
        <v>O&amp;M Mobilization BudgetProcurement ExpensesWarehouse Furnishings &amp; Equipment</v>
      </c>
      <c r="B208" s="3" t="s">
        <v>429</v>
      </c>
      <c r="C208" s="3" t="s">
        <v>554</v>
      </c>
      <c r="D208" s="3" t="s">
        <v>225</v>
      </c>
      <c r="E208" s="202" t="s">
        <v>845</v>
      </c>
      <c r="F208" s="40"/>
      <c r="G208" s="203"/>
      <c r="H208" s="204">
        <v>1000</v>
      </c>
      <c r="I208" s="204">
        <f>H208</f>
        <v>1000</v>
      </c>
      <c r="J208" s="204">
        <f>H208-I208</f>
        <v>0</v>
      </c>
      <c r="L208" s="3"/>
      <c r="M208" s="3"/>
    </row>
    <row r="209" spans="1:13" ht="13.5" outlineLevel="2" thickBot="1">
      <c r="E209" s="202" t="s">
        <v>538</v>
      </c>
      <c r="F209" s="40" t="s">
        <v>781</v>
      </c>
      <c r="G209" s="203"/>
      <c r="H209" s="204">
        <f>0.05*SUM(H205:H208)</f>
        <v>575</v>
      </c>
      <c r="I209" s="204">
        <f>H209</f>
        <v>575</v>
      </c>
      <c r="J209" s="204">
        <f>H209-I209</f>
        <v>0</v>
      </c>
      <c r="L209" s="3"/>
      <c r="M209" s="3"/>
    </row>
    <row r="210" spans="1:13" ht="13.5" outlineLevel="2" thickBot="1">
      <c r="E210" s="202"/>
      <c r="F210" s="40"/>
      <c r="G210" s="203"/>
      <c r="H210" s="204"/>
      <c r="I210" s="204"/>
      <c r="J210" s="204"/>
      <c r="L210" s="3"/>
      <c r="M210" s="3"/>
    </row>
    <row r="211" spans="1:13" s="201" customFormat="1" ht="13.5" outlineLevel="1" thickBot="1">
      <c r="A211" s="201" t="s">
        <v>846</v>
      </c>
      <c r="B211" s="201" t="s">
        <v>429</v>
      </c>
      <c r="C211" s="201" t="s">
        <v>554</v>
      </c>
      <c r="D211" s="201" t="s">
        <v>225</v>
      </c>
      <c r="E211" s="202"/>
      <c r="F211" s="40"/>
      <c r="G211" s="205" t="s">
        <v>438</v>
      </c>
      <c r="H211" s="206">
        <f>SUBTOTAL(9,H205:H210)</f>
        <v>12075</v>
      </c>
      <c r="I211" s="206">
        <f>SUBTOTAL(9,I205:I210)</f>
        <v>12075</v>
      </c>
      <c r="J211" s="206">
        <f>SUBTOTAL(9,J205:J210)</f>
        <v>0</v>
      </c>
    </row>
    <row r="212" spans="1:13" s="201" customFormat="1" ht="13.5" outlineLevel="1" thickBot="1">
      <c r="A212" s="3" t="s">
        <v>847</v>
      </c>
      <c r="B212" s="3" t="s">
        <v>429</v>
      </c>
      <c r="C212" s="3" t="s">
        <v>554</v>
      </c>
      <c r="D212" s="3" t="s">
        <v>226</v>
      </c>
      <c r="E212" s="216" t="s">
        <v>226</v>
      </c>
      <c r="F212" s="217"/>
      <c r="G212" s="218"/>
      <c r="H212" s="199"/>
      <c r="I212" s="199"/>
      <c r="J212" s="199"/>
    </row>
    <row r="213" spans="1:13" ht="13.5" outlineLevel="2" thickBot="1">
      <c r="A213" s="3" t="str">
        <f>B213&amp;C213&amp;D213</f>
        <v>O&amp;M Mobilization BudgetProcurement ExpensesLaboratory Equipment</v>
      </c>
      <c r="B213" s="3" t="s">
        <v>429</v>
      </c>
      <c r="C213" s="3" t="s">
        <v>554</v>
      </c>
      <c r="D213" s="3" t="s">
        <v>226</v>
      </c>
      <c r="E213" s="202" t="s">
        <v>848</v>
      </c>
      <c r="F213" s="40"/>
      <c r="G213" s="203"/>
      <c r="H213" s="204">
        <v>3000</v>
      </c>
      <c r="I213" s="204">
        <f>H213</f>
        <v>3000</v>
      </c>
      <c r="J213" s="204">
        <f>H213-I213</f>
        <v>0</v>
      </c>
      <c r="L213" s="3"/>
      <c r="M213" s="3"/>
    </row>
    <row r="214" spans="1:13" ht="13.5" outlineLevel="2" thickBot="1">
      <c r="E214" s="202" t="s">
        <v>849</v>
      </c>
      <c r="F214" s="40"/>
      <c r="G214" s="203"/>
      <c r="H214" s="204">
        <v>2000</v>
      </c>
      <c r="I214" s="204">
        <f>H214</f>
        <v>2000</v>
      </c>
      <c r="J214" s="204">
        <f>H214-I214</f>
        <v>0</v>
      </c>
      <c r="L214" s="3"/>
      <c r="M214" s="3"/>
    </row>
    <row r="215" spans="1:13" ht="13.5" outlineLevel="2" thickBot="1">
      <c r="E215" s="202" t="s">
        <v>850</v>
      </c>
      <c r="F215" s="40"/>
      <c r="G215" s="203"/>
      <c r="H215" s="204">
        <v>1000</v>
      </c>
      <c r="I215" s="204">
        <f>H215</f>
        <v>1000</v>
      </c>
      <c r="J215" s="204">
        <f>H215-I215</f>
        <v>0</v>
      </c>
      <c r="L215" s="3"/>
      <c r="M215" s="3"/>
    </row>
    <row r="216" spans="1:13" ht="13.5" outlineLevel="2" thickBot="1">
      <c r="E216" s="202" t="s">
        <v>851</v>
      </c>
      <c r="F216" s="40" t="s">
        <v>852</v>
      </c>
      <c r="G216" s="203"/>
      <c r="H216" s="204"/>
      <c r="I216" s="204">
        <f>H216</f>
        <v>0</v>
      </c>
      <c r="J216" s="204">
        <f>H216-I216</f>
        <v>0</v>
      </c>
      <c r="L216" s="3"/>
      <c r="M216" s="3"/>
    </row>
    <row r="217" spans="1:13" ht="13.5" outlineLevel="2" thickBot="1">
      <c r="E217" s="202" t="s">
        <v>538</v>
      </c>
      <c r="F217" s="40" t="s">
        <v>781</v>
      </c>
      <c r="G217" s="203"/>
      <c r="H217" s="204">
        <f>0.05*SUM(H213:H216)</f>
        <v>300</v>
      </c>
      <c r="I217" s="204">
        <f>H217</f>
        <v>300</v>
      </c>
      <c r="J217" s="204">
        <f>H217-I217</f>
        <v>0</v>
      </c>
      <c r="L217" s="3"/>
      <c r="M217" s="3"/>
    </row>
    <row r="218" spans="1:13" ht="13.5" outlineLevel="2" thickBot="1">
      <c r="E218" s="202"/>
      <c r="F218" s="40"/>
      <c r="G218" s="203"/>
      <c r="H218" s="204"/>
      <c r="I218" s="204"/>
      <c r="J218" s="204"/>
      <c r="L218" s="3"/>
      <c r="M218" s="3"/>
    </row>
    <row r="219" spans="1:13" s="201" customFormat="1" ht="13.5" outlineLevel="1" thickBot="1">
      <c r="A219" s="201" t="s">
        <v>853</v>
      </c>
      <c r="B219" s="201" t="s">
        <v>429</v>
      </c>
      <c r="C219" s="201" t="s">
        <v>554</v>
      </c>
      <c r="D219" s="201" t="s">
        <v>226</v>
      </c>
      <c r="E219" s="202" t="s">
        <v>854</v>
      </c>
      <c r="F219" s="40"/>
      <c r="G219" s="205" t="s">
        <v>438</v>
      </c>
      <c r="H219" s="206">
        <f>SUBTOTAL(9,H213:H218)</f>
        <v>6300</v>
      </c>
      <c r="I219" s="206">
        <f>SUBTOTAL(9,I213:I218)</f>
        <v>6300</v>
      </c>
      <c r="J219" s="206">
        <f>SUBTOTAL(9,J213:J218)</f>
        <v>0</v>
      </c>
    </row>
    <row r="220" spans="1:13" s="201" customFormat="1" ht="13.5" outlineLevel="1" thickBot="1">
      <c r="A220" s="3" t="s">
        <v>855</v>
      </c>
      <c r="B220" s="3" t="s">
        <v>429</v>
      </c>
      <c r="C220" s="3" t="s">
        <v>554</v>
      </c>
      <c r="D220" s="3" t="s">
        <v>227</v>
      </c>
      <c r="E220" s="216" t="s">
        <v>227</v>
      </c>
      <c r="F220" s="217"/>
      <c r="G220" s="218"/>
      <c r="H220" s="199"/>
      <c r="I220" s="199"/>
      <c r="J220" s="199"/>
    </row>
    <row r="221" spans="1:13" ht="13.5" outlineLevel="2" thickBot="1">
      <c r="A221" s="3" t="str">
        <f>B221&amp;C221&amp;D221</f>
        <v>O&amp;M Mobilization BudgetProcurement ExpensesShop Tools &amp; Equipment</v>
      </c>
      <c r="B221" s="3" t="s">
        <v>429</v>
      </c>
      <c r="C221" s="3" t="s">
        <v>554</v>
      </c>
      <c r="D221" s="3" t="s">
        <v>227</v>
      </c>
      <c r="E221" s="225" t="s">
        <v>856</v>
      </c>
      <c r="F221" s="226" t="s">
        <v>857</v>
      </c>
      <c r="G221" s="227" t="s">
        <v>858</v>
      </c>
      <c r="H221" s="228">
        <v>1200</v>
      </c>
      <c r="I221" s="204">
        <f t="shared" ref="I221:I267" si="18">H221</f>
        <v>1200</v>
      </c>
      <c r="J221" s="204">
        <f t="shared" ref="J221:J267" si="19">H221-I221</f>
        <v>0</v>
      </c>
      <c r="K221"/>
      <c r="L221"/>
      <c r="M221" s="3"/>
    </row>
    <row r="222" spans="1:13" ht="13.5" outlineLevel="2" thickBot="1">
      <c r="A222" s="3" t="str">
        <f>B222&amp;C222&amp;D222</f>
        <v>O&amp;M Mobilization BudgetProcurement ExpensesShop Tools &amp; Equipment</v>
      </c>
      <c r="B222" s="3" t="s">
        <v>429</v>
      </c>
      <c r="C222" s="3" t="s">
        <v>554</v>
      </c>
      <c r="D222" s="3" t="s">
        <v>227</v>
      </c>
      <c r="E222" s="225" t="s">
        <v>859</v>
      </c>
      <c r="F222" s="226" t="s">
        <v>857</v>
      </c>
      <c r="G222" s="229" t="s">
        <v>860</v>
      </c>
      <c r="H222" s="228">
        <v>1500</v>
      </c>
      <c r="I222" s="204">
        <f t="shared" si="18"/>
        <v>1500</v>
      </c>
      <c r="J222" s="204">
        <f t="shared" si="19"/>
        <v>0</v>
      </c>
      <c r="K222"/>
      <c r="L222"/>
      <c r="M222" s="3"/>
    </row>
    <row r="223" spans="1:13" ht="13.5" outlineLevel="2" thickBot="1">
      <c r="A223" s="3" t="str">
        <f>B223&amp;C223&amp;D223</f>
        <v>O&amp;M Mobilization BudgetProcurement ExpensesShop Tools &amp; Equipment</v>
      </c>
      <c r="B223" s="3" t="s">
        <v>429</v>
      </c>
      <c r="C223" s="3" t="s">
        <v>554</v>
      </c>
      <c r="D223" s="3" t="s">
        <v>227</v>
      </c>
      <c r="E223" s="225" t="s">
        <v>861</v>
      </c>
      <c r="F223" s="226"/>
      <c r="G223" s="230">
        <v>8000</v>
      </c>
      <c r="H223" s="228">
        <v>8000</v>
      </c>
      <c r="I223" s="204">
        <f t="shared" si="18"/>
        <v>8000</v>
      </c>
      <c r="J223" s="204">
        <f t="shared" si="19"/>
        <v>0</v>
      </c>
      <c r="K223"/>
      <c r="L223"/>
      <c r="M223" s="3"/>
    </row>
    <row r="224" spans="1:13" ht="13.5" outlineLevel="2" thickBot="1">
      <c r="A224" s="3" t="str">
        <f>B224&amp;C224&amp;D224</f>
        <v>O&amp;M Mobilization BudgetProcurement ExpensesShop Tools &amp; Equipment</v>
      </c>
      <c r="B224" s="3" t="s">
        <v>429</v>
      </c>
      <c r="C224" s="3" t="s">
        <v>554</v>
      </c>
      <c r="D224" s="3" t="s">
        <v>227</v>
      </c>
      <c r="E224" s="225" t="s">
        <v>862</v>
      </c>
      <c r="F224" s="226"/>
      <c r="G224" s="227" t="s">
        <v>863</v>
      </c>
      <c r="H224" s="228">
        <v>4000</v>
      </c>
      <c r="I224" s="204">
        <f t="shared" si="18"/>
        <v>4000</v>
      </c>
      <c r="J224" s="204">
        <f t="shared" si="19"/>
        <v>0</v>
      </c>
      <c r="K224"/>
      <c r="L224"/>
      <c r="M224" s="3"/>
    </row>
    <row r="225" spans="1:13" ht="13.5" outlineLevel="2" thickBot="1">
      <c r="E225" s="225" t="s">
        <v>864</v>
      </c>
      <c r="F225" s="226"/>
      <c r="G225" s="227" t="s">
        <v>863</v>
      </c>
      <c r="H225" s="228">
        <v>1000</v>
      </c>
      <c r="I225" s="204">
        <f t="shared" si="18"/>
        <v>1000</v>
      </c>
      <c r="J225" s="204">
        <f t="shared" si="19"/>
        <v>0</v>
      </c>
      <c r="K225"/>
      <c r="L225"/>
      <c r="M225" s="3"/>
    </row>
    <row r="226" spans="1:13" ht="13.5" outlineLevel="2" thickBot="1">
      <c r="A226" s="3" t="str">
        <f>B226&amp;C226&amp;D226</f>
        <v>O&amp;M Mobilization BudgetProcurement ExpensesShop Tools &amp; Equipment</v>
      </c>
      <c r="B226" s="3" t="s">
        <v>429</v>
      </c>
      <c r="C226" s="3" t="s">
        <v>554</v>
      </c>
      <c r="D226" s="3" t="s">
        <v>227</v>
      </c>
      <c r="E226" s="225" t="s">
        <v>865</v>
      </c>
      <c r="F226" s="231" t="s">
        <v>866</v>
      </c>
      <c r="G226" s="232" t="s">
        <v>858</v>
      </c>
      <c r="H226" s="228"/>
      <c r="I226" s="204">
        <f t="shared" si="18"/>
        <v>0</v>
      </c>
      <c r="J226" s="204">
        <f t="shared" si="19"/>
        <v>0</v>
      </c>
      <c r="K226"/>
      <c r="L226"/>
      <c r="M226" s="3"/>
    </row>
    <row r="227" spans="1:13" ht="13.5" outlineLevel="2" thickBot="1">
      <c r="A227" s="3" t="str">
        <f>B227&amp;C227&amp;D227</f>
        <v>O&amp;M Mobilization BudgetProcurement ExpensesShop Tools &amp; Equipment</v>
      </c>
      <c r="B227" s="3" t="s">
        <v>429</v>
      </c>
      <c r="C227" s="3" t="s">
        <v>554</v>
      </c>
      <c r="D227" s="3" t="s">
        <v>227</v>
      </c>
      <c r="E227" s="225"/>
      <c r="F227" s="231" t="s">
        <v>867</v>
      </c>
      <c r="G227" s="232" t="s">
        <v>868</v>
      </c>
      <c r="H227" s="228"/>
      <c r="I227" s="204">
        <f t="shared" si="18"/>
        <v>0</v>
      </c>
      <c r="J227" s="204">
        <f t="shared" si="19"/>
        <v>0</v>
      </c>
      <c r="K227"/>
      <c r="L227"/>
      <c r="M227" s="3"/>
    </row>
    <row r="228" spans="1:13" ht="13.5" outlineLevel="2" thickBot="1">
      <c r="A228" s="3" t="str">
        <f>B228&amp;C228&amp;D228</f>
        <v>O&amp;M Mobilization BudgetProcurement ExpensesShop Tools &amp; Equipment</v>
      </c>
      <c r="B228" s="3" t="s">
        <v>429</v>
      </c>
      <c r="C228" s="3" t="s">
        <v>554</v>
      </c>
      <c r="D228" s="3" t="s">
        <v>227</v>
      </c>
      <c r="E228" s="225"/>
      <c r="F228" s="231" t="s">
        <v>869</v>
      </c>
      <c r="G228" s="232" t="s">
        <v>870</v>
      </c>
      <c r="H228" s="228">
        <v>960</v>
      </c>
      <c r="I228" s="204">
        <f t="shared" si="18"/>
        <v>960</v>
      </c>
      <c r="J228" s="204">
        <f t="shared" si="19"/>
        <v>0</v>
      </c>
      <c r="K228"/>
      <c r="L228"/>
      <c r="M228" s="3"/>
    </row>
    <row r="229" spans="1:13" ht="13.5" outlineLevel="2" thickBot="1">
      <c r="E229" s="233"/>
      <c r="F229" s="234" t="s">
        <v>871</v>
      </c>
      <c r="G229" s="235" t="s">
        <v>872</v>
      </c>
      <c r="H229" s="228"/>
      <c r="I229" s="204">
        <f t="shared" si="18"/>
        <v>0</v>
      </c>
      <c r="J229" s="204">
        <f t="shared" si="19"/>
        <v>0</v>
      </c>
      <c r="K229"/>
      <c r="L229"/>
      <c r="M229" s="3"/>
    </row>
    <row r="230" spans="1:13" ht="13.5" outlineLevel="2" thickBot="1">
      <c r="E230" s="236"/>
      <c r="F230" s="234" t="s">
        <v>873</v>
      </c>
      <c r="G230" s="235" t="s">
        <v>874</v>
      </c>
      <c r="H230" s="228">
        <v>2500</v>
      </c>
      <c r="I230" s="204">
        <f t="shared" si="18"/>
        <v>2500</v>
      </c>
      <c r="J230" s="204">
        <f t="shared" si="19"/>
        <v>0</v>
      </c>
      <c r="K230"/>
      <c r="L230"/>
      <c r="M230" s="3"/>
    </row>
    <row r="231" spans="1:13" ht="13.5" outlineLevel="2" thickBot="1">
      <c r="E231" s="236"/>
      <c r="F231" s="234" t="s">
        <v>875</v>
      </c>
      <c r="G231" s="235" t="s">
        <v>863</v>
      </c>
      <c r="H231" s="228">
        <v>1000</v>
      </c>
      <c r="I231" s="204">
        <f t="shared" si="18"/>
        <v>1000</v>
      </c>
      <c r="J231" s="204">
        <f t="shared" si="19"/>
        <v>0</v>
      </c>
      <c r="K231"/>
      <c r="L231"/>
      <c r="M231" s="3"/>
    </row>
    <row r="232" spans="1:13" ht="13.5" outlineLevel="2" thickBot="1">
      <c r="E232" s="225"/>
      <c r="F232" s="234" t="s">
        <v>876</v>
      </c>
      <c r="G232" s="235" t="s">
        <v>877</v>
      </c>
      <c r="H232" s="228"/>
      <c r="I232" s="204">
        <f t="shared" si="18"/>
        <v>0</v>
      </c>
      <c r="J232" s="204">
        <f t="shared" si="19"/>
        <v>0</v>
      </c>
      <c r="K232"/>
      <c r="L232"/>
      <c r="M232" s="3"/>
    </row>
    <row r="233" spans="1:13" ht="13.5" outlineLevel="2" thickBot="1">
      <c r="A233" s="3" t="str">
        <f>B233&amp;C233&amp;D233</f>
        <v>O&amp;M Mobilization BudgetProcurement ExpensesShop Tools &amp; Equipment</v>
      </c>
      <c r="B233" s="3" t="s">
        <v>429</v>
      </c>
      <c r="C233" s="3" t="s">
        <v>554</v>
      </c>
      <c r="D233" s="3" t="s">
        <v>227</v>
      </c>
      <c r="E233" s="225"/>
      <c r="F233" s="234" t="s">
        <v>878</v>
      </c>
      <c r="G233" s="235" t="s">
        <v>879</v>
      </c>
      <c r="H233" s="228">
        <v>900</v>
      </c>
      <c r="I233" s="204">
        <f t="shared" si="18"/>
        <v>900</v>
      </c>
      <c r="J233" s="204">
        <f t="shared" si="19"/>
        <v>0</v>
      </c>
      <c r="K233"/>
      <c r="L233"/>
      <c r="M233" s="3"/>
    </row>
    <row r="234" spans="1:13" ht="13.5" outlineLevel="2" thickBot="1">
      <c r="E234" s="225"/>
      <c r="F234" s="234" t="s">
        <v>880</v>
      </c>
      <c r="G234" s="235" t="s">
        <v>881</v>
      </c>
      <c r="H234" s="228">
        <v>600</v>
      </c>
      <c r="I234" s="204">
        <f t="shared" si="18"/>
        <v>600</v>
      </c>
      <c r="J234" s="204">
        <f t="shared" si="19"/>
        <v>0</v>
      </c>
      <c r="K234"/>
      <c r="L234"/>
      <c r="M234" s="3"/>
    </row>
    <row r="235" spans="1:13" ht="13.5" outlineLevel="2" thickBot="1">
      <c r="E235" s="236"/>
      <c r="F235" s="234" t="s">
        <v>882</v>
      </c>
      <c r="G235" s="235" t="s">
        <v>883</v>
      </c>
      <c r="H235" s="228">
        <v>1400</v>
      </c>
      <c r="I235" s="204">
        <f t="shared" si="18"/>
        <v>1400</v>
      </c>
      <c r="J235" s="204">
        <f t="shared" si="19"/>
        <v>0</v>
      </c>
      <c r="K235"/>
      <c r="L235"/>
      <c r="M235" s="3"/>
    </row>
    <row r="236" spans="1:13" s="201" customFormat="1" ht="13.5" outlineLevel="1" thickBot="1">
      <c r="A236" s="201" t="s">
        <v>884</v>
      </c>
      <c r="B236" s="201" t="s">
        <v>429</v>
      </c>
      <c r="C236" s="201" t="s">
        <v>554</v>
      </c>
      <c r="D236" s="201" t="s">
        <v>227</v>
      </c>
      <c r="E236" s="236"/>
      <c r="F236" s="234" t="s">
        <v>885</v>
      </c>
      <c r="G236" s="235" t="s">
        <v>858</v>
      </c>
      <c r="H236" s="228"/>
      <c r="I236" s="204">
        <f t="shared" si="18"/>
        <v>0</v>
      </c>
      <c r="J236" s="204">
        <f t="shared" si="19"/>
        <v>0</v>
      </c>
      <c r="K236"/>
      <c r="L236"/>
    </row>
    <row r="237" spans="1:13" s="201" customFormat="1" ht="13.5" outlineLevel="1" thickBot="1">
      <c r="A237" s="3" t="s">
        <v>886</v>
      </c>
      <c r="B237" s="3" t="s">
        <v>429</v>
      </c>
      <c r="C237" s="3" t="s">
        <v>554</v>
      </c>
      <c r="D237" s="3" t="s">
        <v>228</v>
      </c>
      <c r="E237" s="236"/>
      <c r="F237" s="234" t="s">
        <v>887</v>
      </c>
      <c r="G237" s="235" t="s">
        <v>888</v>
      </c>
      <c r="H237" s="228">
        <v>160</v>
      </c>
      <c r="I237" s="204">
        <f t="shared" si="18"/>
        <v>160</v>
      </c>
      <c r="J237" s="204">
        <f t="shared" si="19"/>
        <v>0</v>
      </c>
      <c r="K237"/>
      <c r="L237"/>
    </row>
    <row r="238" spans="1:13" ht="13.5" outlineLevel="2" thickBot="1">
      <c r="A238" s="3" t="str">
        <f>B238&amp;C238&amp;D238</f>
        <v>O&amp;M Mobilization BudgetProcurement ExpensesChemicals, Lubricants, Hydraulic Fluids</v>
      </c>
      <c r="B238" s="3" t="s">
        <v>429</v>
      </c>
      <c r="C238" s="3" t="s">
        <v>554</v>
      </c>
      <c r="D238" s="3" t="s">
        <v>228</v>
      </c>
      <c r="E238" s="236"/>
      <c r="F238" s="234" t="s">
        <v>94</v>
      </c>
      <c r="G238" s="235" t="s">
        <v>889</v>
      </c>
      <c r="H238" s="228">
        <f>250*8</f>
        <v>2000</v>
      </c>
      <c r="I238" s="204">
        <f t="shared" si="18"/>
        <v>2000</v>
      </c>
      <c r="J238" s="204">
        <f t="shared" si="19"/>
        <v>0</v>
      </c>
      <c r="K238"/>
      <c r="L238"/>
      <c r="M238" s="3"/>
    </row>
    <row r="239" spans="1:13" ht="13.5" outlineLevel="2" thickBot="1">
      <c r="A239" s="3" t="str">
        <f>B239&amp;C239&amp;D239</f>
        <v>O&amp;M Mobilization BudgetProcurement ExpensesChemicals, Lubricants, Hydraulic Fluids</v>
      </c>
      <c r="B239" s="3" t="s">
        <v>429</v>
      </c>
      <c r="C239" s="3" t="s">
        <v>554</v>
      </c>
      <c r="D239" s="3" t="s">
        <v>228</v>
      </c>
      <c r="E239" s="225"/>
      <c r="F239" s="234" t="s">
        <v>890</v>
      </c>
      <c r="G239" s="235" t="s">
        <v>891</v>
      </c>
      <c r="H239" s="228">
        <v>600</v>
      </c>
      <c r="I239" s="204">
        <f t="shared" si="18"/>
        <v>600</v>
      </c>
      <c r="J239" s="204">
        <f t="shared" si="19"/>
        <v>0</v>
      </c>
      <c r="K239"/>
      <c r="L239"/>
      <c r="M239" s="3"/>
    </row>
    <row r="240" spans="1:13" ht="13.5" outlineLevel="2" thickBot="1">
      <c r="E240" s="225"/>
      <c r="F240" s="234" t="s">
        <v>892</v>
      </c>
      <c r="G240" s="235" t="s">
        <v>863</v>
      </c>
      <c r="H240" s="228">
        <v>1000</v>
      </c>
      <c r="I240" s="204">
        <f t="shared" si="18"/>
        <v>1000</v>
      </c>
      <c r="J240" s="204">
        <f t="shared" si="19"/>
        <v>0</v>
      </c>
      <c r="K240"/>
      <c r="L240"/>
      <c r="M240" s="3"/>
    </row>
    <row r="241" spans="1:13" ht="13.5" outlineLevel="2" thickBot="1">
      <c r="E241" s="225"/>
      <c r="F241" s="234" t="s">
        <v>893</v>
      </c>
      <c r="G241" s="235" t="s">
        <v>894</v>
      </c>
      <c r="H241" s="228">
        <v>400</v>
      </c>
      <c r="I241" s="204">
        <f t="shared" si="18"/>
        <v>400</v>
      </c>
      <c r="J241" s="204">
        <f t="shared" si="19"/>
        <v>0</v>
      </c>
      <c r="K241"/>
      <c r="L241"/>
      <c r="M241" s="3"/>
    </row>
    <row r="242" spans="1:13" s="201" customFormat="1" ht="13.5" outlineLevel="1" thickBot="1">
      <c r="A242" s="201" t="s">
        <v>895</v>
      </c>
      <c r="B242" s="201" t="s">
        <v>429</v>
      </c>
      <c r="C242" s="201" t="s">
        <v>554</v>
      </c>
      <c r="D242" s="201" t="s">
        <v>228</v>
      </c>
      <c r="E242" s="225"/>
      <c r="F242" s="234" t="s">
        <v>896</v>
      </c>
      <c r="G242" s="235" t="s">
        <v>897</v>
      </c>
      <c r="H242" s="228">
        <v>2375</v>
      </c>
      <c r="I242" s="204">
        <f t="shared" si="18"/>
        <v>2375</v>
      </c>
      <c r="J242" s="204">
        <f t="shared" si="19"/>
        <v>0</v>
      </c>
      <c r="K242"/>
      <c r="L242"/>
    </row>
    <row r="243" spans="1:13" s="201" customFormat="1" ht="13.5" outlineLevel="1" thickBot="1">
      <c r="A243" s="3" t="s">
        <v>898</v>
      </c>
      <c r="B243" s="3" t="s">
        <v>429</v>
      </c>
      <c r="C243" s="3" t="s">
        <v>899</v>
      </c>
      <c r="D243" s="3"/>
      <c r="E243" s="225"/>
      <c r="F243" s="234" t="s">
        <v>900</v>
      </c>
      <c r="G243" s="235" t="s">
        <v>901</v>
      </c>
      <c r="H243" s="228">
        <v>3100</v>
      </c>
      <c r="I243" s="204">
        <f t="shared" si="18"/>
        <v>3100</v>
      </c>
      <c r="J243" s="204">
        <f t="shared" si="19"/>
        <v>0</v>
      </c>
      <c r="K243"/>
      <c r="L243"/>
    </row>
    <row r="244" spans="1:13" ht="13.5" outlineLevel="2" thickBot="1">
      <c r="A244" s="3" t="str">
        <f>B244&amp;C244&amp;D244</f>
        <v>O&amp;M Mobilization BudgetO&amp;M Mobilization Fee</v>
      </c>
      <c r="B244" s="3" t="s">
        <v>429</v>
      </c>
      <c r="C244" s="3" t="s">
        <v>899</v>
      </c>
      <c r="E244" s="225"/>
      <c r="F244" s="234" t="s">
        <v>902</v>
      </c>
      <c r="G244" s="235" t="s">
        <v>903</v>
      </c>
      <c r="H244" s="228"/>
      <c r="I244" s="204">
        <f t="shared" si="18"/>
        <v>0</v>
      </c>
      <c r="J244" s="204">
        <f t="shared" si="19"/>
        <v>0</v>
      </c>
      <c r="K244"/>
      <c r="L244"/>
      <c r="M244" s="3"/>
    </row>
    <row r="245" spans="1:13" ht="13.5" outlineLevel="2" thickBot="1">
      <c r="E245" s="225"/>
      <c r="F245" s="234" t="s">
        <v>904</v>
      </c>
      <c r="G245" s="235" t="s">
        <v>889</v>
      </c>
      <c r="H245" s="228">
        <v>250</v>
      </c>
      <c r="I245" s="204">
        <f t="shared" si="18"/>
        <v>250</v>
      </c>
      <c r="J245" s="204">
        <f t="shared" si="19"/>
        <v>0</v>
      </c>
      <c r="K245"/>
      <c r="L245"/>
      <c r="M245" s="3"/>
    </row>
    <row r="246" spans="1:13" ht="13.5" outlineLevel="2" thickBot="1">
      <c r="E246" s="225"/>
      <c r="F246" s="234" t="s">
        <v>905</v>
      </c>
      <c r="G246" s="235" t="s">
        <v>863</v>
      </c>
      <c r="H246" s="228">
        <v>1000</v>
      </c>
      <c r="I246" s="204">
        <f t="shared" si="18"/>
        <v>1000</v>
      </c>
      <c r="J246" s="204">
        <f t="shared" si="19"/>
        <v>0</v>
      </c>
      <c r="K246"/>
      <c r="L246"/>
      <c r="M246" s="3"/>
    </row>
    <row r="247" spans="1:13" ht="13.5" outlineLevel="2" thickBot="1">
      <c r="E247" s="225"/>
      <c r="F247" s="234" t="s">
        <v>906</v>
      </c>
      <c r="G247" s="235" t="s">
        <v>907</v>
      </c>
      <c r="H247" s="228">
        <v>5000</v>
      </c>
      <c r="I247" s="204">
        <f t="shared" si="18"/>
        <v>5000</v>
      </c>
      <c r="J247" s="204">
        <f t="shared" si="19"/>
        <v>0</v>
      </c>
      <c r="K247"/>
      <c r="L247"/>
      <c r="M247" s="3"/>
    </row>
    <row r="248" spans="1:13" s="201" customFormat="1" ht="13.5" outlineLevel="1" thickBot="1">
      <c r="A248" s="201" t="s">
        <v>908</v>
      </c>
      <c r="B248" s="201" t="s">
        <v>429</v>
      </c>
      <c r="C248" s="201" t="s">
        <v>899</v>
      </c>
      <c r="E248" s="225" t="s">
        <v>909</v>
      </c>
      <c r="F248" s="234" t="s">
        <v>910</v>
      </c>
      <c r="G248" s="235" t="s">
        <v>911</v>
      </c>
      <c r="H248" s="228">
        <v>500</v>
      </c>
      <c r="I248" s="204">
        <f t="shared" si="18"/>
        <v>500</v>
      </c>
      <c r="J248" s="204">
        <f t="shared" si="19"/>
        <v>0</v>
      </c>
      <c r="K248"/>
      <c r="L248"/>
    </row>
    <row r="249" spans="1:13" s="201" customFormat="1" ht="13.5" outlineLevel="1" thickBot="1">
      <c r="A249" s="3" t="s">
        <v>912</v>
      </c>
      <c r="B249" s="3" t="s">
        <v>429</v>
      </c>
      <c r="C249" s="3" t="s">
        <v>913</v>
      </c>
      <c r="D249" s="3"/>
      <c r="E249" s="225"/>
      <c r="F249" s="234" t="s">
        <v>914</v>
      </c>
      <c r="G249" s="235" t="s">
        <v>907</v>
      </c>
      <c r="H249" s="228">
        <v>5000</v>
      </c>
      <c r="I249" s="204">
        <f t="shared" si="18"/>
        <v>5000</v>
      </c>
      <c r="J249" s="204">
        <f t="shared" si="19"/>
        <v>0</v>
      </c>
      <c r="K249"/>
      <c r="L249"/>
    </row>
    <row r="250" spans="1:13" ht="13.5" outlineLevel="2" thickBot="1">
      <c r="A250" s="3" t="str">
        <f>B250&amp;C250&amp;D250</f>
        <v>O&amp;M Mobilization BudgetOwner Optional Items</v>
      </c>
      <c r="B250" s="3" t="s">
        <v>429</v>
      </c>
      <c r="C250" s="3" t="s">
        <v>913</v>
      </c>
      <c r="E250" s="225"/>
      <c r="F250" s="234" t="s">
        <v>915</v>
      </c>
      <c r="G250" s="235" t="s">
        <v>877</v>
      </c>
      <c r="H250" s="228">
        <v>1800</v>
      </c>
      <c r="I250" s="204">
        <f t="shared" si="18"/>
        <v>1800</v>
      </c>
      <c r="J250" s="204">
        <f t="shared" si="19"/>
        <v>0</v>
      </c>
      <c r="K250"/>
      <c r="L250"/>
      <c r="M250" s="3"/>
    </row>
    <row r="251" spans="1:13" ht="13.5" outlineLevel="2" thickBot="1">
      <c r="E251" s="225"/>
      <c r="F251" s="234" t="s">
        <v>916</v>
      </c>
      <c r="G251" s="235" t="s">
        <v>872</v>
      </c>
      <c r="H251" s="228">
        <v>4000</v>
      </c>
      <c r="I251" s="204">
        <f t="shared" si="18"/>
        <v>4000</v>
      </c>
      <c r="J251" s="204">
        <f t="shared" si="19"/>
        <v>0</v>
      </c>
      <c r="K251"/>
      <c r="L251"/>
      <c r="M251" s="3"/>
    </row>
    <row r="252" spans="1:13" ht="13.5" outlineLevel="2" thickBot="1">
      <c r="E252" s="225"/>
      <c r="F252" s="234" t="s">
        <v>917</v>
      </c>
      <c r="G252" s="235" t="s">
        <v>918</v>
      </c>
      <c r="H252" s="228">
        <v>8000</v>
      </c>
      <c r="I252" s="204">
        <f t="shared" si="18"/>
        <v>8000</v>
      </c>
      <c r="J252" s="204">
        <f t="shared" si="19"/>
        <v>0</v>
      </c>
      <c r="K252"/>
      <c r="L252"/>
      <c r="M252" s="3"/>
    </row>
    <row r="253" spans="1:13" ht="13.5" outlineLevel="2" thickBot="1">
      <c r="E253" s="225"/>
      <c r="F253" s="234" t="s">
        <v>919</v>
      </c>
      <c r="G253" s="235" t="s">
        <v>920</v>
      </c>
      <c r="H253" s="228">
        <v>700</v>
      </c>
      <c r="I253" s="204">
        <f t="shared" si="18"/>
        <v>700</v>
      </c>
      <c r="J253" s="204">
        <f t="shared" si="19"/>
        <v>0</v>
      </c>
      <c r="K253"/>
      <c r="L253"/>
      <c r="M253" s="3"/>
    </row>
    <row r="254" spans="1:13" s="201" customFormat="1" ht="13.5" outlineLevel="1" thickBot="1">
      <c r="A254" s="201" t="s">
        <v>921</v>
      </c>
      <c r="B254" s="201" t="s">
        <v>429</v>
      </c>
      <c r="C254" s="201" t="s">
        <v>913</v>
      </c>
      <c r="E254" s="225"/>
      <c r="F254" s="234" t="s">
        <v>922</v>
      </c>
      <c r="G254" s="235" t="s">
        <v>923</v>
      </c>
      <c r="H254" s="228">
        <v>950</v>
      </c>
      <c r="I254" s="204">
        <f t="shared" si="18"/>
        <v>950</v>
      </c>
      <c r="J254" s="204">
        <f t="shared" si="19"/>
        <v>0</v>
      </c>
      <c r="K254"/>
      <c r="L254"/>
    </row>
    <row r="255" spans="1:13" s="201" customFormat="1" ht="13.5" outlineLevel="1" thickBot="1">
      <c r="E255" s="225"/>
      <c r="F255" s="234" t="s">
        <v>924</v>
      </c>
      <c r="G255" s="235" t="s">
        <v>925</v>
      </c>
      <c r="H255" s="228">
        <v>5700</v>
      </c>
      <c r="I255" s="204">
        <f t="shared" si="18"/>
        <v>5700</v>
      </c>
      <c r="J255" s="204">
        <f t="shared" si="19"/>
        <v>0</v>
      </c>
      <c r="K255"/>
      <c r="L255"/>
    </row>
    <row r="256" spans="1:13" s="201" customFormat="1" ht="13.5" outlineLevel="1" thickBot="1">
      <c r="E256" s="225"/>
      <c r="F256" s="234" t="s">
        <v>926</v>
      </c>
      <c r="G256" s="235" t="s">
        <v>891</v>
      </c>
      <c r="H256" s="228"/>
      <c r="I256" s="204">
        <f t="shared" si="18"/>
        <v>0</v>
      </c>
      <c r="J256" s="204">
        <f t="shared" si="19"/>
        <v>0</v>
      </c>
      <c r="K256"/>
      <c r="L256"/>
    </row>
    <row r="257" spans="1:13" s="201" customFormat="1" ht="13.5" outlineLevel="1" thickBot="1">
      <c r="E257" s="225"/>
      <c r="F257" s="234" t="s">
        <v>927</v>
      </c>
      <c r="G257" s="235" t="s">
        <v>928</v>
      </c>
      <c r="H257" s="228">
        <v>700</v>
      </c>
      <c r="I257" s="204">
        <f t="shared" si="18"/>
        <v>700</v>
      </c>
      <c r="J257" s="204">
        <f t="shared" si="19"/>
        <v>0</v>
      </c>
      <c r="K257"/>
      <c r="L257"/>
    </row>
    <row r="258" spans="1:13" s="201" customFormat="1" ht="13.5" outlineLevel="1" thickBot="1">
      <c r="E258" s="225"/>
      <c r="F258" s="234" t="s">
        <v>929</v>
      </c>
      <c r="G258" s="235" t="s">
        <v>930</v>
      </c>
      <c r="H258" s="228">
        <v>1000</v>
      </c>
      <c r="I258" s="204">
        <f t="shared" si="18"/>
        <v>1000</v>
      </c>
      <c r="J258" s="204">
        <f t="shared" si="19"/>
        <v>0</v>
      </c>
      <c r="K258"/>
      <c r="L258"/>
    </row>
    <row r="259" spans="1:13" s="201" customFormat="1" ht="13.5" outlineLevel="1" thickBot="1">
      <c r="E259" s="225"/>
      <c r="F259" s="234" t="s">
        <v>931</v>
      </c>
      <c r="G259" s="235" t="s">
        <v>932</v>
      </c>
      <c r="H259" s="228"/>
      <c r="I259" s="204">
        <f t="shared" si="18"/>
        <v>0</v>
      </c>
      <c r="J259" s="204">
        <f t="shared" si="19"/>
        <v>0</v>
      </c>
      <c r="K259"/>
      <c r="L259"/>
    </row>
    <row r="260" spans="1:13" s="201" customFormat="1" ht="13.5" outlineLevel="1" thickBot="1">
      <c r="E260" s="236"/>
      <c r="F260" s="234" t="s">
        <v>933</v>
      </c>
      <c r="G260" s="235" t="s">
        <v>934</v>
      </c>
      <c r="H260" s="228">
        <v>4065</v>
      </c>
      <c r="I260" s="204">
        <f t="shared" si="18"/>
        <v>4065</v>
      </c>
      <c r="J260" s="204">
        <f t="shared" si="19"/>
        <v>0</v>
      </c>
      <c r="K260"/>
      <c r="L260"/>
    </row>
    <row r="261" spans="1:13" s="201" customFormat="1" ht="13.5" outlineLevel="1" thickBot="1">
      <c r="E261" s="236"/>
      <c r="F261" s="234" t="s">
        <v>935</v>
      </c>
      <c r="G261" s="235" t="s">
        <v>936</v>
      </c>
      <c r="H261" s="228"/>
      <c r="I261" s="204">
        <f t="shared" si="18"/>
        <v>0</v>
      </c>
      <c r="J261" s="204">
        <f t="shared" si="19"/>
        <v>0</v>
      </c>
      <c r="K261"/>
      <c r="L261"/>
    </row>
    <row r="262" spans="1:13" s="201" customFormat="1" ht="13.5" outlineLevel="1" thickBot="1">
      <c r="E262" s="225" t="s">
        <v>937</v>
      </c>
      <c r="F262" s="234" t="s">
        <v>938</v>
      </c>
      <c r="G262" s="235" t="s">
        <v>939</v>
      </c>
      <c r="H262" s="228"/>
      <c r="I262" s="204">
        <f t="shared" si="18"/>
        <v>0</v>
      </c>
      <c r="J262" s="204">
        <f t="shared" si="19"/>
        <v>0</v>
      </c>
      <c r="K262"/>
      <c r="L262"/>
    </row>
    <row r="263" spans="1:13" s="201" customFormat="1" ht="13.5" outlineLevel="1" thickBot="1">
      <c r="A263" s="3" t="s">
        <v>940</v>
      </c>
      <c r="B263" s="3" t="s">
        <v>429</v>
      </c>
      <c r="C263" s="3" t="s">
        <v>941</v>
      </c>
      <c r="D263" s="3"/>
      <c r="E263" s="225"/>
      <c r="F263" s="234" t="s">
        <v>942</v>
      </c>
      <c r="G263" s="235" t="s">
        <v>943</v>
      </c>
      <c r="H263" s="228"/>
      <c r="I263" s="204">
        <f t="shared" si="18"/>
        <v>0</v>
      </c>
      <c r="J263" s="204">
        <f t="shared" si="19"/>
        <v>0</v>
      </c>
      <c r="K263"/>
      <c r="L263"/>
    </row>
    <row r="264" spans="1:13" ht="13.5" outlineLevel="2" thickBot="1">
      <c r="A264" s="3" t="str">
        <f>B264&amp;C264&amp;D264</f>
        <v>O&amp;M Mobilization BudgetCapital, Operating and BOP Spares (1998$)</v>
      </c>
      <c r="B264" s="3" t="s">
        <v>429</v>
      </c>
      <c r="C264" s="3" t="s">
        <v>944</v>
      </c>
      <c r="E264" s="225"/>
      <c r="F264" s="234" t="s">
        <v>945</v>
      </c>
      <c r="G264" s="235" t="s">
        <v>946</v>
      </c>
      <c r="H264" s="228"/>
      <c r="I264" s="204">
        <f t="shared" si="18"/>
        <v>0</v>
      </c>
      <c r="J264" s="204">
        <f t="shared" si="19"/>
        <v>0</v>
      </c>
      <c r="K264"/>
      <c r="L264"/>
      <c r="M264" s="3"/>
    </row>
    <row r="265" spans="1:13" ht="13.5" outlineLevel="2" thickBot="1">
      <c r="E265" s="225"/>
      <c r="F265" s="234" t="s">
        <v>947</v>
      </c>
      <c r="G265" s="235" t="s">
        <v>948</v>
      </c>
      <c r="H265" s="228">
        <v>1795</v>
      </c>
      <c r="I265" s="204">
        <f t="shared" si="18"/>
        <v>1795</v>
      </c>
      <c r="J265" s="204">
        <f t="shared" si="19"/>
        <v>0</v>
      </c>
      <c r="K265"/>
      <c r="L265"/>
      <c r="M265" s="3"/>
    </row>
    <row r="266" spans="1:13" ht="13.5" outlineLevel="2" thickBot="1">
      <c r="E266" s="225"/>
      <c r="F266" s="226"/>
      <c r="G266" s="227"/>
      <c r="H266" s="228"/>
      <c r="I266" s="204">
        <f t="shared" si="18"/>
        <v>0</v>
      </c>
      <c r="J266" s="204">
        <f t="shared" si="19"/>
        <v>0</v>
      </c>
      <c r="K266"/>
      <c r="L266"/>
      <c r="M266" s="3"/>
    </row>
    <row r="267" spans="1:13" ht="13.5" outlineLevel="2" thickBot="1">
      <c r="E267" s="225" t="s">
        <v>538</v>
      </c>
      <c r="F267" s="237">
        <v>0.05</v>
      </c>
      <c r="G267" s="227"/>
      <c r="H267" s="228">
        <f>0.05*SUM(H221:H266)</f>
        <v>3657.75</v>
      </c>
      <c r="I267" s="204">
        <f t="shared" si="18"/>
        <v>3657.75</v>
      </c>
      <c r="J267" s="204">
        <f t="shared" si="19"/>
        <v>0</v>
      </c>
      <c r="K267"/>
      <c r="L267"/>
      <c r="M267" s="3"/>
    </row>
    <row r="268" spans="1:13" s="201" customFormat="1" ht="13.5" outlineLevel="1" thickBot="1">
      <c r="A268" s="201" t="s">
        <v>949</v>
      </c>
      <c r="B268" s="201" t="s">
        <v>429</v>
      </c>
      <c r="C268" s="201" t="s">
        <v>944</v>
      </c>
      <c r="E268" s="225"/>
      <c r="F268" s="226"/>
      <c r="G268" s="227"/>
      <c r="H268" s="228"/>
      <c r="I268" s="228"/>
      <c r="J268" s="228"/>
      <c r="K268"/>
      <c r="L268"/>
    </row>
    <row r="269" spans="1:13" s="201" customFormat="1" ht="13.5" thickBot="1">
      <c r="E269" s="238"/>
      <c r="F269" s="239"/>
      <c r="G269" s="240" t="s">
        <v>438</v>
      </c>
      <c r="H269" s="241">
        <f>SUBTOTAL(9,H221:H268)</f>
        <v>76812.75</v>
      </c>
      <c r="I269" s="241">
        <f>SUBTOTAL(9,I221:I268)</f>
        <v>76812.75</v>
      </c>
      <c r="J269" s="241"/>
      <c r="K269"/>
      <c r="L269"/>
    </row>
    <row r="270" spans="1:13" ht="13.5" thickBot="1">
      <c r="E270" s="216" t="s">
        <v>228</v>
      </c>
      <c r="F270" s="217"/>
      <c r="G270" s="218"/>
      <c r="H270" s="199"/>
      <c r="I270" s="199"/>
      <c r="J270" s="199"/>
      <c r="K270" s="201"/>
    </row>
    <row r="271" spans="1:13" ht="13.5" thickBot="1">
      <c r="E271" s="202" t="s">
        <v>950</v>
      </c>
      <c r="F271" s="40" t="s">
        <v>951</v>
      </c>
      <c r="G271" s="203"/>
      <c r="H271" s="204">
        <v>10000</v>
      </c>
      <c r="I271" s="204">
        <f>H271</f>
        <v>10000</v>
      </c>
      <c r="J271" s="204">
        <f>H271-I271</f>
        <v>0</v>
      </c>
    </row>
    <row r="272" spans="1:13" ht="13.5" thickBot="1">
      <c r="E272" s="202"/>
      <c r="F272" s="40"/>
      <c r="G272" s="203"/>
      <c r="H272" s="204"/>
      <c r="I272" s="204">
        <f>H272</f>
        <v>0</v>
      </c>
      <c r="J272" s="204">
        <f>H272-I272</f>
        <v>0</v>
      </c>
    </row>
    <row r="273" spans="5:11" ht="13.5" thickBot="1">
      <c r="E273" s="202" t="s">
        <v>538</v>
      </c>
      <c r="F273" s="40" t="s">
        <v>952</v>
      </c>
      <c r="G273" s="203"/>
      <c r="H273" s="204">
        <f>0.05*H271</f>
        <v>500</v>
      </c>
      <c r="I273" s="204">
        <f>H273</f>
        <v>500</v>
      </c>
      <c r="J273" s="204">
        <f>H273-I273</f>
        <v>0</v>
      </c>
    </row>
    <row r="274" spans="5:11" ht="13.5" thickBot="1">
      <c r="E274" s="202"/>
      <c r="F274" s="40"/>
      <c r="G274" s="203"/>
      <c r="H274" s="204"/>
      <c r="I274" s="204"/>
      <c r="J274" s="204"/>
    </row>
    <row r="275" spans="5:11" ht="13.5" thickBot="1">
      <c r="E275" s="202"/>
      <c r="F275" s="40"/>
      <c r="G275" s="205" t="s">
        <v>438</v>
      </c>
      <c r="H275" s="206">
        <f>SUBTOTAL(9,H271:H274)</f>
        <v>10500</v>
      </c>
      <c r="I275" s="206">
        <f>SUBTOTAL(9,I271:I274)</f>
        <v>10500</v>
      </c>
      <c r="J275" s="206">
        <f>SUBTOTAL(9,J271:J274)</f>
        <v>0</v>
      </c>
      <c r="K275" s="201"/>
    </row>
    <row r="276" spans="5:11" ht="13.5" thickBot="1">
      <c r="E276" s="216" t="s">
        <v>899</v>
      </c>
      <c r="F276" s="217"/>
      <c r="G276" s="218"/>
      <c r="H276" s="199"/>
      <c r="I276" s="199"/>
      <c r="J276" s="199"/>
      <c r="K276" s="201"/>
    </row>
    <row r="277" spans="5:11" ht="13.5" thickBot="1">
      <c r="E277" s="202" t="s">
        <v>953</v>
      </c>
      <c r="F277" s="40"/>
      <c r="G277" s="203"/>
      <c r="H277" s="204">
        <v>125000</v>
      </c>
      <c r="I277" s="204">
        <f>H277</f>
        <v>125000</v>
      </c>
      <c r="J277" s="204">
        <f>H277-I277</f>
        <v>0</v>
      </c>
    </row>
    <row r="278" spans="5:11" ht="13.5" thickBot="1">
      <c r="E278" s="202"/>
      <c r="F278" s="40"/>
      <c r="G278" s="203"/>
      <c r="H278" s="204"/>
      <c r="I278" s="204">
        <f>H278</f>
        <v>0</v>
      </c>
      <c r="J278" s="204">
        <f>H278-I278</f>
        <v>0</v>
      </c>
    </row>
    <row r="279" spans="5:11" ht="13.5" thickBot="1">
      <c r="E279" s="202"/>
      <c r="F279" s="40"/>
      <c r="G279" s="203"/>
      <c r="H279" s="204"/>
      <c r="I279" s="204">
        <f>H279</f>
        <v>0</v>
      </c>
      <c r="J279" s="204">
        <f>H279-I279</f>
        <v>0</v>
      </c>
    </row>
    <row r="280" spans="5:11" ht="13.5" thickBot="1">
      <c r="E280" s="202"/>
      <c r="F280" s="40"/>
      <c r="G280" s="203"/>
      <c r="H280" s="204"/>
      <c r="I280" s="204"/>
      <c r="J280" s="204"/>
    </row>
    <row r="281" spans="5:11" ht="13.5" thickBot="1">
      <c r="E281" s="242"/>
      <c r="F281" s="243"/>
      <c r="G281" s="205" t="s">
        <v>438</v>
      </c>
      <c r="H281" s="206">
        <f>SUBTOTAL(9,H277:H279)</f>
        <v>125000</v>
      </c>
      <c r="I281" s="206">
        <f>SUBTOTAL(9,I277:I277)</f>
        <v>125000</v>
      </c>
      <c r="J281" s="206">
        <f>SUBTOTAL(9,J277:J277)</f>
        <v>0</v>
      </c>
      <c r="K281" s="201"/>
    </row>
    <row r="282" spans="5:11" ht="13.5" thickBot="1">
      <c r="E282" s="216" t="s">
        <v>194</v>
      </c>
      <c r="F282" s="217"/>
      <c r="G282" s="218"/>
      <c r="H282" s="199"/>
      <c r="I282" s="199"/>
      <c r="J282" s="199"/>
      <c r="K282" s="201"/>
    </row>
    <row r="283" spans="5:11" ht="13.5" thickBot="1">
      <c r="E283" s="202" t="s">
        <v>954</v>
      </c>
      <c r="F283" s="40" t="s">
        <v>626</v>
      </c>
      <c r="G283" s="244"/>
      <c r="H283" s="245"/>
      <c r="I283" s="204">
        <f>H283</f>
        <v>0</v>
      </c>
      <c r="J283" s="204">
        <f>H283-I283</f>
        <v>0</v>
      </c>
    </row>
    <row r="284" spans="5:11" ht="13.5" thickBot="1">
      <c r="E284" s="202"/>
      <c r="F284" s="40"/>
      <c r="G284" s="244"/>
      <c r="H284" s="245"/>
      <c r="I284" s="204">
        <f>H284</f>
        <v>0</v>
      </c>
      <c r="J284" s="204">
        <f>H284-I284</f>
        <v>0</v>
      </c>
    </row>
    <row r="285" spans="5:11" ht="13.5" thickBot="1">
      <c r="E285" s="202"/>
      <c r="F285" s="40"/>
      <c r="G285" s="244"/>
      <c r="H285" s="245"/>
      <c r="I285" s="204">
        <f>H285</f>
        <v>0</v>
      </c>
      <c r="J285" s="204">
        <f>H285-I285</f>
        <v>0</v>
      </c>
    </row>
    <row r="286" spans="5:11" ht="13.5" thickBot="1">
      <c r="E286" s="202"/>
      <c r="F286" s="40"/>
      <c r="G286" s="203"/>
      <c r="H286" s="204"/>
      <c r="I286" s="204"/>
      <c r="J286" s="204"/>
    </row>
    <row r="287" spans="5:11" ht="13.5" thickBot="1">
      <c r="E287" s="202"/>
      <c r="F287" s="40"/>
      <c r="G287" s="205" t="s">
        <v>438</v>
      </c>
      <c r="H287" s="246"/>
      <c r="I287" s="206">
        <f>SUBTOTAL(9,I283:I283)</f>
        <v>0</v>
      </c>
      <c r="J287" s="206">
        <f>SUBTOTAL(9,J283:J283)</f>
        <v>0</v>
      </c>
      <c r="K287" s="201"/>
    </row>
    <row r="288" spans="5:11" ht="13.5" thickBot="1">
      <c r="E288" s="216" t="s">
        <v>955</v>
      </c>
      <c r="F288" s="217"/>
      <c r="G288" s="218"/>
      <c r="H288" s="199"/>
      <c r="I288" s="199"/>
      <c r="J288" s="199"/>
      <c r="K288" s="201"/>
    </row>
    <row r="289" spans="5:11" ht="13.5" thickBot="1">
      <c r="E289" s="202" t="s">
        <v>956</v>
      </c>
      <c r="F289" s="40"/>
      <c r="G289" s="203"/>
      <c r="H289" s="204">
        <v>0</v>
      </c>
      <c r="I289" s="204">
        <f>H289</f>
        <v>0</v>
      </c>
      <c r="J289" s="204">
        <f>H289-I289</f>
        <v>0</v>
      </c>
      <c r="K289" s="201"/>
    </row>
    <row r="290" spans="5:11" ht="13.5" thickBot="1">
      <c r="E290" s="202"/>
      <c r="F290" s="40"/>
      <c r="G290" s="203"/>
      <c r="H290" s="204"/>
      <c r="I290" s="206"/>
      <c r="J290" s="206"/>
      <c r="K290" s="201"/>
    </row>
    <row r="291" spans="5:11" ht="13.5" thickBot="1">
      <c r="E291" s="202"/>
      <c r="F291" s="40"/>
      <c r="G291" s="205" t="s">
        <v>438</v>
      </c>
      <c r="H291" s="206">
        <f>SUBTOTAL(9,H289:H290)</f>
        <v>0</v>
      </c>
      <c r="I291" s="206">
        <f>SUBTOTAL(9,I289:I290)</f>
        <v>0</v>
      </c>
      <c r="J291" s="206">
        <f>SUBTOTAL(9,J289:J290)</f>
        <v>0</v>
      </c>
      <c r="K291" s="201"/>
    </row>
    <row r="292" spans="5:11" ht="13.5" thickBot="1">
      <c r="E292" s="216" t="s">
        <v>121</v>
      </c>
      <c r="F292" s="217"/>
      <c r="G292" s="218"/>
      <c r="H292" s="199"/>
      <c r="I292" s="199"/>
      <c r="J292" s="199"/>
      <c r="K292" s="201"/>
    </row>
    <row r="293" spans="5:11" ht="13.5" thickBot="1">
      <c r="E293" s="202" t="s">
        <v>956</v>
      </c>
      <c r="F293" s="40"/>
      <c r="G293" s="203"/>
      <c r="H293" s="204" t="s">
        <v>191</v>
      </c>
      <c r="I293" s="204" t="str">
        <f>H293</f>
        <v>NA</v>
      </c>
      <c r="J293" s="204" t="e">
        <f>H293-I293</f>
        <v>#VALUE!</v>
      </c>
      <c r="K293" s="201"/>
    </row>
    <row r="294" spans="5:11" ht="13.5" thickBot="1">
      <c r="E294" s="202"/>
      <c r="F294" s="40"/>
      <c r="G294" s="203"/>
      <c r="H294" s="204"/>
      <c r="I294" s="206"/>
      <c r="J294" s="206"/>
      <c r="K294" s="201"/>
    </row>
    <row r="295" spans="5:11" ht="13.5" thickBot="1">
      <c r="E295" s="202"/>
      <c r="F295" s="40"/>
      <c r="G295" s="205" t="s">
        <v>438</v>
      </c>
      <c r="H295" s="206" t="s">
        <v>191</v>
      </c>
      <c r="I295" s="206">
        <f>SUBTOTAL(9,I293:I294)</f>
        <v>0</v>
      </c>
      <c r="J295" s="206" t="e">
        <f>SUBTOTAL(9,J293:J294)</f>
        <v>#VALUE!</v>
      </c>
      <c r="K295" s="201"/>
    </row>
    <row r="296" spans="5:11" ht="13.5" thickBot="1">
      <c r="E296" s="216" t="s">
        <v>957</v>
      </c>
      <c r="F296" s="217"/>
      <c r="G296" s="218"/>
      <c r="H296" s="199"/>
      <c r="I296" s="199"/>
      <c r="J296" s="199"/>
      <c r="K296" s="201"/>
    </row>
    <row r="297" spans="5:11" ht="13.5" thickBot="1">
      <c r="E297" s="202" t="s">
        <v>93</v>
      </c>
      <c r="F297" s="40"/>
      <c r="G297" s="203"/>
      <c r="H297" s="204">
        <v>877000</v>
      </c>
      <c r="I297" s="204">
        <f>H297</f>
        <v>877000</v>
      </c>
      <c r="J297" s="204">
        <f>H297-I297</f>
        <v>0</v>
      </c>
    </row>
    <row r="298" spans="5:11" ht="13.5" thickBot="1">
      <c r="E298" s="202" t="s">
        <v>958</v>
      </c>
      <c r="F298" s="40"/>
      <c r="G298" s="203"/>
      <c r="H298" s="204">
        <v>25000</v>
      </c>
      <c r="I298" s="204">
        <f>H298</f>
        <v>25000</v>
      </c>
      <c r="J298" s="204">
        <f>H298-I298</f>
        <v>0</v>
      </c>
    </row>
    <row r="299" spans="5:11" ht="13.5" thickBot="1">
      <c r="E299" s="202" t="s">
        <v>959</v>
      </c>
      <c r="F299" s="40"/>
      <c r="G299" s="203"/>
      <c r="H299" s="204">
        <f>SUM(H297:H298)*0.0125</f>
        <v>11275</v>
      </c>
      <c r="I299" s="204">
        <f>H299</f>
        <v>11275</v>
      </c>
      <c r="J299" s="204">
        <f>H299-I299</f>
        <v>0</v>
      </c>
    </row>
    <row r="300" spans="5:11" ht="13.5" thickBot="1">
      <c r="E300" s="202"/>
      <c r="F300" s="247"/>
      <c r="G300" s="203"/>
      <c r="H300" s="204"/>
      <c r="I300" s="204">
        <f>H300</f>
        <v>0</v>
      </c>
      <c r="J300" s="204">
        <f>H300-I300</f>
        <v>0</v>
      </c>
    </row>
    <row r="301" spans="5:11" ht="13.5" thickBot="1">
      <c r="E301" s="248"/>
      <c r="F301" s="249"/>
      <c r="G301" s="250" t="s">
        <v>438</v>
      </c>
      <c r="H301" s="206">
        <f>SUBTOTAL(9,H297:H300)</f>
        <v>913275</v>
      </c>
      <c r="I301" s="206">
        <f>SUBTOTAL(9,I297:I300)</f>
        <v>913275</v>
      </c>
      <c r="J301" s="206">
        <f>SUBTOTAL(9,J297:J300)</f>
        <v>0</v>
      </c>
      <c r="K301" s="201"/>
    </row>
    <row r="302" spans="5:11">
      <c r="E302" s="201"/>
      <c r="F302" s="201"/>
      <c r="G302" s="201"/>
      <c r="H302" s="201"/>
      <c r="I302" s="201"/>
      <c r="J302" s="201"/>
    </row>
    <row r="309" spans="2:7">
      <c r="B309" s="39"/>
      <c r="E309" s="251"/>
    </row>
    <row r="310" spans="2:7">
      <c r="B310" s="39"/>
      <c r="F310" s="251"/>
      <c r="G310" s="251"/>
    </row>
    <row r="854" spans="1:4">
      <c r="A854" s="251"/>
      <c r="B854" s="251"/>
      <c r="C854" s="251"/>
      <c r="D854" s="251"/>
    </row>
    <row r="902" spans="5:10">
      <c r="E902" s="251"/>
    </row>
    <row r="903" spans="5:10">
      <c r="F903" s="251"/>
      <c r="G903" s="251"/>
      <c r="H903" s="251"/>
      <c r="I903" s="251"/>
      <c r="J903" s="251"/>
    </row>
  </sheetData>
  <dataConsolidate/>
  <printOptions horizontalCentered="1"/>
  <pageMargins left="0.75" right="0.75" top="1" bottom="1" header="0.5" footer="0.5"/>
  <pageSetup scale="75" firstPageNumber="13" fitToHeight="5" orientation="portrait" horizontalDpi="4294967292" verticalDpi="4294967292" r:id="rId1"/>
  <headerFooter alignWithMargins="0">
    <oddHeader>&amp;CENRON PROPRIETARY 
AND  CONFIDENTIAL INFORMATION</oddHeader>
    <oddFooter>&amp;LScot Chambers
&amp;D&amp;CPage _____&amp;R&amp;F
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59"/>
  <sheetViews>
    <sheetView zoomScale="80" workbookViewId="0">
      <selection sqref="A1:G1"/>
    </sheetView>
  </sheetViews>
  <sheetFormatPr defaultRowHeight="12.75"/>
  <cols>
    <col min="1" max="1" width="4.7109375" style="71" customWidth="1"/>
    <col min="2" max="2" width="49.85546875" style="71" customWidth="1"/>
    <col min="3" max="3" width="9.5703125" style="71" customWidth="1"/>
    <col min="4" max="5" width="11.42578125" style="71" customWidth="1"/>
    <col min="6" max="6" width="10.28515625" style="71" bestFit="1" customWidth="1"/>
    <col min="7" max="7" width="11.85546875" style="71" customWidth="1"/>
    <col min="8" max="8" width="9.140625" style="71"/>
    <col min="9" max="10" width="9.140625" style="72"/>
    <col min="11" max="11" width="10.85546875" style="72" hidden="1" customWidth="1"/>
    <col min="12" max="12" width="9.85546875" style="72" hidden="1" customWidth="1"/>
    <col min="13" max="14" width="9.140625" style="72" hidden="1" customWidth="1"/>
    <col min="15" max="16384" width="9.140625" style="72"/>
  </cols>
  <sheetData>
    <row r="1" spans="1:42" ht="15.75">
      <c r="A1" s="699" t="str">
        <f>Scope!A1</f>
        <v>St Peter, Illinois (Ameren) Power Project, Rev 0</v>
      </c>
      <c r="B1" s="699"/>
      <c r="C1" s="699"/>
      <c r="D1" s="699"/>
      <c r="E1" s="699"/>
      <c r="F1" s="699"/>
      <c r="G1" s="699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</row>
    <row r="2" spans="1:42" ht="15.75">
      <c r="A2" s="699" t="s">
        <v>122</v>
      </c>
      <c r="B2" s="699"/>
      <c r="C2" s="699"/>
      <c r="D2" s="699"/>
      <c r="E2" s="699"/>
      <c r="F2" s="699"/>
      <c r="G2" s="699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</row>
    <row r="3" spans="1:42" ht="13.5" thickBot="1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</row>
    <row r="4" spans="1:42" ht="13.5" thickBot="1">
      <c r="A4" s="33"/>
      <c r="B4" s="36"/>
      <c r="C4" s="36"/>
      <c r="D4" s="696" t="s">
        <v>1044</v>
      </c>
      <c r="E4" s="697"/>
      <c r="F4" s="697"/>
      <c r="G4" s="698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</row>
    <row r="5" spans="1:42">
      <c r="A5" s="33"/>
      <c r="B5" s="36"/>
      <c r="C5" s="36"/>
      <c r="D5" s="252"/>
      <c r="E5" s="253"/>
      <c r="F5" s="434" t="s">
        <v>1130</v>
      </c>
      <c r="G5" s="434" t="s">
        <v>1132</v>
      </c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</row>
    <row r="6" spans="1:42" ht="13.5" thickBot="1">
      <c r="A6" s="33"/>
      <c r="B6" s="36"/>
      <c r="C6" s="254"/>
      <c r="D6" s="255" t="s">
        <v>196</v>
      </c>
      <c r="E6" s="256" t="s">
        <v>197</v>
      </c>
      <c r="F6" s="256" t="s">
        <v>1131</v>
      </c>
      <c r="G6" s="256" t="s">
        <v>1131</v>
      </c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</row>
    <row r="7" spans="1:42">
      <c r="A7" s="39"/>
      <c r="B7" s="40"/>
      <c r="C7" s="40"/>
      <c r="D7" s="42"/>
      <c r="E7" s="257"/>
      <c r="F7" s="257"/>
      <c r="G7" s="257"/>
      <c r="H7" s="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</row>
    <row r="8" spans="1:42">
      <c r="A8" s="45" t="s">
        <v>960</v>
      </c>
      <c r="B8" s="40"/>
      <c r="C8" s="41"/>
      <c r="D8" s="79">
        <f>'O&amp;M_Backup'!D13</f>
        <v>519842.88616923074</v>
      </c>
      <c r="E8" s="258">
        <f>D8</f>
        <v>519842.88616923074</v>
      </c>
      <c r="F8" s="258">
        <f>(D8+2*E8)/3</f>
        <v>519842.88616923074</v>
      </c>
      <c r="G8" s="258">
        <f>(D8+19*E8)/20</f>
        <v>519842.88616923074</v>
      </c>
      <c r="H8" s="3" t="s">
        <v>1134</v>
      </c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</row>
    <row r="9" spans="1:42">
      <c r="A9" s="39"/>
      <c r="B9" s="40"/>
      <c r="C9" s="12"/>
      <c r="D9" s="80"/>
      <c r="E9" s="203"/>
      <c r="F9" s="203"/>
      <c r="G9" s="203"/>
      <c r="H9" s="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</row>
    <row r="10" spans="1:42">
      <c r="A10" s="39" t="s">
        <v>961</v>
      </c>
      <c r="B10"/>
      <c r="C10" s="12"/>
      <c r="D10" s="79"/>
      <c r="E10" s="258"/>
      <c r="F10" s="258"/>
      <c r="G10" s="258"/>
      <c r="H10" s="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</row>
    <row r="11" spans="1:42">
      <c r="A11" s="3"/>
      <c r="B11" s="40" t="str">
        <f>'O&amp;M_Backup'!A14</f>
        <v>Employee Expenses</v>
      </c>
      <c r="C11" s="41"/>
      <c r="D11" s="79">
        <f>'O&amp;M_Backup'!D22</f>
        <v>44750</v>
      </c>
      <c r="E11" s="258">
        <f t="shared" ref="E11:E19" si="0">D11</f>
        <v>44750</v>
      </c>
      <c r="F11" s="258">
        <f>(D11+2*E11)/3</f>
        <v>44750</v>
      </c>
      <c r="G11" s="258">
        <f>(D11+19*E11)/20</f>
        <v>44750</v>
      </c>
      <c r="H11" s="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</row>
    <row r="12" spans="1:42">
      <c r="A12" s="3"/>
      <c r="B12" s="40" t="str">
        <f>'O&amp;M_Backup'!A23</f>
        <v>Permanent Contract Labor</v>
      </c>
      <c r="C12" s="41"/>
      <c r="D12" s="79">
        <f>'O&amp;M_Backup'!D30</f>
        <v>21100</v>
      </c>
      <c r="E12" s="258">
        <f t="shared" si="0"/>
        <v>21100</v>
      </c>
      <c r="F12" s="258">
        <f t="shared" ref="F12:F20" si="1">(D12+2*E12)/3</f>
        <v>21100</v>
      </c>
      <c r="G12" s="258">
        <f t="shared" ref="G12:G20" si="2">(D12+19*E12)/20</f>
        <v>21100</v>
      </c>
      <c r="H12" s="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</row>
    <row r="13" spans="1:42">
      <c r="A13" s="3"/>
      <c r="B13" s="40" t="str">
        <f>'O&amp;M_Backup'!A31</f>
        <v xml:space="preserve">Environmental Expense </v>
      </c>
      <c r="C13" s="41"/>
      <c r="D13" s="79">
        <f>'O&amp;M_Backup'!D41</f>
        <v>38000</v>
      </c>
      <c r="E13" s="258">
        <f t="shared" si="0"/>
        <v>38000</v>
      </c>
      <c r="F13" s="258">
        <f t="shared" si="1"/>
        <v>38000</v>
      </c>
      <c r="G13" s="258">
        <f t="shared" si="2"/>
        <v>38000</v>
      </c>
      <c r="H13" s="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</row>
    <row r="14" spans="1:42">
      <c r="A14" s="3"/>
      <c r="B14" s="40" t="str">
        <f>'O&amp;M_Backup'!A42</f>
        <v>Safety Expense</v>
      </c>
      <c r="C14" s="41"/>
      <c r="D14" s="79">
        <f>'O&amp;M_Backup'!D50</f>
        <v>10000</v>
      </c>
      <c r="E14" s="258">
        <f t="shared" si="0"/>
        <v>10000</v>
      </c>
      <c r="F14" s="258">
        <f t="shared" si="1"/>
        <v>10000</v>
      </c>
      <c r="G14" s="258">
        <f t="shared" si="2"/>
        <v>10000</v>
      </c>
      <c r="H14" s="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</row>
    <row r="15" spans="1:42">
      <c r="A15" s="3"/>
      <c r="B15" s="40" t="str">
        <f>'O&amp;M_Backup'!A51</f>
        <v>Buildings &amp; Grounds</v>
      </c>
      <c r="C15" s="41"/>
      <c r="D15" s="79">
        <f>'O&amp;M_Backup'!D61</f>
        <v>9287.6956195696093</v>
      </c>
      <c r="E15" s="258">
        <f t="shared" si="0"/>
        <v>9287.6956195696093</v>
      </c>
      <c r="F15" s="258">
        <f t="shared" si="1"/>
        <v>9287.6956195696093</v>
      </c>
      <c r="G15" s="258">
        <f t="shared" si="2"/>
        <v>9287.6956195696075</v>
      </c>
      <c r="H15" s="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</row>
    <row r="16" spans="1:42">
      <c r="A16" s="3"/>
      <c r="B16" s="40" t="str">
        <f>'O&amp;M_Backup'!A62</f>
        <v>Other Supplies &amp; Expenses</v>
      </c>
      <c r="C16" s="41"/>
      <c r="D16" s="79">
        <f>'O&amp;M_Backup'!D92</f>
        <v>56580</v>
      </c>
      <c r="E16" s="258">
        <f t="shared" si="0"/>
        <v>56580</v>
      </c>
      <c r="F16" s="258">
        <f t="shared" si="1"/>
        <v>56580</v>
      </c>
      <c r="G16" s="258">
        <f t="shared" si="2"/>
        <v>56580</v>
      </c>
      <c r="H16" s="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</row>
    <row r="17" spans="1:42">
      <c r="A17" s="3"/>
      <c r="B17" s="40" t="str">
        <f>'O&amp;M_Backup'!A93</f>
        <v>Communications</v>
      </c>
      <c r="C17" s="41"/>
      <c r="D17" s="79">
        <f>'O&amp;M_Backup'!D97</f>
        <v>9960</v>
      </c>
      <c r="E17" s="258">
        <f t="shared" si="0"/>
        <v>9960</v>
      </c>
      <c r="F17" s="258">
        <f t="shared" si="1"/>
        <v>9960</v>
      </c>
      <c r="G17" s="258">
        <f t="shared" si="2"/>
        <v>9960</v>
      </c>
      <c r="H17" s="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</row>
    <row r="18" spans="1:42" ht="12.75" customHeight="1">
      <c r="A18" s="3"/>
      <c r="B18" s="20" t="str">
        <f>'O&amp;M_Backup'!A98</f>
        <v>Insurance</v>
      </c>
      <c r="C18" s="41"/>
      <c r="D18" s="79">
        <f ca="1">'O&amp;M_Backup'!D103</f>
        <v>3451.9490713655559</v>
      </c>
      <c r="E18" s="258">
        <f t="shared" ca="1" si="0"/>
        <v>3451.9490713655559</v>
      </c>
      <c r="F18" s="258">
        <f t="shared" ca="1" si="1"/>
        <v>3451.9490713655559</v>
      </c>
      <c r="G18" s="258">
        <f t="shared" ca="1" si="2"/>
        <v>3451.9490713655555</v>
      </c>
      <c r="H18" s="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</row>
    <row r="19" spans="1:42" ht="12.75" customHeight="1">
      <c r="A19" s="3"/>
      <c r="B19" s="40" t="str">
        <f>'O&amp;M_Backup'!A104</f>
        <v>Control Room/Laboratory Expenses</v>
      </c>
      <c r="C19" s="41"/>
      <c r="D19" s="79">
        <f>'O&amp;M_Backup'!D113</f>
        <v>4690</v>
      </c>
      <c r="E19" s="258">
        <f t="shared" si="0"/>
        <v>4690</v>
      </c>
      <c r="F19" s="258">
        <f t="shared" si="1"/>
        <v>4690</v>
      </c>
      <c r="G19" s="258">
        <f t="shared" si="2"/>
        <v>4690</v>
      </c>
      <c r="H19" s="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</row>
    <row r="20" spans="1:42">
      <c r="A20" s="3"/>
      <c r="B20" s="40" t="str">
        <f>'O&amp;M_Backup'!A114</f>
        <v>Operations Support (Year 1 Only)</v>
      </c>
      <c r="C20" s="41"/>
      <c r="D20" s="79">
        <f>'O&amp;M_Backup'!D120</f>
        <v>15250</v>
      </c>
      <c r="E20" s="258">
        <v>0</v>
      </c>
      <c r="F20" s="258">
        <f t="shared" si="1"/>
        <v>5083.333333333333</v>
      </c>
      <c r="G20" s="258">
        <f t="shared" si="2"/>
        <v>762.5</v>
      </c>
      <c r="H20" s="3"/>
      <c r="I20" s="33"/>
      <c r="J20" s="33"/>
      <c r="K20" s="33" t="s">
        <v>365</v>
      </c>
      <c r="M20" s="33"/>
      <c r="N20" s="33" t="s">
        <v>366</v>
      </c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</row>
    <row r="21" spans="1:42" ht="12.75" customHeight="1">
      <c r="A21" s="3"/>
      <c r="B21" s="40"/>
      <c r="C21" s="41"/>
      <c r="D21" s="80"/>
      <c r="E21" s="203"/>
      <c r="F21" s="203"/>
      <c r="G21" s="203"/>
      <c r="H21" s="3"/>
      <c r="I21" s="33"/>
      <c r="J21" s="33"/>
      <c r="K21" s="33" t="s">
        <v>367</v>
      </c>
      <c r="L21" s="33"/>
      <c r="N21" s="33" t="s">
        <v>368</v>
      </c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</row>
    <row r="22" spans="1:42" ht="12.75" customHeight="1">
      <c r="A22" s="3"/>
      <c r="B22" s="45" t="s">
        <v>962</v>
      </c>
      <c r="C22" s="47"/>
      <c r="D22" s="79">
        <f ca="1">SUBTOTAL(9,D11:D20)</f>
        <v>213069.64469093518</v>
      </c>
      <c r="E22" s="79">
        <f ca="1">SUBTOTAL(9,E11:E20)</f>
        <v>197819.64469093518</v>
      </c>
      <c r="F22" s="79">
        <f ca="1">SUBTOTAL(9,F11:F20)</f>
        <v>202902.97802426852</v>
      </c>
      <c r="G22" s="79">
        <f ca="1">SUBTOTAL(9,G11:G20)</f>
        <v>198582.14469093518</v>
      </c>
      <c r="H22" s="3" t="s">
        <v>1134</v>
      </c>
      <c r="I22" s="33"/>
      <c r="J22" s="33"/>
      <c r="K22" s="33" t="s">
        <v>369</v>
      </c>
      <c r="L22" s="33"/>
      <c r="M22" s="33"/>
      <c r="N22" s="33" t="s">
        <v>370</v>
      </c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</row>
    <row r="23" spans="1:42" ht="12.75" customHeight="1">
      <c r="A23" s="3"/>
      <c r="B23" s="40"/>
      <c r="C23" s="41"/>
      <c r="D23" s="80"/>
      <c r="E23" s="203"/>
      <c r="F23" s="203"/>
      <c r="G23" s="203"/>
      <c r="H23" s="3"/>
      <c r="I23" s="33"/>
      <c r="J23" s="33"/>
      <c r="K23" s="33" t="s">
        <v>371</v>
      </c>
      <c r="L23" s="33"/>
      <c r="M23" s="33"/>
      <c r="N23" s="33" t="s">
        <v>372</v>
      </c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</row>
    <row r="24" spans="1:42" ht="12.75" hidden="1" customHeight="1">
      <c r="A24" s="66" t="s">
        <v>751</v>
      </c>
      <c r="B24" s="40"/>
      <c r="C24" s="41"/>
      <c r="D24" s="79"/>
      <c r="E24" s="258">
        <f>D24</f>
        <v>0</v>
      </c>
      <c r="F24" s="258">
        <f>(D24+2*E24)/3</f>
        <v>0</v>
      </c>
      <c r="G24" s="258">
        <f>(D24+19*E24)/20</f>
        <v>0</v>
      </c>
      <c r="H24" s="3" t="s">
        <v>1135</v>
      </c>
      <c r="I24" s="33"/>
      <c r="J24" s="33"/>
      <c r="K24" s="33" t="s">
        <v>373</v>
      </c>
      <c r="M24" s="33"/>
      <c r="N24" s="33" t="s">
        <v>374</v>
      </c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</row>
    <row r="25" spans="1:42" ht="12.75" customHeight="1">
      <c r="A25" s="45" t="s">
        <v>1133</v>
      </c>
      <c r="B25" s="40"/>
      <c r="C25" s="41"/>
      <c r="D25" s="79">
        <f>'O&amp;M_Backup'!D136</f>
        <v>29716.6</v>
      </c>
      <c r="E25" s="258">
        <f>D25</f>
        <v>29716.6</v>
      </c>
      <c r="F25" s="258">
        <f>(D25+2*E25)/3</f>
        <v>29716.599999999995</v>
      </c>
      <c r="G25" s="258">
        <f>(D25+19*E25)/20</f>
        <v>29716.6</v>
      </c>
      <c r="H25" s="3" t="s">
        <v>1135</v>
      </c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</row>
    <row r="26" spans="1:42" ht="12.75" hidden="1" customHeight="1">
      <c r="A26" s="45" t="s">
        <v>375</v>
      </c>
      <c r="B26" s="259"/>
      <c r="C26" s="41"/>
      <c r="D26" s="79"/>
      <c r="E26" s="258">
        <f>D26</f>
        <v>0</v>
      </c>
      <c r="F26" s="258">
        <f>(D26+2*E26)/3</f>
        <v>0</v>
      </c>
      <c r="G26" s="258">
        <f>(D26+19*E26)/20</f>
        <v>0</v>
      </c>
      <c r="H26" s="3" t="s">
        <v>1135</v>
      </c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</row>
    <row r="27" spans="1:42" ht="12.75" customHeight="1">
      <c r="A27" s="39"/>
      <c r="B27" s="40"/>
      <c r="C27" s="41"/>
      <c r="D27" s="80"/>
      <c r="E27" s="203"/>
      <c r="F27" s="203"/>
      <c r="G27" s="203"/>
      <c r="H27" s="3"/>
      <c r="I27" s="33"/>
      <c r="J27" s="33"/>
      <c r="K27" s="33" t="s">
        <v>376</v>
      </c>
      <c r="L27" s="33" t="s">
        <v>377</v>
      </c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</row>
    <row r="28" spans="1:42" ht="12.75" customHeight="1">
      <c r="A28" s="45" t="s">
        <v>1145</v>
      </c>
      <c r="B28"/>
      <c r="C28" s="12"/>
      <c r="D28" s="79"/>
      <c r="E28" s="258"/>
      <c r="F28" s="258"/>
      <c r="G28" s="258"/>
      <c r="H28" s="3"/>
      <c r="I28" s="33"/>
      <c r="J28" s="33"/>
      <c r="K28" s="33">
        <f>216+10+2+192</f>
        <v>420</v>
      </c>
      <c r="L28" s="33" t="str">
        <f>N24</f>
        <v xml:space="preserve">  41 gpm</v>
      </c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</row>
    <row r="29" spans="1:42">
      <c r="A29" s="3"/>
      <c r="B29" s="40" t="str">
        <f>'O&amp;M_Backup'!A137</f>
        <v>Painting</v>
      </c>
      <c r="C29" s="41"/>
      <c r="D29" s="79">
        <f>E29*0.25</f>
        <v>7097.5839887540678</v>
      </c>
      <c r="E29" s="258">
        <f>'O&amp;M_Backup'!D144</f>
        <v>28390.335955016271</v>
      </c>
      <c r="F29" s="258">
        <f>(D29+2*E29)/3</f>
        <v>21292.751966262203</v>
      </c>
      <c r="G29" s="258">
        <f>(D29+19*E29)/20</f>
        <v>27325.698356703164</v>
      </c>
      <c r="H29" s="3"/>
      <c r="I29" s="33"/>
      <c r="J29" s="33"/>
      <c r="K29" s="33">
        <f>+K28*60*1300*6/4</f>
        <v>49140000</v>
      </c>
      <c r="L29" s="33">
        <f>41*60*1300*6/4</f>
        <v>4797000</v>
      </c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</row>
    <row r="30" spans="1:42">
      <c r="A30" s="3"/>
      <c r="B30" s="40" t="str">
        <f>'O&amp;M_Backup'!A145</f>
        <v>Instruments &amp; Controls</v>
      </c>
      <c r="C30" s="41"/>
      <c r="D30" s="79">
        <f>'O&amp;M_Backup'!D154/2</f>
        <v>3501.5625</v>
      </c>
      <c r="E30" s="258">
        <f>'O&amp;M_Backup'!D154</f>
        <v>7003.125</v>
      </c>
      <c r="F30" s="258">
        <f t="shared" ref="F30:F39" si="3">(D30+2*E30)/3</f>
        <v>5835.9375</v>
      </c>
      <c r="G30" s="258">
        <f t="shared" ref="G30:G39" si="4">(D30+19*E30)/20</f>
        <v>6828.046875</v>
      </c>
      <c r="H30" s="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</row>
    <row r="31" spans="1:42">
      <c r="A31" s="3"/>
      <c r="B31" s="40" t="str">
        <f>'O&amp;M_Backup'!A155</f>
        <v>Water Treatment System</v>
      </c>
      <c r="C31" s="41"/>
      <c r="D31" s="79">
        <f>'O&amp;M_Backup'!D163/2</f>
        <v>3178.638113128191</v>
      </c>
      <c r="E31" s="258">
        <f>'O&amp;M_Backup'!D163</f>
        <v>6357.276226256382</v>
      </c>
      <c r="F31" s="258">
        <f t="shared" si="3"/>
        <v>5297.7301885469851</v>
      </c>
      <c r="G31" s="258">
        <f t="shared" si="4"/>
        <v>6198.3443205999729</v>
      </c>
      <c r="H31" s="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</row>
    <row r="32" spans="1:42">
      <c r="A32" s="3"/>
      <c r="B32" s="40" t="str">
        <f>'O&amp;M_Backup'!A164</f>
        <v>Cooling System &amp; Chillers</v>
      </c>
      <c r="C32" s="41"/>
      <c r="D32" s="79">
        <f>'O&amp;M_Backup'!D173/2</f>
        <v>22801.861958744681</v>
      </c>
      <c r="E32" s="258">
        <f>'O&amp;M_Backup'!D173</f>
        <v>45603.723917489362</v>
      </c>
      <c r="F32" s="258">
        <f t="shared" si="3"/>
        <v>38003.103264574464</v>
      </c>
      <c r="G32" s="258">
        <f t="shared" si="4"/>
        <v>44463.630819552127</v>
      </c>
      <c r="H32" s="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</row>
    <row r="33" spans="1:42">
      <c r="A33" s="3"/>
      <c r="B33" s="40" t="str">
        <f>'O&amp;M_Backup'!A174</f>
        <v>Electrical/Substation/Interconnects</v>
      </c>
      <c r="C33" s="41"/>
      <c r="D33" s="79">
        <f>'O&amp;M_Backup'!D184/2</f>
        <v>21533.375796589346</v>
      </c>
      <c r="E33" s="258">
        <f>'O&amp;M_Backup'!D184</f>
        <v>43066.751593178691</v>
      </c>
      <c r="F33" s="258">
        <f t="shared" si="3"/>
        <v>35888.95966098224</v>
      </c>
      <c r="G33" s="258">
        <f t="shared" si="4"/>
        <v>41990.082803349222</v>
      </c>
      <c r="H33" s="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</row>
    <row r="34" spans="1:42">
      <c r="A34" s="3"/>
      <c r="B34" s="40" t="str">
        <f>'O&amp;M_Backup'!A185</f>
        <v>Gas Turbines (excluding overhaul maint.)</v>
      </c>
      <c r="C34" s="41"/>
      <c r="D34" s="79">
        <f>'O&amp;M_Backup'!D194/2</f>
        <v>54572.5</v>
      </c>
      <c r="E34" s="258">
        <f>'O&amp;M_Backup'!D194</f>
        <v>109145</v>
      </c>
      <c r="F34" s="258">
        <f t="shared" si="3"/>
        <v>90954.166666666672</v>
      </c>
      <c r="G34" s="258">
        <f t="shared" si="4"/>
        <v>106416.375</v>
      </c>
      <c r="H34" s="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</row>
    <row r="35" spans="1:42" hidden="1">
      <c r="A35" s="3"/>
      <c r="B35" s="40" t="str">
        <f>'O&amp;M_Backup'!A195</f>
        <v>Selective Catalytic Reduction &amp; Ammonia System</v>
      </c>
      <c r="C35" s="41"/>
      <c r="D35" s="79">
        <f>'O&amp;M_Backup'!D205/2</f>
        <v>0</v>
      </c>
      <c r="E35" s="258">
        <f>'O&amp;M_Backup'!D205</f>
        <v>0</v>
      </c>
      <c r="F35" s="258">
        <f t="shared" si="3"/>
        <v>0</v>
      </c>
      <c r="G35" s="258">
        <f t="shared" si="4"/>
        <v>0</v>
      </c>
      <c r="H35" s="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</row>
    <row r="36" spans="1:42" hidden="1">
      <c r="A36" s="3"/>
      <c r="B36" s="40" t="str">
        <f>'O&amp;M_Backup'!A206</f>
        <v>Steam Turbine (including Scheduled Maint.)</v>
      </c>
      <c r="C36" s="41"/>
      <c r="D36" s="79">
        <f>'O&amp;M_Backup'!D216</f>
        <v>0</v>
      </c>
      <c r="E36" s="258">
        <f>'O&amp;M_Backup'!D216</f>
        <v>0</v>
      </c>
      <c r="F36" s="258">
        <f t="shared" si="3"/>
        <v>0</v>
      </c>
      <c r="G36" s="258">
        <f t="shared" si="4"/>
        <v>0</v>
      </c>
      <c r="H36" s="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</row>
    <row r="37" spans="1:42">
      <c r="A37" s="3"/>
      <c r="B37" s="40" t="str">
        <f>'O&amp;M_Backup'!A217</f>
        <v>Potable Water System</v>
      </c>
      <c r="C37" s="41"/>
      <c r="D37" s="79">
        <f>'O&amp;M_Backup'!D226/2</f>
        <v>959.6875</v>
      </c>
      <c r="E37" s="79">
        <f>'O&amp;M_Backup'!D226</f>
        <v>1919.375</v>
      </c>
      <c r="F37" s="258">
        <f t="shared" si="3"/>
        <v>1599.4791666666667</v>
      </c>
      <c r="G37" s="258">
        <f t="shared" si="4"/>
        <v>1871.390625</v>
      </c>
      <c r="H37" s="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</row>
    <row r="38" spans="1:42">
      <c r="A38" s="3"/>
      <c r="B38" s="40" t="str">
        <f>'O&amp;M_Backup'!A227</f>
        <v>Fuel Handling &amp; Compression System</v>
      </c>
      <c r="C38" s="41"/>
      <c r="D38" s="79">
        <f>'O&amp;M_Backup'!D236/2</f>
        <v>16296.875</v>
      </c>
      <c r="E38" s="258">
        <f>'O&amp;M_Backup'!D236</f>
        <v>32593.75</v>
      </c>
      <c r="F38" s="258">
        <f t="shared" si="3"/>
        <v>27161.458333333332</v>
      </c>
      <c r="G38" s="258">
        <f t="shared" si="4"/>
        <v>31778.90625</v>
      </c>
      <c r="H38" s="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</row>
    <row r="39" spans="1:42">
      <c r="A39" s="3"/>
      <c r="B39" s="40" t="str">
        <f>'O&amp;M_Backup'!A237</f>
        <v>Miscellaneous Maintenance Expense</v>
      </c>
      <c r="C39" s="41"/>
      <c r="D39" s="79">
        <f>'O&amp;M_Backup'!D255</f>
        <v>63806.25</v>
      </c>
      <c r="E39" s="258">
        <f>'O&amp;M_Backup'!D255</f>
        <v>63806.25</v>
      </c>
      <c r="F39" s="258">
        <f t="shared" si="3"/>
        <v>63806.25</v>
      </c>
      <c r="G39" s="258">
        <f t="shared" si="4"/>
        <v>63806.25</v>
      </c>
      <c r="H39" s="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</row>
    <row r="40" spans="1:42">
      <c r="A40" s="3"/>
      <c r="B40" s="40"/>
      <c r="C40" s="41"/>
      <c r="D40" s="80"/>
      <c r="E40" s="203"/>
      <c r="F40" s="203"/>
      <c r="G40" s="203"/>
      <c r="H40" s="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</row>
    <row r="41" spans="1:42">
      <c r="A41" s="3"/>
      <c r="B41" s="45" t="s">
        <v>963</v>
      </c>
      <c r="C41" s="47"/>
      <c r="D41" s="79">
        <f>SUBTOTAL(9,D29:D39)</f>
        <v>193748.33485721628</v>
      </c>
      <c r="E41" s="79">
        <f>SUBTOTAL(9,E29:E39)</f>
        <v>337885.58769194072</v>
      </c>
      <c r="F41" s="79">
        <f>SUBTOTAL(9,F29:F39)</f>
        <v>289839.83674703259</v>
      </c>
      <c r="G41" s="79">
        <f>SUBTOTAL(9,G29:G39)</f>
        <v>330678.72505020449</v>
      </c>
      <c r="H41" s="3" t="s">
        <v>1089</v>
      </c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</row>
    <row r="42" spans="1:42">
      <c r="A42" s="3"/>
      <c r="B42" s="45"/>
      <c r="C42" s="47"/>
      <c r="D42" s="79"/>
      <c r="E42" s="258"/>
      <c r="F42" s="258"/>
      <c r="G42" s="258"/>
      <c r="H42" s="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</row>
    <row r="43" spans="1:42">
      <c r="A43" s="66" t="s">
        <v>202</v>
      </c>
      <c r="B43" s="45"/>
      <c r="C43" s="47"/>
      <c r="D43" s="79">
        <f>'O&amp;M_Backup'!D287</f>
        <v>22479.025000000001</v>
      </c>
      <c r="E43" s="258">
        <f>D43</f>
        <v>22479.025000000001</v>
      </c>
      <c r="F43" s="258">
        <f>(D43+2*E43)/3</f>
        <v>22479.025000000005</v>
      </c>
      <c r="G43" s="258">
        <f>(D43+19*E43)/20</f>
        <v>22479.025000000001</v>
      </c>
      <c r="H43" s="3" t="s">
        <v>1134</v>
      </c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</row>
    <row r="44" spans="1:42">
      <c r="A44" s="66"/>
      <c r="B44" s="45"/>
      <c r="C44" s="47"/>
      <c r="D44" s="79"/>
      <c r="E44" s="258"/>
      <c r="F44" s="258"/>
      <c r="G44" s="258"/>
      <c r="H44" s="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</row>
    <row r="45" spans="1:42" hidden="1">
      <c r="A45" s="66" t="s">
        <v>748</v>
      </c>
      <c r="B45" s="45"/>
      <c r="C45" s="47"/>
      <c r="D45" s="79">
        <v>0</v>
      </c>
      <c r="E45" s="258">
        <v>0</v>
      </c>
      <c r="F45" s="258">
        <f>(D45+2*E45)/3</f>
        <v>0</v>
      </c>
      <c r="G45" s="258">
        <f>(D45+19*E45)/20</f>
        <v>0</v>
      </c>
      <c r="H45" s="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</row>
    <row r="46" spans="1:42" hidden="1">
      <c r="A46" s="3"/>
      <c r="B46" s="45"/>
      <c r="C46" s="47"/>
      <c r="D46" s="79"/>
      <c r="E46" s="258"/>
      <c r="F46" s="258"/>
      <c r="G46" s="258"/>
      <c r="H46" s="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</row>
    <row r="47" spans="1:42" ht="13.5" thickBot="1">
      <c r="A47" s="39" t="s">
        <v>964</v>
      </c>
      <c r="B47" s="45"/>
      <c r="C47" s="47"/>
      <c r="D47" s="83">
        <f ca="1">D45+D43+D41+D25+D22+D8+D24+D26</f>
        <v>978856.49071738217</v>
      </c>
      <c r="E47" s="83">
        <f ca="1">E45+E43+E41+E25+E22+E8+E24+E26</f>
        <v>1107743.7435521067</v>
      </c>
      <c r="F47" s="83">
        <f ca="1">F45+F43+F41+F25+F22+F8+F24+F26</f>
        <v>1064781.3259405319</v>
      </c>
      <c r="G47" s="83">
        <f ca="1">G45+G43+G41+G25+G22+G8+G24+G26</f>
        <v>1101299.3809103705</v>
      </c>
      <c r="H47" s="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</row>
    <row r="48" spans="1:42">
      <c r="A48" s="39"/>
      <c r="B48" s="45"/>
      <c r="C48" s="47"/>
      <c r="D48" s="36"/>
      <c r="E48" s="36"/>
      <c r="F48" s="36"/>
      <c r="G48" s="36"/>
      <c r="H48" s="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</row>
    <row r="49" spans="1:42" ht="13.5" thickBot="1">
      <c r="A49" s="39"/>
      <c r="B49" s="3"/>
      <c r="C49" s="44"/>
      <c r="D49" s="3"/>
      <c r="E49" s="3"/>
      <c r="F49" s="3"/>
      <c r="G49" s="3"/>
      <c r="H49" s="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</row>
    <row r="50" spans="1:42" ht="13.5" thickBot="1">
      <c r="A50" s="39" t="s">
        <v>1098</v>
      </c>
      <c r="B50" s="40"/>
      <c r="C50" s="33"/>
      <c r="D50" s="62">
        <f>LM6000PC_MMR_Gas!H9</f>
        <v>44.15625</v>
      </c>
      <c r="H50" s="3" t="s">
        <v>1135</v>
      </c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</row>
    <row r="51" spans="1:42" ht="13.5" hidden="1" thickBot="1">
      <c r="A51" s="39" t="s">
        <v>1136</v>
      </c>
      <c r="B51" s="40"/>
      <c r="C51" s="33"/>
      <c r="D51" s="62"/>
      <c r="H51" s="3" t="s">
        <v>1135</v>
      </c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</row>
    <row r="52" spans="1:42" ht="13.5" hidden="1" thickBot="1">
      <c r="B52" s="3"/>
      <c r="C52" s="44"/>
      <c r="D52" s="260"/>
      <c r="E52" s="261"/>
      <c r="F52" s="261"/>
      <c r="G52" s="261"/>
      <c r="H52" s="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</row>
    <row r="53" spans="1:42" ht="13.5" hidden="1" thickBot="1">
      <c r="A53" s="39" t="s">
        <v>965</v>
      </c>
      <c r="B53" s="3"/>
      <c r="C53" s="44"/>
      <c r="D53" s="54"/>
      <c r="E53" s="54"/>
      <c r="F53" s="54"/>
      <c r="G53" s="54"/>
      <c r="H53" s="3" t="s">
        <v>1134</v>
      </c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</row>
    <row r="54" spans="1:42" ht="13.5" hidden="1" thickBot="1"/>
    <row r="55" spans="1:42" ht="13.5" hidden="1" thickBot="1">
      <c r="A55" s="39" t="s">
        <v>205</v>
      </c>
      <c r="B55" s="3"/>
      <c r="C55" s="41"/>
      <c r="D55" s="86" t="s">
        <v>191</v>
      </c>
      <c r="E55" s="86" t="str">
        <f>D55</f>
        <v>NA</v>
      </c>
      <c r="F55" s="86"/>
      <c r="G55" s="86"/>
      <c r="H55" s="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</row>
    <row r="56" spans="1:42" ht="13.5" hidden="1" thickBot="1">
      <c r="A56" s="39"/>
      <c r="B56" s="3"/>
      <c r="C56" s="41"/>
      <c r="D56" s="36"/>
      <c r="E56" s="36"/>
      <c r="F56" s="36"/>
      <c r="G56" s="36"/>
      <c r="H56" s="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</row>
    <row r="57" spans="1:42" ht="13.5" hidden="1" thickBot="1">
      <c r="A57" s="39" t="s">
        <v>1285</v>
      </c>
      <c r="B57" s="40"/>
      <c r="C57" s="41"/>
      <c r="D57" s="86" t="s">
        <v>191</v>
      </c>
      <c r="E57" s="86" t="str">
        <f>D57</f>
        <v>NA</v>
      </c>
      <c r="F57" s="86" t="str">
        <f>E57</f>
        <v>NA</v>
      </c>
      <c r="G57" s="86" t="str">
        <f>F57</f>
        <v>NA</v>
      </c>
      <c r="H57" s="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</row>
    <row r="58" spans="1:42" ht="13.5" thickBot="1">
      <c r="A58" s="21"/>
      <c r="B58" s="3"/>
      <c r="C58" s="3"/>
      <c r="D58" s="3"/>
      <c r="E58" s="3"/>
      <c r="F58" s="3"/>
      <c r="G58" s="3"/>
      <c r="H58" s="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</row>
    <row r="59" spans="1:42" ht="13.5" thickBot="1">
      <c r="A59" s="39" t="s">
        <v>206</v>
      </c>
      <c r="B59" s="3"/>
      <c r="C59" s="3"/>
      <c r="D59" s="54">
        <f>'O&amp;M_Backup'!D264</f>
        <v>175000</v>
      </c>
      <c r="E59" s="262">
        <f>D59</f>
        <v>175000</v>
      </c>
      <c r="F59" s="262">
        <f>E59</f>
        <v>175000</v>
      </c>
      <c r="G59" s="262">
        <f>F59</f>
        <v>175000</v>
      </c>
      <c r="H59" s="3" t="s">
        <v>1134</v>
      </c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</row>
    <row r="60" spans="1:42">
      <c r="A60" s="3"/>
      <c r="B60" s="3"/>
      <c r="C60" s="3"/>
      <c r="D60" s="3"/>
      <c r="E60" s="3"/>
      <c r="F60" s="3"/>
      <c r="G60" s="3"/>
      <c r="H60" s="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</row>
    <row r="61" spans="1:42">
      <c r="A61" s="3"/>
      <c r="B61" s="3"/>
      <c r="C61" s="3"/>
      <c r="D61" s="3"/>
      <c r="E61" s="3"/>
      <c r="F61" s="3"/>
      <c r="G61" s="3"/>
      <c r="H61" s="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</row>
    <row r="62" spans="1:42">
      <c r="A62" s="3"/>
      <c r="B62" s="3"/>
      <c r="C62" s="3"/>
      <c r="D62" s="3"/>
      <c r="E62" s="3"/>
      <c r="F62" s="3"/>
      <c r="G62" s="3"/>
      <c r="H62" s="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</row>
    <row r="63" spans="1:42">
      <c r="A63" s="3"/>
      <c r="B63" s="3"/>
      <c r="C63" s="3"/>
      <c r="D63" s="3"/>
      <c r="E63" s="3"/>
      <c r="F63" s="3"/>
      <c r="G63" s="3"/>
      <c r="H63" s="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</row>
    <row r="64" spans="1:42">
      <c r="A64" s="3"/>
      <c r="B64" s="3"/>
      <c r="C64" s="3"/>
      <c r="D64" s="3"/>
      <c r="E64" s="3"/>
      <c r="F64" s="3"/>
      <c r="G64" s="3"/>
      <c r="H64" s="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</row>
    <row r="65" spans="1:42">
      <c r="A65" s="3"/>
      <c r="B65" s="3"/>
      <c r="C65" s="3"/>
      <c r="D65" s="3"/>
      <c r="E65" s="3"/>
      <c r="F65" s="3"/>
      <c r="G65" s="3"/>
      <c r="H65" s="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</row>
    <row r="66" spans="1:42">
      <c r="A66" s="3"/>
      <c r="B66" s="3"/>
      <c r="C66" s="3"/>
      <c r="D66" s="3"/>
      <c r="E66" s="3"/>
      <c r="F66" s="3"/>
      <c r="G66" s="3"/>
      <c r="H66" s="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</row>
    <row r="67" spans="1:42">
      <c r="A67" s="3"/>
      <c r="B67" s="3"/>
      <c r="C67" s="3"/>
      <c r="D67" s="3"/>
      <c r="E67" s="3"/>
      <c r="F67" s="3"/>
      <c r="G67" s="3"/>
      <c r="H67" s="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</row>
    <row r="68" spans="1:42">
      <c r="A68" s="3"/>
      <c r="B68" s="3"/>
      <c r="C68" s="3"/>
      <c r="D68" s="3"/>
      <c r="E68" s="3"/>
      <c r="F68" s="3"/>
      <c r="G68" s="3"/>
      <c r="H68" s="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</row>
    <row r="69" spans="1:42">
      <c r="A69" s="3"/>
      <c r="B69" s="3"/>
      <c r="C69" s="3"/>
      <c r="D69" s="3"/>
      <c r="E69" s="3"/>
      <c r="F69" s="3"/>
      <c r="G69" s="3"/>
      <c r="H69" s="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</row>
    <row r="70" spans="1:42">
      <c r="A70" s="3"/>
      <c r="B70" s="3"/>
      <c r="C70" s="3"/>
      <c r="D70" s="3"/>
      <c r="E70" s="3"/>
      <c r="F70" s="3"/>
      <c r="G70" s="3"/>
      <c r="H70" s="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</row>
    <row r="71" spans="1:42">
      <c r="A71" s="3"/>
      <c r="B71" s="3"/>
      <c r="C71" s="3"/>
      <c r="D71" s="3"/>
      <c r="E71" s="3"/>
      <c r="F71" s="3"/>
      <c r="G71" s="3"/>
      <c r="H71" s="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</row>
    <row r="72" spans="1:42">
      <c r="A72" s="3"/>
      <c r="B72" s="3"/>
      <c r="C72" s="3"/>
      <c r="D72" s="3"/>
      <c r="E72" s="3"/>
      <c r="F72" s="3"/>
      <c r="G72" s="3"/>
      <c r="H72" s="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</row>
    <row r="73" spans="1:42">
      <c r="A73" s="3"/>
      <c r="B73" s="3"/>
      <c r="C73" s="3"/>
      <c r="D73" s="3"/>
      <c r="E73" s="3"/>
      <c r="F73" s="3"/>
      <c r="G73" s="3"/>
      <c r="H73" s="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</row>
    <row r="74" spans="1:42">
      <c r="A74" s="3"/>
      <c r="B74" s="3"/>
      <c r="C74" s="3"/>
      <c r="D74" s="3"/>
      <c r="E74" s="3"/>
      <c r="F74" s="3"/>
      <c r="G74" s="3"/>
      <c r="H74" s="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</row>
    <row r="75" spans="1:42">
      <c r="A75" s="3"/>
      <c r="B75" s="3"/>
      <c r="C75" s="3"/>
      <c r="D75" s="3"/>
      <c r="E75" s="3"/>
      <c r="F75" s="3"/>
      <c r="G75" s="3"/>
      <c r="H75" s="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</row>
    <row r="76" spans="1:42">
      <c r="A76" s="3"/>
      <c r="B76" s="3"/>
      <c r="C76" s="3"/>
      <c r="D76" s="3"/>
      <c r="E76" s="3"/>
      <c r="F76" s="3"/>
      <c r="G76" s="3"/>
      <c r="H76" s="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</row>
    <row r="77" spans="1:42">
      <c r="A77" s="3"/>
      <c r="B77" s="3"/>
      <c r="C77" s="3"/>
      <c r="D77" s="3"/>
      <c r="E77" s="3"/>
      <c r="F77" s="3"/>
      <c r="G77" s="3"/>
      <c r="H77" s="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</row>
    <row r="78" spans="1:42">
      <c r="A78" s="3"/>
      <c r="B78" s="3"/>
      <c r="C78" s="3"/>
      <c r="D78" s="3"/>
      <c r="E78" s="3"/>
      <c r="F78" s="3"/>
      <c r="G78" s="3"/>
      <c r="H78" s="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</row>
    <row r="79" spans="1:42">
      <c r="A79" s="3"/>
      <c r="B79" s="3"/>
      <c r="C79" s="3"/>
      <c r="D79" s="3"/>
      <c r="E79" s="3"/>
      <c r="F79" s="3"/>
      <c r="G79" s="3"/>
      <c r="H79" s="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</row>
    <row r="80" spans="1:42">
      <c r="A80" s="3"/>
      <c r="B80" s="3"/>
      <c r="C80" s="3"/>
      <c r="D80" s="3"/>
      <c r="E80" s="3"/>
      <c r="F80" s="3"/>
      <c r="G80" s="3"/>
      <c r="H80" s="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</row>
    <row r="81" spans="1:42">
      <c r="A81" s="3"/>
      <c r="B81" s="3"/>
      <c r="C81" s="3"/>
      <c r="D81" s="3"/>
      <c r="E81" s="3"/>
      <c r="F81" s="3"/>
      <c r="G81" s="3"/>
      <c r="H81" s="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</row>
    <row r="82" spans="1:42">
      <c r="A82" s="3"/>
      <c r="B82" s="3"/>
      <c r="C82" s="3"/>
      <c r="D82" s="3"/>
      <c r="E82" s="3"/>
      <c r="F82" s="3"/>
      <c r="G82" s="3"/>
      <c r="H82" s="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</row>
    <row r="83" spans="1:42">
      <c r="A83" s="3"/>
      <c r="B83" s="3"/>
      <c r="C83" s="3"/>
      <c r="D83" s="3"/>
      <c r="E83" s="3"/>
      <c r="F83" s="3"/>
      <c r="G83" s="3"/>
      <c r="H83" s="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</row>
    <row r="84" spans="1:42">
      <c r="A84" s="3"/>
      <c r="B84" s="3"/>
      <c r="C84" s="3"/>
      <c r="D84" s="3"/>
      <c r="E84" s="3"/>
      <c r="F84" s="3"/>
      <c r="G84" s="3"/>
      <c r="H84" s="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</row>
    <row r="85" spans="1:42">
      <c r="A85" s="3"/>
      <c r="B85" s="3"/>
      <c r="C85" s="3"/>
      <c r="D85" s="3"/>
      <c r="E85" s="3"/>
      <c r="F85" s="3"/>
      <c r="G85" s="3"/>
      <c r="H85" s="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</row>
    <row r="86" spans="1:42">
      <c r="A86" s="3"/>
      <c r="B86" s="3"/>
      <c r="C86" s="3"/>
      <c r="D86" s="3"/>
      <c r="E86" s="3"/>
      <c r="F86" s="3"/>
      <c r="G86" s="3"/>
      <c r="H86" s="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</row>
    <row r="87" spans="1:42">
      <c r="A87" s="3"/>
      <c r="B87" s="3"/>
      <c r="C87" s="3"/>
      <c r="D87" s="3"/>
      <c r="E87" s="3"/>
      <c r="F87" s="3"/>
      <c r="G87" s="3"/>
      <c r="H87" s="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</row>
    <row r="88" spans="1:42">
      <c r="A88" s="3"/>
      <c r="B88" s="3"/>
      <c r="C88" s="3"/>
      <c r="D88" s="3"/>
      <c r="E88" s="3"/>
      <c r="F88" s="3"/>
      <c r="G88" s="3"/>
      <c r="H88" s="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</row>
    <row r="89" spans="1:42">
      <c r="A89" s="3"/>
      <c r="B89" s="3"/>
      <c r="C89" s="3"/>
      <c r="D89" s="3"/>
      <c r="E89" s="3"/>
      <c r="F89" s="3"/>
      <c r="G89" s="3"/>
      <c r="H89" s="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</row>
    <row r="90" spans="1:42">
      <c r="A90" s="3"/>
      <c r="B90" s="3"/>
      <c r="C90" s="3"/>
      <c r="D90" s="3"/>
      <c r="E90" s="3"/>
      <c r="F90" s="3"/>
      <c r="G90" s="3"/>
      <c r="H90" s="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</row>
    <row r="91" spans="1:42">
      <c r="A91" s="3"/>
      <c r="B91" s="3"/>
      <c r="C91" s="3"/>
      <c r="D91" s="3"/>
      <c r="E91" s="3"/>
      <c r="F91" s="3"/>
      <c r="G91" s="3"/>
      <c r="H91" s="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</row>
    <row r="92" spans="1:42">
      <c r="A92" s="3"/>
      <c r="B92" s="3"/>
      <c r="C92" s="3"/>
      <c r="D92" s="3"/>
      <c r="E92" s="3"/>
      <c r="F92" s="3"/>
      <c r="G92" s="3"/>
      <c r="H92" s="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</row>
    <row r="93" spans="1:42">
      <c r="A93" s="3"/>
      <c r="B93" s="3"/>
      <c r="C93" s="3"/>
      <c r="D93" s="3"/>
      <c r="E93" s="3"/>
      <c r="F93" s="3"/>
      <c r="G93" s="3"/>
      <c r="H93" s="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</row>
    <row r="94" spans="1:42">
      <c r="A94" s="3"/>
      <c r="B94" s="3"/>
      <c r="C94" s="3"/>
      <c r="D94" s="3"/>
      <c r="E94" s="3"/>
      <c r="F94" s="3"/>
      <c r="G94" s="3"/>
      <c r="H94" s="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</row>
    <row r="95" spans="1:42">
      <c r="A95" s="3"/>
      <c r="B95" s="3"/>
      <c r="C95" s="3"/>
      <c r="D95" s="3"/>
      <c r="E95" s="3"/>
      <c r="F95" s="3"/>
      <c r="G95" s="3"/>
      <c r="H95" s="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</row>
    <row r="96" spans="1:42">
      <c r="A96" s="3"/>
      <c r="B96" s="3"/>
      <c r="C96" s="3"/>
      <c r="D96" s="3"/>
      <c r="E96" s="3"/>
      <c r="F96" s="3"/>
      <c r="G96" s="3"/>
      <c r="H96" s="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</row>
    <row r="97" spans="1:42">
      <c r="A97" s="3"/>
      <c r="B97" s="3"/>
      <c r="C97" s="3"/>
      <c r="D97" s="3"/>
      <c r="E97" s="3"/>
      <c r="F97" s="3"/>
      <c r="G97" s="3"/>
      <c r="H97" s="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</row>
    <row r="98" spans="1:42">
      <c r="A98" s="3"/>
      <c r="B98" s="3"/>
      <c r="C98" s="3"/>
      <c r="D98" s="3"/>
      <c r="E98" s="3"/>
      <c r="F98" s="3"/>
      <c r="G98" s="3"/>
      <c r="H98" s="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</row>
    <row r="99" spans="1:42">
      <c r="A99" s="3"/>
      <c r="B99" s="3"/>
      <c r="C99" s="3"/>
      <c r="D99" s="3"/>
      <c r="E99" s="3"/>
      <c r="F99" s="3"/>
      <c r="G99" s="3"/>
      <c r="H99" s="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</row>
    <row r="100" spans="1:42">
      <c r="A100" s="3"/>
      <c r="B100" s="3"/>
      <c r="C100" s="3"/>
      <c r="D100" s="3"/>
      <c r="E100" s="3"/>
      <c r="F100" s="3"/>
      <c r="G100" s="3"/>
      <c r="H100" s="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</row>
    <row r="101" spans="1:42">
      <c r="A101" s="3"/>
      <c r="B101" s="3"/>
      <c r="C101" s="3"/>
      <c r="D101" s="3"/>
      <c r="E101" s="3"/>
      <c r="F101" s="3"/>
      <c r="G101" s="3"/>
      <c r="H101" s="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</row>
    <row r="102" spans="1:42">
      <c r="A102" s="3"/>
      <c r="B102" s="3"/>
      <c r="C102" s="3"/>
      <c r="D102" s="3"/>
      <c r="E102" s="3"/>
      <c r="F102" s="3"/>
      <c r="G102" s="3"/>
      <c r="H102" s="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</row>
    <row r="103" spans="1:42">
      <c r="A103" s="3"/>
      <c r="B103" s="3"/>
      <c r="C103" s="3"/>
      <c r="D103" s="3"/>
      <c r="E103" s="3"/>
      <c r="F103" s="3"/>
      <c r="G103" s="3"/>
      <c r="H103" s="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</row>
    <row r="104" spans="1:42">
      <c r="A104" s="3"/>
      <c r="B104" s="3"/>
      <c r="C104" s="3"/>
      <c r="D104" s="3"/>
      <c r="E104" s="3"/>
      <c r="F104" s="3"/>
      <c r="G104" s="3"/>
      <c r="H104" s="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</row>
    <row r="105" spans="1:42">
      <c r="A105" s="3"/>
      <c r="B105" s="3"/>
      <c r="C105" s="3"/>
      <c r="D105" s="3"/>
      <c r="E105" s="3"/>
      <c r="F105" s="3"/>
      <c r="G105" s="3"/>
      <c r="H105" s="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</row>
    <row r="106" spans="1:42">
      <c r="A106" s="3"/>
      <c r="B106" s="3"/>
      <c r="C106" s="3"/>
      <c r="D106" s="3"/>
      <c r="E106" s="3"/>
      <c r="F106" s="3"/>
      <c r="G106" s="3"/>
      <c r="H106" s="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</row>
    <row r="107" spans="1:42">
      <c r="A107" s="3"/>
      <c r="B107" s="3"/>
      <c r="C107" s="3"/>
      <c r="D107" s="3"/>
      <c r="E107" s="3"/>
      <c r="F107" s="3"/>
      <c r="G107" s="3"/>
      <c r="H107" s="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</row>
    <row r="108" spans="1:42">
      <c r="A108" s="3"/>
      <c r="B108" s="3"/>
      <c r="C108" s="3"/>
      <c r="D108" s="3"/>
      <c r="E108" s="3"/>
      <c r="F108" s="3"/>
      <c r="G108" s="3"/>
      <c r="H108" s="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</row>
    <row r="109" spans="1:42">
      <c r="A109" s="3"/>
      <c r="B109" s="3"/>
      <c r="C109" s="3"/>
      <c r="D109" s="3"/>
      <c r="E109" s="3"/>
      <c r="F109" s="3"/>
      <c r="G109" s="3"/>
      <c r="H109" s="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</row>
    <row r="110" spans="1:42">
      <c r="A110" s="3"/>
      <c r="B110" s="3"/>
      <c r="C110" s="3"/>
      <c r="D110" s="3"/>
      <c r="E110" s="3"/>
      <c r="F110" s="3"/>
      <c r="G110" s="3"/>
      <c r="H110" s="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</row>
    <row r="111" spans="1:42">
      <c r="A111" s="3"/>
      <c r="B111" s="3"/>
      <c r="C111" s="3"/>
      <c r="D111" s="3"/>
      <c r="E111" s="3"/>
      <c r="F111" s="3"/>
      <c r="G111" s="3"/>
      <c r="H111" s="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</row>
    <row r="112" spans="1:42">
      <c r="A112" s="3"/>
      <c r="B112" s="3"/>
      <c r="C112" s="3"/>
      <c r="D112" s="3"/>
      <c r="E112" s="3"/>
      <c r="F112" s="3"/>
      <c r="G112" s="3"/>
      <c r="H112" s="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</row>
    <row r="113" spans="1:42">
      <c r="A113" s="3"/>
      <c r="B113" s="3"/>
      <c r="C113" s="3"/>
      <c r="D113" s="3"/>
      <c r="E113" s="3"/>
      <c r="F113" s="3"/>
      <c r="G113" s="3"/>
      <c r="H113" s="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</row>
    <row r="114" spans="1:42">
      <c r="A114" s="3"/>
      <c r="B114" s="3"/>
      <c r="C114" s="3"/>
      <c r="D114" s="3"/>
      <c r="E114" s="3"/>
      <c r="F114" s="3"/>
      <c r="G114" s="3"/>
      <c r="H114" s="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</row>
    <row r="115" spans="1:42">
      <c r="A115" s="3"/>
      <c r="B115" s="3"/>
      <c r="C115" s="3"/>
      <c r="D115" s="3"/>
      <c r="E115" s="3"/>
      <c r="F115" s="3"/>
      <c r="G115" s="3"/>
      <c r="H115" s="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</row>
    <row r="116" spans="1:42">
      <c r="A116" s="3"/>
      <c r="B116" s="3"/>
      <c r="C116" s="3"/>
      <c r="D116" s="3"/>
      <c r="E116" s="3"/>
      <c r="F116" s="3"/>
      <c r="G116" s="3"/>
      <c r="H116" s="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</row>
    <row r="117" spans="1:42">
      <c r="A117" s="3"/>
      <c r="B117" s="3"/>
      <c r="C117" s="3"/>
      <c r="D117" s="3"/>
      <c r="E117" s="3"/>
      <c r="F117" s="3"/>
      <c r="G117" s="3"/>
      <c r="H117" s="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</row>
    <row r="118" spans="1:42">
      <c r="A118" s="3"/>
      <c r="B118" s="3"/>
      <c r="C118" s="3"/>
      <c r="D118" s="3"/>
      <c r="E118" s="3"/>
      <c r="F118" s="3"/>
      <c r="G118" s="3"/>
      <c r="H118" s="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</row>
    <row r="119" spans="1:42">
      <c r="A119" s="3"/>
      <c r="B119" s="3"/>
      <c r="C119" s="3"/>
      <c r="D119" s="3"/>
      <c r="E119" s="3"/>
      <c r="F119" s="3"/>
      <c r="G119" s="3"/>
      <c r="H119" s="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</row>
    <row r="120" spans="1:42">
      <c r="A120" s="3"/>
      <c r="B120" s="3"/>
      <c r="C120" s="3"/>
      <c r="D120" s="3"/>
      <c r="E120" s="3"/>
      <c r="F120" s="3"/>
      <c r="G120" s="3"/>
      <c r="H120" s="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</row>
    <row r="121" spans="1:42">
      <c r="A121" s="3"/>
      <c r="B121" s="3"/>
      <c r="C121" s="3"/>
      <c r="D121" s="3"/>
      <c r="E121" s="3"/>
      <c r="F121" s="3"/>
      <c r="G121" s="3"/>
      <c r="H121" s="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</row>
    <row r="122" spans="1:42">
      <c r="A122" s="3"/>
      <c r="B122" s="3"/>
      <c r="C122" s="3"/>
      <c r="D122" s="3"/>
      <c r="E122" s="3"/>
      <c r="F122" s="3"/>
      <c r="G122" s="3"/>
      <c r="H122" s="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</row>
    <row r="123" spans="1:42">
      <c r="A123" s="3"/>
      <c r="B123" s="3"/>
      <c r="C123" s="3"/>
      <c r="D123" s="3"/>
      <c r="E123" s="3"/>
      <c r="F123" s="3"/>
      <c r="G123" s="3"/>
      <c r="H123" s="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</row>
    <row r="124" spans="1:42">
      <c r="A124" s="3"/>
      <c r="B124" s="3"/>
      <c r="C124" s="3"/>
      <c r="D124" s="3"/>
      <c r="E124" s="3"/>
      <c r="F124" s="3"/>
      <c r="G124" s="3"/>
      <c r="H124" s="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</row>
    <row r="125" spans="1:42">
      <c r="A125" s="3"/>
      <c r="B125" s="3"/>
      <c r="C125" s="3"/>
      <c r="D125" s="3"/>
      <c r="E125" s="3"/>
      <c r="F125" s="3"/>
      <c r="G125" s="3"/>
      <c r="H125" s="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</row>
    <row r="126" spans="1:42">
      <c r="A126" s="3"/>
      <c r="B126" s="3"/>
      <c r="C126" s="3"/>
      <c r="D126" s="3"/>
      <c r="E126" s="3"/>
      <c r="F126" s="3"/>
      <c r="G126" s="3"/>
      <c r="H126" s="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</row>
    <row r="127" spans="1:42">
      <c r="A127" s="3"/>
      <c r="B127" s="3"/>
      <c r="C127" s="3"/>
      <c r="D127" s="3"/>
      <c r="E127" s="3"/>
      <c r="F127" s="3"/>
      <c r="G127" s="3"/>
      <c r="H127" s="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</row>
    <row r="128" spans="1:42">
      <c r="A128" s="3"/>
      <c r="B128" s="3"/>
      <c r="C128" s="3"/>
      <c r="D128" s="3"/>
      <c r="E128" s="3"/>
      <c r="F128" s="3"/>
      <c r="G128" s="3"/>
      <c r="H128" s="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</row>
    <row r="129" spans="1:42">
      <c r="A129" s="3"/>
      <c r="B129" s="3"/>
      <c r="C129" s="3"/>
      <c r="D129" s="3"/>
      <c r="E129" s="3"/>
      <c r="F129" s="3"/>
      <c r="G129" s="3"/>
      <c r="H129" s="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</row>
    <row r="130" spans="1:42">
      <c r="A130" s="3"/>
      <c r="B130" s="3"/>
      <c r="C130" s="3"/>
      <c r="D130" s="3"/>
      <c r="E130" s="3"/>
      <c r="F130" s="3"/>
      <c r="G130" s="3"/>
      <c r="H130" s="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</row>
    <row r="131" spans="1:42">
      <c r="A131" s="3"/>
      <c r="B131" s="3"/>
      <c r="C131" s="3"/>
      <c r="D131" s="3"/>
      <c r="E131" s="3"/>
      <c r="F131" s="3"/>
      <c r="G131" s="3"/>
      <c r="H131" s="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</row>
    <row r="132" spans="1:42">
      <c r="A132" s="3"/>
      <c r="B132" s="3"/>
      <c r="C132" s="3"/>
      <c r="D132" s="3"/>
      <c r="E132" s="3"/>
      <c r="F132" s="3"/>
      <c r="G132" s="3"/>
      <c r="H132" s="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</row>
    <row r="133" spans="1:42">
      <c r="A133" s="3"/>
      <c r="B133" s="3"/>
      <c r="C133" s="3"/>
      <c r="D133" s="3"/>
      <c r="E133" s="3"/>
      <c r="F133" s="3"/>
      <c r="G133" s="3"/>
      <c r="H133" s="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</row>
    <row r="134" spans="1:42">
      <c r="A134" s="3"/>
      <c r="B134" s="3"/>
      <c r="C134" s="3"/>
      <c r="D134" s="3"/>
      <c r="E134" s="3"/>
      <c r="F134" s="3"/>
      <c r="G134" s="3"/>
      <c r="H134" s="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</row>
    <row r="135" spans="1:42">
      <c r="A135" s="3"/>
      <c r="B135" s="3"/>
      <c r="C135" s="3"/>
      <c r="D135" s="3"/>
      <c r="E135" s="3"/>
      <c r="F135" s="3"/>
      <c r="G135" s="3"/>
      <c r="H135" s="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</row>
    <row r="136" spans="1:42">
      <c r="A136" s="3"/>
      <c r="B136" s="3"/>
      <c r="C136" s="3"/>
      <c r="D136" s="3"/>
      <c r="E136" s="3"/>
      <c r="F136" s="3"/>
      <c r="G136" s="3"/>
      <c r="H136" s="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</row>
    <row r="137" spans="1:42">
      <c r="A137" s="3"/>
      <c r="B137" s="3"/>
      <c r="C137" s="3"/>
      <c r="D137" s="3"/>
      <c r="E137" s="3"/>
      <c r="F137" s="3"/>
      <c r="G137" s="3"/>
      <c r="H137" s="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</row>
    <row r="138" spans="1:42">
      <c r="A138" s="3"/>
      <c r="B138" s="3"/>
      <c r="C138" s="3"/>
      <c r="D138" s="3"/>
      <c r="E138" s="3"/>
      <c r="F138" s="3"/>
      <c r="G138" s="3"/>
      <c r="H138" s="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</row>
    <row r="139" spans="1:42">
      <c r="A139" s="3"/>
      <c r="B139" s="3"/>
      <c r="C139" s="3"/>
      <c r="D139" s="3"/>
      <c r="E139" s="3"/>
      <c r="F139" s="3"/>
      <c r="G139" s="3"/>
      <c r="H139" s="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</row>
    <row r="140" spans="1:42">
      <c r="A140" s="3"/>
      <c r="B140" s="3"/>
      <c r="C140" s="3"/>
      <c r="D140" s="3"/>
      <c r="E140" s="3"/>
      <c r="F140" s="3"/>
      <c r="G140" s="3"/>
      <c r="H140" s="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</row>
    <row r="141" spans="1:42">
      <c r="A141" s="3"/>
      <c r="B141" s="3"/>
      <c r="C141" s="3"/>
      <c r="D141" s="3"/>
      <c r="E141" s="3"/>
      <c r="F141" s="3"/>
      <c r="G141" s="3"/>
      <c r="H141" s="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</row>
    <row r="142" spans="1:42">
      <c r="A142" s="3"/>
      <c r="B142" s="3"/>
      <c r="C142" s="3"/>
      <c r="D142" s="3"/>
      <c r="E142" s="3"/>
      <c r="F142" s="3"/>
      <c r="G142" s="3"/>
      <c r="H142" s="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</row>
    <row r="143" spans="1:42">
      <c r="A143" s="3"/>
      <c r="B143" s="3"/>
      <c r="C143" s="3"/>
      <c r="D143" s="3"/>
      <c r="E143" s="3"/>
      <c r="F143" s="3"/>
      <c r="G143" s="3"/>
      <c r="H143" s="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</row>
    <row r="144" spans="1:42">
      <c r="A144" s="3"/>
      <c r="B144" s="3"/>
      <c r="C144" s="3"/>
      <c r="D144" s="3"/>
      <c r="E144" s="3"/>
      <c r="F144" s="3"/>
      <c r="G144" s="3"/>
      <c r="H144" s="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</row>
    <row r="145" spans="1:42">
      <c r="A145" s="3"/>
      <c r="B145" s="3"/>
      <c r="C145" s="3"/>
      <c r="D145" s="3"/>
      <c r="E145" s="3"/>
      <c r="F145" s="3"/>
      <c r="G145" s="3"/>
      <c r="H145" s="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</row>
    <row r="146" spans="1:42">
      <c r="A146" s="3"/>
      <c r="B146" s="3"/>
      <c r="C146" s="3"/>
      <c r="D146" s="3"/>
      <c r="E146" s="3"/>
      <c r="F146" s="3"/>
      <c r="G146" s="3"/>
      <c r="H146" s="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</row>
    <row r="147" spans="1:42">
      <c r="A147" s="3"/>
      <c r="B147" s="3"/>
      <c r="C147" s="3"/>
      <c r="D147" s="3"/>
      <c r="E147" s="3"/>
      <c r="F147" s="3"/>
      <c r="G147" s="3"/>
      <c r="H147" s="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</row>
    <row r="148" spans="1:42">
      <c r="A148" s="3"/>
      <c r="B148" s="3"/>
      <c r="C148" s="3"/>
      <c r="D148" s="3"/>
      <c r="E148" s="3"/>
      <c r="F148" s="3"/>
      <c r="G148" s="3"/>
      <c r="H148" s="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</row>
    <row r="149" spans="1:42">
      <c r="A149" s="3"/>
      <c r="B149" s="3"/>
      <c r="C149" s="3"/>
      <c r="D149" s="3"/>
      <c r="E149" s="3"/>
      <c r="F149" s="3"/>
      <c r="G149" s="3"/>
      <c r="H149" s="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</row>
    <row r="150" spans="1:42">
      <c r="A150" s="3"/>
      <c r="B150" s="3"/>
      <c r="C150" s="3"/>
      <c r="D150" s="3"/>
      <c r="E150" s="3"/>
      <c r="F150" s="3"/>
      <c r="G150" s="3"/>
      <c r="H150" s="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</row>
    <row r="151" spans="1:42">
      <c r="A151" s="3"/>
      <c r="B151" s="3"/>
      <c r="C151" s="3"/>
      <c r="D151" s="3"/>
      <c r="E151" s="3"/>
      <c r="F151" s="3"/>
      <c r="G151" s="3"/>
      <c r="H151" s="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</row>
    <row r="152" spans="1:42">
      <c r="A152" s="3"/>
      <c r="B152" s="3"/>
      <c r="C152" s="3"/>
      <c r="D152" s="3"/>
      <c r="E152" s="3"/>
      <c r="F152" s="3"/>
      <c r="G152" s="3"/>
      <c r="H152" s="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</row>
    <row r="153" spans="1:42">
      <c r="A153" s="3"/>
      <c r="B153" s="3"/>
      <c r="C153" s="3"/>
      <c r="D153" s="3"/>
      <c r="E153" s="3"/>
      <c r="F153" s="3"/>
      <c r="G153" s="3"/>
      <c r="H153" s="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</row>
    <row r="154" spans="1:42">
      <c r="A154" s="3"/>
      <c r="B154" s="3"/>
      <c r="C154" s="3"/>
      <c r="D154" s="3"/>
      <c r="E154" s="3"/>
      <c r="F154" s="3"/>
      <c r="G154" s="3"/>
      <c r="H154" s="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</row>
    <row r="155" spans="1:42">
      <c r="A155" s="3"/>
      <c r="B155" s="3"/>
      <c r="C155" s="3"/>
      <c r="D155" s="3"/>
      <c r="E155" s="3"/>
      <c r="F155" s="3"/>
      <c r="G155" s="3"/>
      <c r="H155" s="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</row>
    <row r="156" spans="1:42">
      <c r="A156" s="3"/>
      <c r="B156" s="3"/>
      <c r="C156" s="3"/>
      <c r="D156" s="3"/>
      <c r="E156" s="3"/>
      <c r="F156" s="3"/>
      <c r="G156" s="3"/>
      <c r="H156" s="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</row>
    <row r="157" spans="1:42">
      <c r="A157" s="3"/>
      <c r="B157" s="3"/>
      <c r="C157" s="3"/>
      <c r="D157" s="3"/>
      <c r="E157" s="3"/>
      <c r="F157" s="3"/>
      <c r="G157" s="3"/>
      <c r="H157" s="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</row>
    <row r="158" spans="1:42">
      <c r="A158" s="3"/>
      <c r="B158" s="3"/>
      <c r="C158" s="3"/>
      <c r="D158" s="3"/>
      <c r="E158" s="3"/>
      <c r="F158" s="3"/>
      <c r="G158" s="3"/>
      <c r="H158" s="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</row>
    <row r="159" spans="1:42">
      <c r="A159" s="3"/>
      <c r="B159" s="3"/>
      <c r="C159" s="3"/>
      <c r="D159" s="3"/>
      <c r="E159" s="3"/>
      <c r="F159" s="3"/>
      <c r="G159" s="3"/>
      <c r="H159" s="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</row>
    <row r="160" spans="1:42">
      <c r="A160" s="3"/>
      <c r="B160" s="3"/>
      <c r="C160" s="3"/>
      <c r="D160" s="3"/>
      <c r="E160" s="3"/>
      <c r="F160" s="3"/>
      <c r="G160" s="3"/>
      <c r="H160" s="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</row>
    <row r="161" spans="1:42">
      <c r="A161" s="3"/>
      <c r="B161" s="3"/>
      <c r="C161" s="3"/>
      <c r="D161" s="3"/>
      <c r="E161" s="3"/>
      <c r="F161" s="3"/>
      <c r="G161" s="3"/>
      <c r="H161" s="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</row>
    <row r="162" spans="1:42">
      <c r="A162" s="3"/>
      <c r="B162" s="3"/>
      <c r="C162" s="3"/>
      <c r="D162" s="3"/>
      <c r="E162" s="3"/>
      <c r="F162" s="3"/>
      <c r="G162" s="3"/>
      <c r="H162" s="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</row>
    <row r="163" spans="1:42">
      <c r="A163" s="3"/>
      <c r="B163" s="3"/>
      <c r="C163" s="3"/>
      <c r="D163" s="3"/>
      <c r="E163" s="3"/>
      <c r="F163" s="3"/>
      <c r="G163" s="3"/>
      <c r="H163" s="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</row>
    <row r="164" spans="1:42">
      <c r="A164" s="3"/>
      <c r="B164" s="3"/>
      <c r="C164" s="3"/>
      <c r="D164" s="3"/>
      <c r="E164" s="3"/>
      <c r="F164" s="3"/>
      <c r="G164" s="3"/>
      <c r="H164" s="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</row>
    <row r="165" spans="1:42">
      <c r="A165" s="3"/>
      <c r="B165" s="3"/>
      <c r="C165" s="3"/>
      <c r="D165" s="3"/>
      <c r="E165" s="3"/>
      <c r="F165" s="3"/>
      <c r="G165" s="3"/>
      <c r="H165" s="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</row>
    <row r="166" spans="1:42">
      <c r="A166" s="3"/>
      <c r="B166" s="3"/>
      <c r="C166" s="3"/>
      <c r="D166" s="3"/>
      <c r="E166" s="3"/>
      <c r="F166" s="3"/>
      <c r="G166" s="3"/>
      <c r="H166" s="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</row>
    <row r="167" spans="1:42">
      <c r="A167" s="3"/>
      <c r="B167" s="3"/>
      <c r="C167" s="3"/>
      <c r="D167" s="3"/>
      <c r="E167" s="3"/>
      <c r="F167" s="3"/>
      <c r="G167" s="3"/>
      <c r="H167" s="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</row>
    <row r="168" spans="1:42">
      <c r="A168" s="3"/>
      <c r="B168" s="3"/>
      <c r="C168" s="3"/>
      <c r="D168" s="3"/>
      <c r="E168" s="3"/>
      <c r="F168" s="3"/>
      <c r="G168" s="3"/>
      <c r="H168" s="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</row>
    <row r="169" spans="1:42">
      <c r="A169" s="3"/>
      <c r="B169" s="3"/>
      <c r="C169" s="3"/>
      <c r="D169" s="3"/>
      <c r="E169" s="3"/>
      <c r="F169" s="3"/>
      <c r="G169" s="3"/>
      <c r="H169" s="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</row>
    <row r="170" spans="1:42">
      <c r="A170" s="3"/>
      <c r="B170" s="3"/>
      <c r="C170" s="3"/>
      <c r="D170" s="3"/>
      <c r="E170" s="3"/>
      <c r="F170" s="3"/>
      <c r="G170" s="3"/>
      <c r="H170" s="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</row>
    <row r="171" spans="1:42">
      <c r="A171" s="3"/>
      <c r="B171" s="3"/>
      <c r="C171" s="3"/>
      <c r="D171" s="3"/>
      <c r="E171" s="3"/>
      <c r="F171" s="3"/>
      <c r="G171" s="3"/>
      <c r="H171" s="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</row>
    <row r="172" spans="1:42">
      <c r="A172" s="3"/>
      <c r="B172" s="3"/>
      <c r="C172" s="3"/>
      <c r="D172" s="3"/>
      <c r="E172" s="3"/>
      <c r="F172" s="3"/>
      <c r="G172" s="3"/>
      <c r="H172" s="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</row>
    <row r="173" spans="1:42">
      <c r="A173" s="3"/>
      <c r="B173" s="3"/>
      <c r="C173" s="3"/>
      <c r="D173" s="3"/>
      <c r="E173" s="3"/>
      <c r="F173" s="3"/>
      <c r="G173" s="3"/>
      <c r="H173" s="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</row>
    <row r="174" spans="1:42">
      <c r="A174" s="3"/>
      <c r="B174" s="3"/>
      <c r="C174" s="3"/>
      <c r="D174" s="3"/>
      <c r="E174" s="3"/>
      <c r="F174" s="3"/>
      <c r="G174" s="3"/>
      <c r="H174" s="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</row>
    <row r="175" spans="1:42">
      <c r="A175" s="3"/>
      <c r="B175" s="3"/>
      <c r="C175" s="3"/>
      <c r="D175" s="3"/>
      <c r="E175" s="3"/>
      <c r="F175" s="3"/>
      <c r="G175" s="3"/>
      <c r="H175" s="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</row>
    <row r="176" spans="1:42">
      <c r="A176" s="3"/>
      <c r="B176" s="3"/>
      <c r="C176" s="3"/>
      <c r="D176" s="3"/>
      <c r="E176" s="3"/>
      <c r="F176" s="3"/>
      <c r="G176" s="3"/>
      <c r="H176" s="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</row>
    <row r="177" spans="1:42">
      <c r="A177" s="3"/>
      <c r="B177" s="3"/>
      <c r="C177" s="3"/>
      <c r="D177" s="3"/>
      <c r="E177" s="3"/>
      <c r="F177" s="3"/>
      <c r="G177" s="3"/>
      <c r="H177" s="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</row>
    <row r="178" spans="1:42">
      <c r="A178" s="3"/>
      <c r="B178" s="3"/>
      <c r="C178" s="3"/>
      <c r="D178" s="3"/>
      <c r="E178" s="3"/>
      <c r="F178" s="3"/>
      <c r="G178" s="3"/>
      <c r="H178" s="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</row>
    <row r="179" spans="1:42">
      <c r="A179" s="3"/>
      <c r="B179" s="3"/>
      <c r="C179" s="3"/>
      <c r="D179" s="3"/>
      <c r="E179" s="3"/>
      <c r="F179" s="3"/>
      <c r="G179" s="3"/>
      <c r="H179" s="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</row>
    <row r="180" spans="1:42">
      <c r="A180" s="3"/>
      <c r="B180" s="3"/>
      <c r="C180" s="3"/>
      <c r="D180" s="3"/>
      <c r="E180" s="3"/>
      <c r="F180" s="3"/>
      <c r="G180" s="3"/>
      <c r="H180" s="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</row>
    <row r="181" spans="1:42">
      <c r="A181" s="3"/>
      <c r="B181" s="3"/>
      <c r="C181" s="3"/>
      <c r="D181" s="3"/>
      <c r="E181" s="3"/>
      <c r="F181" s="3"/>
      <c r="G181" s="3"/>
      <c r="H181" s="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</row>
    <row r="182" spans="1:42">
      <c r="A182" s="3"/>
      <c r="B182" s="3"/>
      <c r="C182" s="3"/>
      <c r="D182" s="3"/>
      <c r="E182" s="3"/>
      <c r="F182" s="3"/>
      <c r="G182" s="3"/>
      <c r="H182" s="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</row>
    <row r="183" spans="1:42">
      <c r="A183" s="3"/>
      <c r="B183" s="3"/>
      <c r="C183" s="3"/>
      <c r="D183" s="3"/>
      <c r="E183" s="3"/>
      <c r="F183" s="3"/>
      <c r="G183" s="3"/>
      <c r="H183" s="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</row>
    <row r="184" spans="1:42">
      <c r="A184" s="3"/>
      <c r="B184" s="3"/>
      <c r="C184" s="3"/>
      <c r="D184" s="3"/>
      <c r="E184" s="3"/>
      <c r="F184" s="3"/>
      <c r="G184" s="3"/>
      <c r="H184" s="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</row>
    <row r="185" spans="1:42">
      <c r="A185" s="3"/>
      <c r="B185" s="3"/>
      <c r="C185" s="3"/>
      <c r="D185" s="3"/>
      <c r="E185" s="3"/>
      <c r="F185" s="3"/>
      <c r="G185" s="3"/>
      <c r="H185" s="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</row>
    <row r="186" spans="1:42">
      <c r="A186" s="3"/>
      <c r="B186" s="3"/>
      <c r="C186" s="3"/>
      <c r="D186" s="3"/>
      <c r="E186" s="3"/>
      <c r="F186" s="3"/>
      <c r="G186" s="3"/>
      <c r="H186" s="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</row>
    <row r="187" spans="1:42">
      <c r="A187" s="3"/>
      <c r="B187" s="3"/>
      <c r="C187" s="3"/>
      <c r="D187" s="3"/>
      <c r="E187" s="3"/>
      <c r="F187" s="3"/>
      <c r="G187" s="3"/>
      <c r="H187" s="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</row>
    <row r="188" spans="1:42">
      <c r="A188" s="3"/>
      <c r="B188" s="3"/>
      <c r="C188" s="3"/>
      <c r="D188" s="3"/>
      <c r="E188" s="3"/>
      <c r="F188" s="3"/>
      <c r="G188" s="3"/>
      <c r="H188" s="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</row>
    <row r="189" spans="1:42">
      <c r="A189" s="3"/>
      <c r="B189" s="3"/>
      <c r="C189" s="3"/>
      <c r="D189" s="3"/>
      <c r="E189" s="3"/>
      <c r="F189" s="3"/>
      <c r="G189" s="3"/>
      <c r="H189" s="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</row>
    <row r="190" spans="1:42">
      <c r="A190" s="3"/>
      <c r="B190" s="3"/>
      <c r="C190" s="3"/>
      <c r="D190" s="3"/>
      <c r="E190" s="3"/>
      <c r="F190" s="3"/>
      <c r="G190" s="3"/>
      <c r="H190" s="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</row>
    <row r="191" spans="1:42">
      <c r="A191" s="3"/>
      <c r="B191" s="3"/>
      <c r="C191" s="3"/>
      <c r="D191" s="3"/>
      <c r="E191" s="3"/>
      <c r="F191" s="3"/>
      <c r="G191" s="3"/>
      <c r="H191" s="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</row>
    <row r="192" spans="1:42">
      <c r="A192" s="3"/>
      <c r="B192" s="3"/>
      <c r="C192" s="3"/>
      <c r="D192" s="3"/>
      <c r="E192" s="3"/>
      <c r="F192" s="3"/>
      <c r="G192" s="3"/>
      <c r="H192" s="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</row>
    <row r="193" spans="1:42">
      <c r="A193" s="3"/>
      <c r="B193" s="3"/>
      <c r="C193" s="3"/>
      <c r="D193" s="3"/>
      <c r="E193" s="3"/>
      <c r="F193" s="3"/>
      <c r="G193" s="3"/>
      <c r="H193" s="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</row>
    <row r="194" spans="1:42">
      <c r="A194" s="3"/>
      <c r="B194" s="3"/>
      <c r="C194" s="3"/>
      <c r="D194" s="3"/>
      <c r="E194" s="3"/>
      <c r="F194" s="3"/>
      <c r="G194" s="3"/>
      <c r="H194" s="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</row>
    <row r="195" spans="1:42">
      <c r="A195" s="3"/>
      <c r="B195" s="3"/>
      <c r="C195" s="3"/>
      <c r="D195" s="3"/>
      <c r="E195" s="3"/>
      <c r="F195" s="3"/>
      <c r="G195" s="3"/>
      <c r="H195" s="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</row>
    <row r="196" spans="1:42">
      <c r="A196" s="3"/>
      <c r="B196" s="3"/>
      <c r="C196" s="3"/>
      <c r="D196" s="3"/>
      <c r="E196" s="3"/>
      <c r="F196" s="3"/>
      <c r="G196" s="3"/>
      <c r="H196" s="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</row>
    <row r="197" spans="1:42">
      <c r="A197" s="3"/>
      <c r="B197" s="3"/>
      <c r="C197" s="3"/>
      <c r="D197" s="3"/>
      <c r="E197" s="3"/>
      <c r="F197" s="3"/>
      <c r="G197" s="3"/>
      <c r="H197" s="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</row>
    <row r="198" spans="1:42">
      <c r="A198" s="3"/>
      <c r="B198" s="3"/>
      <c r="C198" s="3"/>
      <c r="D198" s="3"/>
      <c r="E198" s="3"/>
      <c r="F198" s="3"/>
      <c r="G198" s="3"/>
      <c r="H198" s="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</row>
    <row r="199" spans="1:42">
      <c r="A199" s="3"/>
      <c r="B199" s="3"/>
      <c r="C199" s="3"/>
      <c r="D199" s="3"/>
      <c r="E199" s="3"/>
      <c r="F199" s="3"/>
      <c r="G199" s="3"/>
      <c r="H199" s="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</row>
    <row r="200" spans="1:42">
      <c r="A200" s="3"/>
      <c r="B200" s="3"/>
      <c r="C200" s="3"/>
      <c r="D200" s="3"/>
      <c r="E200" s="3"/>
      <c r="F200" s="3"/>
      <c r="G200" s="3"/>
      <c r="H200" s="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</row>
    <row r="201" spans="1:42">
      <c r="A201" s="3"/>
      <c r="B201" s="3"/>
      <c r="C201" s="3"/>
      <c r="D201" s="3"/>
      <c r="E201" s="3"/>
      <c r="F201" s="3"/>
      <c r="G201" s="3"/>
      <c r="H201" s="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</row>
    <row r="202" spans="1:42">
      <c r="A202" s="3"/>
      <c r="B202" s="3"/>
      <c r="C202" s="3"/>
      <c r="D202" s="3"/>
      <c r="E202" s="3"/>
      <c r="F202" s="3"/>
      <c r="G202" s="3"/>
      <c r="H202" s="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</row>
    <row r="203" spans="1:42">
      <c r="A203" s="3"/>
      <c r="B203" s="3"/>
      <c r="C203" s="3"/>
      <c r="D203" s="3"/>
      <c r="E203" s="3"/>
      <c r="F203" s="3"/>
      <c r="G203" s="3"/>
      <c r="H203" s="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</row>
    <row r="204" spans="1:42">
      <c r="A204" s="3"/>
      <c r="B204" s="3"/>
      <c r="C204" s="3"/>
      <c r="D204" s="3"/>
      <c r="E204" s="3"/>
      <c r="F204" s="3"/>
      <c r="G204" s="3"/>
      <c r="H204" s="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</row>
    <row r="205" spans="1:42">
      <c r="A205" s="3"/>
      <c r="B205" s="3"/>
      <c r="C205" s="3"/>
      <c r="D205" s="3"/>
      <c r="E205" s="3"/>
      <c r="F205" s="3"/>
      <c r="G205" s="3"/>
      <c r="H205" s="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</row>
    <row r="206" spans="1:42">
      <c r="A206" s="3"/>
      <c r="B206" s="3"/>
      <c r="C206" s="3"/>
      <c r="D206" s="3"/>
      <c r="E206" s="3"/>
      <c r="F206" s="3"/>
      <c r="G206" s="3"/>
      <c r="H206" s="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</row>
    <row r="207" spans="1:42">
      <c r="A207" s="3"/>
      <c r="B207" s="3"/>
      <c r="C207" s="3"/>
      <c r="D207" s="3"/>
      <c r="E207" s="3"/>
      <c r="F207" s="3"/>
      <c r="G207" s="3"/>
      <c r="H207" s="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</row>
    <row r="208" spans="1:42">
      <c r="A208" s="3"/>
      <c r="B208" s="3"/>
      <c r="C208" s="3"/>
      <c r="D208" s="3"/>
      <c r="E208" s="3"/>
      <c r="F208" s="3"/>
      <c r="G208" s="3"/>
      <c r="H208" s="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</row>
    <row r="209" spans="1:42">
      <c r="A209" s="3"/>
      <c r="B209" s="3"/>
      <c r="C209" s="3"/>
      <c r="D209" s="3"/>
      <c r="E209" s="3"/>
      <c r="F209" s="3"/>
      <c r="G209" s="3"/>
      <c r="H209" s="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</row>
    <row r="210" spans="1:42">
      <c r="A210" s="3"/>
      <c r="B210" s="3"/>
      <c r="C210" s="3"/>
      <c r="D210" s="3"/>
      <c r="E210" s="3"/>
      <c r="F210" s="3"/>
      <c r="G210" s="3"/>
      <c r="H210" s="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</row>
    <row r="211" spans="1:42">
      <c r="A211" s="3"/>
      <c r="B211" s="3"/>
      <c r="C211" s="3"/>
      <c r="D211" s="3"/>
      <c r="E211" s="3"/>
      <c r="F211" s="3"/>
      <c r="G211" s="3"/>
      <c r="H211" s="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</row>
    <row r="212" spans="1:42">
      <c r="A212" s="3"/>
      <c r="B212" s="3"/>
      <c r="C212" s="3"/>
      <c r="D212" s="3"/>
      <c r="E212" s="3"/>
      <c r="F212" s="3"/>
      <c r="G212" s="3"/>
      <c r="H212" s="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</row>
    <row r="213" spans="1:42">
      <c r="A213" s="3"/>
      <c r="B213" s="3"/>
      <c r="C213" s="3"/>
      <c r="D213" s="3"/>
      <c r="E213" s="3"/>
      <c r="F213" s="3"/>
      <c r="G213" s="3"/>
      <c r="H213" s="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</row>
    <row r="214" spans="1:42">
      <c r="A214" s="3"/>
      <c r="B214" s="3"/>
      <c r="C214" s="3"/>
      <c r="D214" s="3"/>
      <c r="E214" s="3"/>
      <c r="F214" s="3"/>
      <c r="G214" s="3"/>
      <c r="H214" s="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</row>
    <row r="215" spans="1:42">
      <c r="A215" s="3"/>
      <c r="B215" s="3"/>
      <c r="C215" s="3"/>
      <c r="D215" s="3"/>
      <c r="E215" s="3"/>
      <c r="F215" s="3"/>
      <c r="G215" s="3"/>
      <c r="H215" s="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</row>
    <row r="216" spans="1:42">
      <c r="A216" s="3"/>
      <c r="B216" s="3"/>
      <c r="C216" s="3"/>
      <c r="D216" s="3"/>
      <c r="E216" s="3"/>
      <c r="F216" s="3"/>
      <c r="G216" s="3"/>
      <c r="H216" s="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</row>
    <row r="217" spans="1:42">
      <c r="A217" s="3"/>
      <c r="B217" s="3"/>
      <c r="C217" s="3"/>
      <c r="D217" s="3"/>
      <c r="E217" s="3"/>
      <c r="F217" s="3"/>
      <c r="G217" s="3"/>
      <c r="H217" s="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</row>
    <row r="218" spans="1:42">
      <c r="A218" s="3"/>
      <c r="B218" s="3"/>
      <c r="C218" s="3"/>
      <c r="D218" s="3"/>
      <c r="E218" s="3"/>
      <c r="F218" s="3"/>
      <c r="G218" s="3"/>
      <c r="H218" s="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</row>
    <row r="219" spans="1:42">
      <c r="A219" s="3"/>
      <c r="B219" s="3"/>
      <c r="C219" s="3"/>
      <c r="D219" s="3"/>
      <c r="E219" s="3"/>
      <c r="F219" s="3"/>
      <c r="G219" s="3"/>
      <c r="H219" s="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</row>
    <row r="220" spans="1:42">
      <c r="A220" s="3"/>
      <c r="B220" s="3"/>
      <c r="C220" s="3"/>
      <c r="D220" s="3"/>
      <c r="E220" s="3"/>
      <c r="F220" s="3"/>
      <c r="G220" s="3"/>
      <c r="H220" s="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</row>
    <row r="221" spans="1:42">
      <c r="A221" s="3"/>
      <c r="B221" s="3"/>
      <c r="C221" s="3"/>
      <c r="D221" s="3"/>
      <c r="E221" s="3"/>
      <c r="F221" s="3"/>
      <c r="G221" s="3"/>
      <c r="H221" s="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</row>
    <row r="222" spans="1:42">
      <c r="A222" s="3"/>
      <c r="B222" s="3"/>
      <c r="C222" s="3"/>
      <c r="D222" s="3"/>
      <c r="E222" s="3"/>
      <c r="F222" s="3"/>
      <c r="G222" s="3"/>
      <c r="H222" s="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</row>
    <row r="223" spans="1:42">
      <c r="A223" s="3"/>
      <c r="B223" s="3"/>
      <c r="C223" s="3"/>
      <c r="D223" s="3"/>
      <c r="E223" s="3"/>
      <c r="F223" s="3"/>
      <c r="G223" s="3"/>
      <c r="H223" s="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</row>
    <row r="224" spans="1:42">
      <c r="A224" s="3"/>
      <c r="B224" s="3"/>
      <c r="C224" s="3"/>
      <c r="D224" s="3"/>
      <c r="E224" s="3"/>
      <c r="F224" s="3"/>
      <c r="G224" s="3"/>
      <c r="H224" s="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</row>
    <row r="225" spans="1:42">
      <c r="A225" s="3"/>
      <c r="B225" s="3"/>
      <c r="C225" s="3"/>
      <c r="D225" s="3"/>
      <c r="E225" s="3"/>
      <c r="F225" s="3"/>
      <c r="G225" s="3"/>
      <c r="H225" s="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</row>
    <row r="226" spans="1:42">
      <c r="A226" s="3"/>
      <c r="B226" s="3"/>
      <c r="C226" s="3"/>
      <c r="D226" s="3"/>
      <c r="E226" s="3"/>
      <c r="F226" s="3"/>
      <c r="G226" s="3"/>
      <c r="H226" s="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</row>
    <row r="227" spans="1:42">
      <c r="A227" s="3"/>
      <c r="B227" s="3"/>
      <c r="C227" s="3"/>
      <c r="D227" s="3"/>
      <c r="E227" s="3"/>
      <c r="F227" s="3"/>
      <c r="G227" s="3"/>
      <c r="H227" s="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</row>
    <row r="228" spans="1:42">
      <c r="A228" s="3"/>
      <c r="B228" s="3"/>
      <c r="C228" s="3"/>
      <c r="D228" s="3"/>
      <c r="E228" s="3"/>
      <c r="F228" s="3"/>
      <c r="G228" s="3"/>
      <c r="H228" s="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</row>
    <row r="229" spans="1:42">
      <c r="A229" s="3"/>
      <c r="B229" s="3"/>
      <c r="C229" s="3"/>
      <c r="D229" s="3"/>
      <c r="E229" s="3"/>
      <c r="F229" s="3"/>
      <c r="G229" s="3"/>
      <c r="H229" s="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</row>
    <row r="230" spans="1:42">
      <c r="A230" s="3"/>
      <c r="B230" s="3"/>
      <c r="C230" s="3"/>
      <c r="D230" s="3"/>
      <c r="E230" s="3"/>
      <c r="F230" s="3"/>
      <c r="G230" s="3"/>
      <c r="H230" s="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</row>
    <row r="231" spans="1:42">
      <c r="A231" s="3"/>
      <c r="B231" s="3"/>
      <c r="C231" s="3"/>
      <c r="D231" s="3"/>
      <c r="E231" s="3"/>
      <c r="F231" s="3"/>
      <c r="G231" s="3"/>
      <c r="H231" s="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</row>
    <row r="232" spans="1:42">
      <c r="A232" s="3"/>
      <c r="B232" s="3"/>
      <c r="C232" s="3"/>
      <c r="D232" s="3"/>
      <c r="E232" s="3"/>
      <c r="F232" s="3"/>
      <c r="G232" s="3"/>
      <c r="H232" s="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</row>
    <row r="233" spans="1:42">
      <c r="A233" s="3"/>
      <c r="B233" s="3"/>
      <c r="C233" s="3"/>
      <c r="D233" s="3"/>
      <c r="E233" s="3"/>
      <c r="F233" s="3"/>
      <c r="G233" s="3"/>
      <c r="H233" s="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</row>
    <row r="234" spans="1:42">
      <c r="A234" s="3"/>
      <c r="B234" s="3"/>
      <c r="C234" s="3"/>
      <c r="D234" s="3"/>
      <c r="E234" s="3"/>
      <c r="F234" s="3"/>
      <c r="G234" s="3"/>
      <c r="H234" s="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</row>
    <row r="235" spans="1:42">
      <c r="A235" s="3"/>
      <c r="B235" s="3"/>
      <c r="C235" s="3"/>
      <c r="D235" s="3"/>
      <c r="E235" s="3"/>
      <c r="F235" s="3"/>
      <c r="G235" s="3"/>
      <c r="H235" s="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</row>
    <row r="236" spans="1:42">
      <c r="A236" s="3"/>
      <c r="B236" s="3"/>
      <c r="C236" s="3"/>
      <c r="D236" s="3"/>
      <c r="E236" s="3"/>
      <c r="F236" s="3"/>
      <c r="G236" s="3"/>
      <c r="H236" s="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</row>
    <row r="237" spans="1:42">
      <c r="A237" s="3"/>
      <c r="B237" s="3"/>
      <c r="C237" s="3"/>
      <c r="D237" s="3"/>
      <c r="E237" s="3"/>
      <c r="F237" s="3"/>
      <c r="G237" s="3"/>
      <c r="H237" s="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</row>
    <row r="238" spans="1:42">
      <c r="A238" s="3"/>
      <c r="B238" s="3"/>
      <c r="C238" s="3"/>
      <c r="D238" s="3"/>
      <c r="E238" s="3"/>
      <c r="F238" s="3"/>
      <c r="G238" s="3"/>
      <c r="H238" s="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</row>
    <row r="239" spans="1:42">
      <c r="A239" s="3"/>
      <c r="B239" s="3"/>
      <c r="C239" s="3"/>
      <c r="D239" s="3"/>
      <c r="E239" s="3"/>
      <c r="F239" s="3"/>
      <c r="G239" s="3"/>
      <c r="H239" s="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</row>
    <row r="240" spans="1:42">
      <c r="A240" s="3"/>
      <c r="B240" s="3"/>
      <c r="C240" s="3"/>
      <c r="D240" s="3"/>
      <c r="E240" s="3"/>
      <c r="F240" s="3"/>
      <c r="G240" s="3"/>
      <c r="H240" s="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</row>
    <row r="241" spans="1:42">
      <c r="A241" s="3"/>
      <c r="B241" s="3"/>
      <c r="C241" s="3"/>
      <c r="D241" s="3"/>
      <c r="E241" s="3"/>
      <c r="F241" s="3"/>
      <c r="G241" s="3"/>
      <c r="H241" s="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</row>
    <row r="242" spans="1:42">
      <c r="A242" s="3"/>
      <c r="B242" s="3"/>
      <c r="C242" s="3"/>
      <c r="D242" s="3"/>
      <c r="E242" s="3"/>
      <c r="F242" s="3"/>
      <c r="G242" s="3"/>
      <c r="H242" s="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</row>
    <row r="243" spans="1:42">
      <c r="A243" s="3"/>
      <c r="B243" s="3"/>
      <c r="C243" s="3"/>
      <c r="D243" s="3"/>
      <c r="E243" s="3"/>
      <c r="F243" s="3"/>
      <c r="G243" s="3"/>
      <c r="H243" s="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</row>
    <row r="244" spans="1:42">
      <c r="A244" s="3"/>
      <c r="B244" s="3"/>
      <c r="C244" s="3"/>
      <c r="D244" s="3"/>
      <c r="E244" s="3"/>
      <c r="F244" s="3"/>
      <c r="G244" s="3"/>
      <c r="H244" s="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</row>
    <row r="245" spans="1:42">
      <c r="A245" s="3"/>
      <c r="B245" s="3"/>
      <c r="C245" s="3"/>
      <c r="D245" s="3"/>
      <c r="E245" s="3"/>
      <c r="F245" s="3"/>
      <c r="G245" s="3"/>
      <c r="H245" s="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</row>
    <row r="246" spans="1:42">
      <c r="A246" s="3"/>
      <c r="B246" s="3"/>
      <c r="C246" s="3"/>
      <c r="D246" s="3"/>
      <c r="E246" s="3"/>
      <c r="F246" s="3"/>
      <c r="G246" s="3"/>
      <c r="H246" s="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</row>
    <row r="247" spans="1:42">
      <c r="A247" s="3"/>
      <c r="B247" s="3"/>
      <c r="C247" s="3"/>
      <c r="D247" s="3"/>
      <c r="E247" s="3"/>
      <c r="F247" s="3"/>
      <c r="G247" s="3"/>
      <c r="H247" s="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</row>
    <row r="248" spans="1:42">
      <c r="A248" s="3"/>
      <c r="B248" s="3"/>
      <c r="C248" s="3"/>
      <c r="D248" s="3"/>
      <c r="E248" s="3"/>
      <c r="F248" s="3"/>
      <c r="G248" s="3"/>
      <c r="H248" s="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</row>
    <row r="249" spans="1:42">
      <c r="A249" s="3"/>
      <c r="B249" s="3"/>
      <c r="C249" s="3"/>
      <c r="D249" s="3"/>
      <c r="E249" s="3"/>
      <c r="F249" s="3"/>
      <c r="G249" s="3"/>
      <c r="H249" s="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</row>
    <row r="250" spans="1:42">
      <c r="A250" s="3"/>
      <c r="B250" s="3"/>
      <c r="C250" s="3"/>
      <c r="D250" s="3"/>
      <c r="E250" s="3"/>
      <c r="F250" s="3"/>
      <c r="G250" s="3"/>
      <c r="H250" s="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</row>
    <row r="251" spans="1:42">
      <c r="A251" s="3"/>
      <c r="B251" s="3"/>
      <c r="C251" s="3"/>
      <c r="D251" s="3"/>
      <c r="E251" s="3"/>
      <c r="F251" s="3"/>
      <c r="G251" s="3"/>
      <c r="H251" s="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</row>
    <row r="252" spans="1:42">
      <c r="A252" s="3"/>
      <c r="B252" s="3"/>
      <c r="C252" s="3"/>
      <c r="D252" s="3"/>
      <c r="E252" s="3"/>
      <c r="F252" s="3"/>
      <c r="G252" s="3"/>
      <c r="H252" s="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</row>
    <row r="253" spans="1:42">
      <c r="A253" s="3"/>
      <c r="B253" s="3"/>
      <c r="C253" s="3"/>
      <c r="D253" s="3"/>
      <c r="E253" s="3"/>
      <c r="F253" s="3"/>
      <c r="G253" s="3"/>
      <c r="H253" s="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</row>
    <row r="254" spans="1:42">
      <c r="A254" s="3"/>
      <c r="B254" s="3"/>
      <c r="C254" s="3"/>
      <c r="D254" s="3"/>
      <c r="E254" s="3"/>
      <c r="F254" s="3"/>
      <c r="G254" s="3"/>
      <c r="H254" s="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</row>
    <row r="255" spans="1:42">
      <c r="A255" s="3"/>
      <c r="B255" s="3"/>
      <c r="C255" s="3"/>
      <c r="D255" s="3"/>
      <c r="E255" s="3"/>
      <c r="F255" s="3"/>
      <c r="G255" s="3"/>
      <c r="H255" s="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</row>
    <row r="256" spans="1:42">
      <c r="A256" s="3"/>
      <c r="B256" s="3"/>
      <c r="C256" s="3"/>
      <c r="D256" s="3"/>
      <c r="E256" s="3"/>
      <c r="F256" s="3"/>
      <c r="G256" s="3"/>
      <c r="H256" s="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</row>
    <row r="257" spans="1:42">
      <c r="A257" s="3"/>
      <c r="B257" s="3"/>
      <c r="C257" s="3"/>
      <c r="D257" s="3"/>
      <c r="E257" s="3"/>
      <c r="F257" s="3"/>
      <c r="G257" s="3"/>
      <c r="H257" s="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</row>
    <row r="258" spans="1:42">
      <c r="A258" s="3"/>
      <c r="B258" s="3"/>
      <c r="C258" s="3"/>
      <c r="D258" s="3"/>
      <c r="E258" s="3"/>
      <c r="F258" s="3"/>
      <c r="G258" s="3"/>
      <c r="H258" s="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</row>
    <row r="259" spans="1:42">
      <c r="A259" s="3"/>
      <c r="B259" s="3"/>
      <c r="C259" s="3"/>
      <c r="D259" s="3"/>
      <c r="E259" s="3"/>
      <c r="F259" s="3"/>
      <c r="G259" s="3"/>
      <c r="H259" s="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</row>
    <row r="260" spans="1:42">
      <c r="A260" s="3"/>
      <c r="B260" s="3"/>
      <c r="C260" s="3"/>
      <c r="D260" s="3"/>
      <c r="E260" s="3"/>
      <c r="F260" s="3"/>
      <c r="G260" s="3"/>
      <c r="H260" s="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</row>
    <row r="261" spans="1:42">
      <c r="A261" s="3"/>
      <c r="B261" s="3"/>
      <c r="C261" s="3"/>
      <c r="D261" s="3"/>
      <c r="E261" s="3"/>
      <c r="F261" s="3"/>
      <c r="G261" s="3"/>
      <c r="H261" s="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</row>
    <row r="262" spans="1:42">
      <c r="A262" s="3"/>
      <c r="B262" s="3"/>
      <c r="C262" s="3"/>
      <c r="D262" s="3"/>
      <c r="E262" s="3"/>
      <c r="F262" s="3"/>
      <c r="G262" s="3"/>
      <c r="H262" s="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</row>
    <row r="263" spans="1:42">
      <c r="A263" s="3"/>
      <c r="B263" s="3"/>
      <c r="C263" s="3"/>
      <c r="D263" s="3"/>
      <c r="E263" s="3"/>
      <c r="F263" s="3"/>
      <c r="G263" s="3"/>
      <c r="H263" s="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</row>
    <row r="264" spans="1:42">
      <c r="A264" s="3"/>
      <c r="B264" s="3"/>
      <c r="C264" s="3"/>
      <c r="D264" s="3"/>
      <c r="E264" s="3"/>
      <c r="F264" s="3"/>
      <c r="G264" s="3"/>
      <c r="H264" s="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</row>
    <row r="265" spans="1:42">
      <c r="A265" s="3"/>
      <c r="B265" s="3"/>
      <c r="C265" s="3"/>
      <c r="D265" s="3"/>
      <c r="E265" s="3"/>
      <c r="F265" s="3"/>
      <c r="G265" s="3"/>
      <c r="H265" s="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</row>
    <row r="266" spans="1:42">
      <c r="A266" s="3"/>
      <c r="B266" s="3"/>
      <c r="C266" s="3"/>
      <c r="D266" s="3"/>
      <c r="E266" s="3"/>
      <c r="F266" s="3"/>
      <c r="G266" s="3"/>
      <c r="H266" s="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</row>
    <row r="267" spans="1:42">
      <c r="A267" s="3"/>
      <c r="B267" s="3"/>
      <c r="C267" s="3"/>
      <c r="D267" s="3"/>
      <c r="E267" s="3"/>
      <c r="F267" s="3"/>
      <c r="G267" s="3"/>
      <c r="H267" s="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</row>
    <row r="268" spans="1:42">
      <c r="A268" s="3"/>
      <c r="B268" s="3"/>
      <c r="C268" s="3"/>
      <c r="D268" s="3"/>
      <c r="E268" s="3"/>
      <c r="F268" s="3"/>
      <c r="G268" s="3"/>
      <c r="H268" s="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</row>
    <row r="269" spans="1:42">
      <c r="A269" s="3"/>
      <c r="B269" s="3"/>
      <c r="C269" s="3"/>
      <c r="D269" s="3"/>
      <c r="E269" s="3"/>
      <c r="F269" s="3"/>
      <c r="G269" s="3"/>
      <c r="H269" s="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</row>
    <row r="270" spans="1:42">
      <c r="A270" s="3"/>
      <c r="B270" s="3"/>
      <c r="C270" s="3"/>
      <c r="D270" s="3"/>
      <c r="E270" s="3"/>
      <c r="F270" s="3"/>
      <c r="G270" s="3"/>
      <c r="H270" s="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</row>
    <row r="271" spans="1:42">
      <c r="A271" s="3"/>
      <c r="B271" s="3"/>
      <c r="C271" s="3"/>
      <c r="D271" s="3"/>
      <c r="E271" s="3"/>
      <c r="F271" s="3"/>
      <c r="G271" s="3"/>
      <c r="H271" s="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</row>
    <row r="272" spans="1:42">
      <c r="A272" s="3"/>
      <c r="B272" s="3"/>
      <c r="C272" s="3"/>
      <c r="D272" s="3"/>
      <c r="E272" s="3"/>
      <c r="F272" s="3"/>
      <c r="G272" s="3"/>
      <c r="H272" s="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</row>
    <row r="273" spans="1:42">
      <c r="A273" s="3"/>
      <c r="B273" s="3"/>
      <c r="C273" s="3"/>
      <c r="D273" s="3"/>
      <c r="E273" s="3"/>
      <c r="F273" s="3"/>
      <c r="G273" s="3"/>
      <c r="H273" s="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</row>
    <row r="274" spans="1:42">
      <c r="A274" s="3"/>
      <c r="B274" s="3"/>
      <c r="C274" s="3"/>
      <c r="D274" s="3"/>
      <c r="E274" s="3"/>
      <c r="F274" s="3"/>
      <c r="G274" s="3"/>
      <c r="H274" s="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</row>
    <row r="275" spans="1:42">
      <c r="A275" s="3"/>
      <c r="B275" s="3"/>
      <c r="C275" s="3"/>
      <c r="D275" s="3"/>
      <c r="E275" s="3"/>
      <c r="F275" s="3"/>
      <c r="G275" s="3"/>
      <c r="H275" s="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</row>
    <row r="276" spans="1:42">
      <c r="A276" s="3"/>
      <c r="B276" s="3"/>
      <c r="C276" s="3"/>
      <c r="D276" s="3"/>
      <c r="E276" s="3"/>
      <c r="F276" s="3"/>
      <c r="G276" s="3"/>
      <c r="H276" s="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</row>
    <row r="277" spans="1:42">
      <c r="A277" s="3"/>
      <c r="B277" s="3"/>
      <c r="C277" s="3"/>
      <c r="D277" s="3"/>
      <c r="E277" s="3"/>
      <c r="F277" s="3"/>
      <c r="G277" s="3"/>
      <c r="H277" s="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</row>
    <row r="278" spans="1:42">
      <c r="A278" s="3"/>
      <c r="B278" s="3"/>
      <c r="C278" s="3"/>
      <c r="D278" s="3"/>
      <c r="E278" s="3"/>
      <c r="F278" s="3"/>
      <c r="G278" s="3"/>
      <c r="H278" s="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</row>
    <row r="279" spans="1:42">
      <c r="A279" s="3"/>
      <c r="B279" s="3"/>
      <c r="C279" s="3"/>
      <c r="D279" s="3"/>
      <c r="E279" s="3"/>
      <c r="F279" s="3"/>
      <c r="G279" s="3"/>
      <c r="H279" s="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</row>
    <row r="280" spans="1:42">
      <c r="A280" s="3"/>
      <c r="B280" s="3"/>
      <c r="C280" s="3"/>
      <c r="D280" s="3"/>
      <c r="E280" s="3"/>
      <c r="F280" s="3"/>
      <c r="G280" s="3"/>
      <c r="H280" s="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</row>
    <row r="281" spans="1:42">
      <c r="A281" s="3"/>
      <c r="B281" s="3"/>
      <c r="C281" s="3"/>
      <c r="D281" s="3"/>
      <c r="E281" s="3"/>
      <c r="F281" s="3"/>
      <c r="G281" s="3"/>
      <c r="H281" s="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</row>
    <row r="282" spans="1:42">
      <c r="A282" s="3"/>
      <c r="B282" s="3"/>
      <c r="C282" s="3"/>
      <c r="D282" s="3"/>
      <c r="E282" s="3"/>
      <c r="F282" s="3"/>
      <c r="G282" s="3"/>
      <c r="H282" s="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</row>
    <row r="283" spans="1:42">
      <c r="A283" s="3"/>
      <c r="B283" s="3"/>
      <c r="C283" s="3"/>
      <c r="D283" s="3"/>
      <c r="E283" s="3"/>
      <c r="F283" s="3"/>
      <c r="G283" s="3"/>
      <c r="H283" s="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</row>
    <row r="284" spans="1:42">
      <c r="A284" s="3"/>
      <c r="B284" s="3"/>
      <c r="C284" s="3"/>
      <c r="D284" s="3"/>
      <c r="E284" s="3"/>
      <c r="F284" s="3"/>
      <c r="G284" s="3"/>
      <c r="H284" s="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</row>
    <row r="285" spans="1:42">
      <c r="A285" s="3"/>
      <c r="B285" s="3"/>
      <c r="C285" s="3"/>
      <c r="D285" s="3"/>
      <c r="E285" s="3"/>
      <c r="F285" s="3"/>
      <c r="G285" s="3"/>
      <c r="H285" s="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</row>
    <row r="286" spans="1:42">
      <c r="A286" s="3"/>
      <c r="B286" s="3"/>
      <c r="C286" s="3"/>
      <c r="D286" s="3"/>
      <c r="E286" s="3"/>
      <c r="F286" s="3"/>
      <c r="G286" s="3"/>
      <c r="H286" s="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</row>
    <row r="287" spans="1:42">
      <c r="A287" s="3"/>
      <c r="B287" s="3"/>
      <c r="C287" s="3"/>
      <c r="D287" s="3"/>
      <c r="E287" s="3"/>
      <c r="F287" s="3"/>
      <c r="G287" s="3"/>
      <c r="H287" s="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</row>
    <row r="288" spans="1:42">
      <c r="A288" s="3"/>
      <c r="B288" s="3"/>
      <c r="C288" s="3"/>
      <c r="D288" s="3"/>
      <c r="E288" s="3"/>
      <c r="F288" s="3"/>
      <c r="G288" s="3"/>
      <c r="H288" s="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</row>
    <row r="289" spans="1:42">
      <c r="A289" s="3"/>
      <c r="B289" s="3"/>
      <c r="C289" s="3"/>
      <c r="D289" s="3"/>
      <c r="E289" s="3"/>
      <c r="F289" s="3"/>
      <c r="G289" s="3"/>
      <c r="H289" s="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</row>
    <row r="290" spans="1:42">
      <c r="A290" s="3"/>
      <c r="B290" s="3"/>
      <c r="C290" s="3"/>
      <c r="D290" s="3"/>
      <c r="E290" s="3"/>
      <c r="F290" s="3"/>
      <c r="G290" s="3"/>
      <c r="H290" s="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</row>
    <row r="291" spans="1:42">
      <c r="A291" s="3"/>
      <c r="B291" s="3"/>
      <c r="C291" s="3"/>
      <c r="D291" s="3"/>
      <c r="E291" s="3"/>
      <c r="F291" s="3"/>
      <c r="G291" s="3"/>
      <c r="H291" s="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</row>
    <row r="292" spans="1:42">
      <c r="A292" s="3"/>
      <c r="B292" s="3"/>
      <c r="C292" s="3"/>
      <c r="D292" s="3"/>
      <c r="E292" s="3"/>
      <c r="F292" s="3"/>
      <c r="G292" s="3"/>
      <c r="H292" s="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</row>
    <row r="293" spans="1:42">
      <c r="A293" s="3"/>
      <c r="B293" s="3"/>
      <c r="C293" s="3"/>
      <c r="D293" s="3"/>
      <c r="E293" s="3"/>
      <c r="F293" s="3"/>
      <c r="G293" s="3"/>
      <c r="H293" s="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</row>
    <row r="294" spans="1:42">
      <c r="A294" s="3"/>
      <c r="B294" s="3"/>
      <c r="C294" s="3"/>
      <c r="D294" s="3"/>
      <c r="E294" s="3"/>
      <c r="F294" s="3"/>
      <c r="G294" s="3"/>
      <c r="H294" s="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</row>
    <row r="295" spans="1:42">
      <c r="A295" s="3"/>
      <c r="B295" s="3"/>
      <c r="C295" s="3"/>
      <c r="D295" s="3"/>
      <c r="E295" s="3"/>
      <c r="F295" s="3"/>
      <c r="G295" s="3"/>
      <c r="H295" s="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</row>
    <row r="296" spans="1:42">
      <c r="A296" s="3"/>
      <c r="B296" s="3"/>
      <c r="C296" s="3"/>
      <c r="D296" s="3"/>
      <c r="E296" s="3"/>
      <c r="F296" s="3"/>
      <c r="G296" s="3"/>
      <c r="H296" s="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</row>
    <row r="297" spans="1:42">
      <c r="A297" s="3"/>
      <c r="B297" s="3"/>
      <c r="C297" s="3"/>
      <c r="D297" s="3"/>
      <c r="E297" s="3"/>
      <c r="F297" s="3"/>
      <c r="G297" s="3"/>
      <c r="H297" s="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</row>
    <row r="298" spans="1:42">
      <c r="A298" s="3"/>
      <c r="B298" s="3"/>
      <c r="C298" s="3"/>
      <c r="D298" s="3"/>
      <c r="E298" s="3"/>
      <c r="F298" s="3"/>
      <c r="G298" s="3"/>
      <c r="H298" s="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</row>
    <row r="299" spans="1:42">
      <c r="A299" s="3"/>
      <c r="B299" s="3"/>
      <c r="C299" s="3"/>
      <c r="D299" s="3"/>
      <c r="E299" s="3"/>
      <c r="F299" s="3"/>
      <c r="G299" s="3"/>
      <c r="H299" s="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</row>
    <row r="300" spans="1:42">
      <c r="A300" s="3"/>
      <c r="B300" s="3"/>
      <c r="C300" s="3"/>
      <c r="D300" s="3"/>
      <c r="E300" s="3"/>
      <c r="F300" s="3"/>
      <c r="G300" s="3"/>
      <c r="H300" s="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</row>
    <row r="301" spans="1:42">
      <c r="A301" s="3"/>
      <c r="B301" s="3"/>
      <c r="C301" s="3"/>
      <c r="D301" s="3"/>
      <c r="E301" s="3"/>
      <c r="F301" s="3"/>
      <c r="G301" s="3"/>
      <c r="H301" s="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</row>
    <row r="302" spans="1:42">
      <c r="A302" s="3"/>
      <c r="B302" s="3"/>
      <c r="C302" s="3"/>
      <c r="D302" s="3"/>
      <c r="E302" s="3"/>
      <c r="F302" s="3"/>
      <c r="G302" s="3"/>
      <c r="H302" s="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</row>
    <row r="303" spans="1:42">
      <c r="A303" s="3"/>
      <c r="B303" s="3"/>
      <c r="C303" s="3"/>
      <c r="D303" s="3"/>
      <c r="E303" s="3"/>
      <c r="F303" s="3"/>
      <c r="G303" s="3"/>
      <c r="H303" s="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</row>
    <row r="304" spans="1:42">
      <c r="A304" s="3"/>
      <c r="B304" s="3"/>
      <c r="C304" s="3"/>
      <c r="D304" s="3"/>
      <c r="E304" s="3"/>
      <c r="F304" s="3"/>
      <c r="G304" s="3"/>
      <c r="H304" s="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</row>
    <row r="305" spans="1:42">
      <c r="A305" s="3"/>
      <c r="B305" s="3"/>
      <c r="C305" s="3"/>
      <c r="D305" s="3"/>
      <c r="E305" s="3"/>
      <c r="F305" s="3"/>
      <c r="G305" s="3"/>
      <c r="H305" s="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</row>
    <row r="306" spans="1:42">
      <c r="A306" s="3"/>
      <c r="B306" s="3"/>
      <c r="C306" s="3"/>
      <c r="D306" s="3"/>
      <c r="E306" s="3"/>
      <c r="F306" s="3"/>
      <c r="G306" s="3"/>
      <c r="H306" s="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</row>
    <row r="307" spans="1:42">
      <c r="A307" s="3"/>
      <c r="B307" s="3"/>
      <c r="C307" s="3"/>
      <c r="D307" s="3"/>
      <c r="E307" s="3"/>
      <c r="F307" s="3"/>
      <c r="G307" s="3"/>
      <c r="H307" s="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</row>
    <row r="308" spans="1:42">
      <c r="A308" s="3"/>
      <c r="B308" s="3"/>
      <c r="C308" s="3"/>
      <c r="D308" s="3"/>
      <c r="E308" s="3"/>
      <c r="F308" s="3"/>
      <c r="G308" s="3"/>
      <c r="H308" s="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</row>
    <row r="309" spans="1:42">
      <c r="A309" s="3"/>
      <c r="B309" s="3"/>
      <c r="C309" s="3"/>
      <c r="D309" s="3"/>
      <c r="E309" s="3"/>
      <c r="F309" s="3"/>
      <c r="G309" s="3"/>
      <c r="H309" s="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</row>
    <row r="310" spans="1:42">
      <c r="A310" s="3"/>
      <c r="B310" s="3"/>
      <c r="C310" s="3"/>
      <c r="D310" s="3"/>
      <c r="E310" s="3"/>
      <c r="F310" s="3"/>
      <c r="G310" s="3"/>
      <c r="H310" s="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</row>
    <row r="311" spans="1:42">
      <c r="A311" s="3"/>
      <c r="B311" s="3"/>
      <c r="C311" s="3"/>
      <c r="D311" s="3"/>
      <c r="E311" s="3"/>
      <c r="F311" s="3"/>
      <c r="G311" s="3"/>
      <c r="H311" s="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</row>
    <row r="312" spans="1:42">
      <c r="A312" s="3"/>
      <c r="B312" s="3"/>
      <c r="C312" s="3"/>
      <c r="D312" s="3"/>
      <c r="E312" s="3"/>
      <c r="F312" s="3"/>
      <c r="G312" s="3"/>
      <c r="H312" s="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</row>
    <row r="313" spans="1:42">
      <c r="A313" s="3"/>
      <c r="B313" s="3"/>
      <c r="C313" s="3"/>
      <c r="D313" s="3"/>
      <c r="E313" s="3"/>
      <c r="F313" s="3"/>
      <c r="G313" s="3"/>
      <c r="H313" s="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</row>
    <row r="314" spans="1:42">
      <c r="A314" s="3"/>
      <c r="B314" s="3"/>
      <c r="C314" s="3"/>
      <c r="D314" s="3"/>
      <c r="E314" s="3"/>
      <c r="F314" s="3"/>
      <c r="G314" s="3"/>
      <c r="H314" s="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</row>
    <row r="315" spans="1:42">
      <c r="A315" s="3"/>
      <c r="B315" s="3"/>
      <c r="C315" s="3"/>
      <c r="D315" s="3"/>
      <c r="E315" s="3"/>
      <c r="F315" s="3"/>
      <c r="G315" s="3"/>
      <c r="H315" s="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</row>
    <row r="316" spans="1:42">
      <c r="A316" s="3"/>
      <c r="B316" s="3"/>
      <c r="C316" s="3"/>
      <c r="D316" s="3"/>
      <c r="E316" s="3"/>
      <c r="F316" s="3"/>
      <c r="G316" s="3"/>
      <c r="H316" s="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</row>
    <row r="317" spans="1:42">
      <c r="A317" s="3"/>
      <c r="B317" s="3"/>
      <c r="C317" s="3"/>
      <c r="D317" s="3"/>
      <c r="E317" s="3"/>
      <c r="F317" s="3"/>
      <c r="G317" s="3"/>
      <c r="H317" s="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</row>
    <row r="318" spans="1:42">
      <c r="A318" s="3"/>
      <c r="B318" s="3"/>
      <c r="C318" s="3"/>
      <c r="D318" s="3"/>
      <c r="E318" s="3"/>
      <c r="F318" s="3"/>
      <c r="G318" s="3"/>
      <c r="H318" s="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</row>
    <row r="319" spans="1:42">
      <c r="A319" s="3"/>
      <c r="B319" s="3"/>
      <c r="C319" s="3"/>
      <c r="D319" s="3"/>
      <c r="E319" s="3"/>
      <c r="F319" s="3"/>
      <c r="G319" s="3"/>
      <c r="H319" s="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</row>
    <row r="320" spans="1:42">
      <c r="A320" s="3"/>
      <c r="B320" s="3"/>
      <c r="C320" s="3"/>
      <c r="D320" s="3"/>
      <c r="E320" s="3"/>
      <c r="F320" s="3"/>
      <c r="G320" s="3"/>
      <c r="H320" s="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</row>
    <row r="321" spans="1:42">
      <c r="A321" s="3"/>
      <c r="B321" s="3"/>
      <c r="C321" s="3"/>
      <c r="D321" s="3"/>
      <c r="E321" s="3"/>
      <c r="F321" s="3"/>
      <c r="G321" s="3"/>
      <c r="H321" s="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</row>
    <row r="322" spans="1:42">
      <c r="A322" s="3"/>
      <c r="B322" s="3"/>
      <c r="C322" s="3"/>
      <c r="D322" s="3"/>
      <c r="E322" s="3"/>
      <c r="F322" s="3"/>
      <c r="G322" s="3"/>
      <c r="H322" s="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</row>
    <row r="323" spans="1:42">
      <c r="A323" s="3"/>
      <c r="B323" s="3"/>
      <c r="C323" s="3"/>
      <c r="D323" s="3"/>
      <c r="E323" s="3"/>
      <c r="F323" s="3"/>
      <c r="G323" s="3"/>
      <c r="H323" s="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</row>
    <row r="324" spans="1:42">
      <c r="A324" s="3"/>
      <c r="B324" s="3"/>
      <c r="C324" s="3"/>
      <c r="D324" s="3"/>
      <c r="E324" s="3"/>
      <c r="F324" s="3"/>
      <c r="G324" s="3"/>
      <c r="H324" s="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</row>
    <row r="325" spans="1:42">
      <c r="A325" s="3"/>
      <c r="B325" s="3"/>
      <c r="C325" s="3"/>
      <c r="D325" s="3"/>
      <c r="E325" s="3"/>
      <c r="F325" s="3"/>
      <c r="G325" s="3"/>
      <c r="H325" s="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</row>
    <row r="326" spans="1:42">
      <c r="A326" s="3"/>
      <c r="B326" s="3"/>
      <c r="C326" s="3"/>
      <c r="D326" s="3"/>
      <c r="E326" s="3"/>
      <c r="F326" s="3"/>
      <c r="G326" s="3"/>
      <c r="H326" s="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</row>
    <row r="327" spans="1:42">
      <c r="A327" s="3"/>
      <c r="B327" s="3"/>
      <c r="C327" s="3"/>
      <c r="D327" s="3"/>
      <c r="E327" s="3"/>
      <c r="F327" s="3"/>
      <c r="G327" s="3"/>
      <c r="H327" s="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</row>
    <row r="328" spans="1:42">
      <c r="A328" s="3"/>
      <c r="B328" s="3"/>
      <c r="C328" s="3"/>
      <c r="D328" s="3"/>
      <c r="E328" s="3"/>
      <c r="F328" s="3"/>
      <c r="G328" s="3"/>
      <c r="H328" s="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</row>
    <row r="329" spans="1:42">
      <c r="A329" s="3"/>
      <c r="B329" s="3"/>
      <c r="C329" s="3"/>
      <c r="D329" s="3"/>
      <c r="E329" s="3"/>
      <c r="F329" s="3"/>
      <c r="G329" s="3"/>
      <c r="H329" s="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</row>
    <row r="330" spans="1:42">
      <c r="A330" s="3"/>
      <c r="B330" s="3"/>
      <c r="C330" s="3"/>
      <c r="D330" s="3"/>
      <c r="E330" s="3"/>
      <c r="F330" s="3"/>
      <c r="G330" s="3"/>
      <c r="H330" s="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</row>
    <row r="331" spans="1:42">
      <c r="A331" s="3"/>
      <c r="B331" s="3"/>
      <c r="C331" s="3"/>
      <c r="D331" s="3"/>
      <c r="E331" s="3"/>
      <c r="F331" s="3"/>
      <c r="G331" s="3"/>
      <c r="H331" s="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</row>
    <row r="332" spans="1:42">
      <c r="A332" s="3"/>
      <c r="B332" s="3"/>
      <c r="C332" s="3"/>
      <c r="D332" s="3"/>
      <c r="E332" s="3"/>
      <c r="F332" s="3"/>
      <c r="G332" s="3"/>
      <c r="H332" s="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</row>
    <row r="333" spans="1:42">
      <c r="A333" s="3"/>
      <c r="B333" s="3"/>
      <c r="C333" s="3"/>
      <c r="D333" s="3"/>
      <c r="E333" s="3"/>
      <c r="F333" s="3"/>
      <c r="G333" s="3"/>
      <c r="H333" s="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</row>
    <row r="334" spans="1:42">
      <c r="A334" s="3"/>
      <c r="B334" s="3"/>
      <c r="C334" s="3"/>
      <c r="D334" s="3"/>
      <c r="E334" s="3"/>
      <c r="F334" s="3"/>
      <c r="G334" s="3"/>
      <c r="H334" s="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</row>
    <row r="335" spans="1:42">
      <c r="A335" s="3"/>
      <c r="B335" s="3"/>
      <c r="C335" s="3"/>
      <c r="D335" s="3"/>
      <c r="E335" s="3"/>
      <c r="F335" s="3"/>
      <c r="G335" s="3"/>
      <c r="H335" s="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</row>
    <row r="336" spans="1:42">
      <c r="A336" s="3"/>
      <c r="B336" s="3"/>
      <c r="C336" s="3"/>
      <c r="D336" s="3"/>
      <c r="E336" s="3"/>
      <c r="F336" s="3"/>
      <c r="G336" s="3"/>
      <c r="H336" s="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</row>
    <row r="337" spans="1:42">
      <c r="A337" s="3"/>
      <c r="B337" s="3"/>
      <c r="C337" s="3"/>
      <c r="D337" s="3"/>
      <c r="E337" s="3"/>
      <c r="F337" s="3"/>
      <c r="G337" s="3"/>
      <c r="H337" s="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</row>
    <row r="338" spans="1:42">
      <c r="A338" s="3"/>
      <c r="B338" s="3"/>
      <c r="C338" s="3"/>
      <c r="D338" s="3"/>
      <c r="E338" s="3"/>
      <c r="F338" s="3"/>
      <c r="G338" s="3"/>
      <c r="H338" s="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</row>
    <row r="339" spans="1:42">
      <c r="A339" s="3"/>
      <c r="B339" s="3"/>
      <c r="C339" s="3"/>
      <c r="D339" s="3"/>
      <c r="E339" s="3"/>
      <c r="F339" s="3"/>
      <c r="G339" s="3"/>
      <c r="H339" s="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</row>
    <row r="340" spans="1:42">
      <c r="A340" s="3"/>
      <c r="B340" s="3"/>
      <c r="C340" s="3"/>
      <c r="D340" s="3"/>
      <c r="E340" s="3"/>
      <c r="F340" s="3"/>
      <c r="G340" s="3"/>
      <c r="H340" s="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</row>
    <row r="341" spans="1:42">
      <c r="A341" s="3"/>
      <c r="B341" s="3"/>
      <c r="C341" s="3"/>
      <c r="D341" s="3"/>
      <c r="E341" s="3"/>
      <c r="F341" s="3"/>
      <c r="G341" s="3"/>
      <c r="H341" s="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</row>
    <row r="342" spans="1:42">
      <c r="A342" s="3"/>
      <c r="B342" s="3"/>
      <c r="C342" s="3"/>
      <c r="D342" s="3"/>
      <c r="E342" s="3"/>
      <c r="F342" s="3"/>
      <c r="G342" s="3"/>
      <c r="H342" s="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</row>
    <row r="343" spans="1:42">
      <c r="A343" s="3"/>
      <c r="B343" s="3"/>
      <c r="C343" s="3"/>
      <c r="D343" s="3"/>
      <c r="E343" s="3"/>
      <c r="F343" s="3"/>
      <c r="G343" s="3"/>
      <c r="H343" s="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</row>
    <row r="344" spans="1:42">
      <c r="A344" s="3"/>
      <c r="B344" s="3"/>
      <c r="C344" s="3"/>
      <c r="D344" s="3"/>
      <c r="E344" s="3"/>
      <c r="F344" s="3"/>
      <c r="G344" s="3"/>
      <c r="H344" s="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</row>
    <row r="345" spans="1:42">
      <c r="A345" s="3"/>
      <c r="B345" s="3"/>
      <c r="C345" s="3"/>
      <c r="D345" s="3"/>
      <c r="E345" s="3"/>
      <c r="F345" s="3"/>
      <c r="G345" s="3"/>
      <c r="H345" s="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</row>
    <row r="346" spans="1:42">
      <c r="A346" s="3"/>
      <c r="B346" s="3"/>
      <c r="C346" s="3"/>
      <c r="D346" s="3"/>
      <c r="E346" s="3"/>
      <c r="F346" s="3"/>
      <c r="G346" s="3"/>
      <c r="H346" s="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</row>
    <row r="347" spans="1:42">
      <c r="A347" s="3"/>
      <c r="B347" s="3"/>
      <c r="C347" s="3"/>
      <c r="D347" s="3"/>
      <c r="E347" s="3"/>
      <c r="F347" s="3"/>
      <c r="G347" s="3"/>
      <c r="H347" s="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</row>
    <row r="348" spans="1:42">
      <c r="A348" s="3"/>
      <c r="B348" s="3"/>
      <c r="C348" s="3"/>
      <c r="D348" s="3"/>
      <c r="E348" s="3"/>
      <c r="F348" s="3"/>
      <c r="G348" s="3"/>
      <c r="H348" s="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</row>
    <row r="349" spans="1:42">
      <c r="A349" s="3"/>
      <c r="B349" s="3"/>
      <c r="C349" s="3"/>
      <c r="D349" s="3"/>
      <c r="E349" s="3"/>
      <c r="F349" s="3"/>
      <c r="G349" s="3"/>
      <c r="H349" s="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</row>
    <row r="350" spans="1:42">
      <c r="A350" s="3"/>
      <c r="B350" s="3"/>
      <c r="C350" s="3"/>
      <c r="D350" s="3"/>
      <c r="E350" s="3"/>
      <c r="F350" s="3"/>
      <c r="G350" s="3"/>
      <c r="H350" s="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</row>
    <row r="351" spans="1:42">
      <c r="A351" s="3"/>
      <c r="B351" s="3"/>
      <c r="C351" s="3"/>
      <c r="D351" s="3"/>
      <c r="E351" s="3"/>
      <c r="F351" s="3"/>
      <c r="G351" s="3"/>
      <c r="H351" s="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</row>
    <row r="352" spans="1:42">
      <c r="A352" s="3"/>
      <c r="B352" s="3"/>
      <c r="C352" s="3"/>
      <c r="D352" s="3"/>
      <c r="E352" s="3"/>
      <c r="F352" s="3"/>
      <c r="G352" s="3"/>
      <c r="H352" s="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</row>
    <row r="353" spans="1:42">
      <c r="A353" s="3"/>
      <c r="B353" s="3"/>
      <c r="C353" s="3"/>
      <c r="D353" s="3"/>
      <c r="E353" s="3"/>
      <c r="F353" s="3"/>
      <c r="G353" s="3"/>
      <c r="H353" s="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</row>
    <row r="354" spans="1:42">
      <c r="A354" s="3"/>
      <c r="B354" s="3"/>
      <c r="C354" s="3"/>
      <c r="D354" s="3"/>
      <c r="E354" s="3"/>
      <c r="F354" s="3"/>
      <c r="G354" s="3"/>
      <c r="H354" s="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</row>
    <row r="355" spans="1:42">
      <c r="A355" s="3"/>
      <c r="B355" s="3"/>
      <c r="C355" s="3"/>
      <c r="D355" s="3"/>
      <c r="E355" s="3"/>
      <c r="F355" s="3"/>
      <c r="G355" s="3"/>
      <c r="H355" s="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</row>
    <row r="356" spans="1:42">
      <c r="A356" s="3"/>
      <c r="B356" s="3"/>
      <c r="C356" s="3"/>
      <c r="D356" s="3"/>
      <c r="E356" s="3"/>
      <c r="F356" s="3"/>
      <c r="G356" s="3"/>
      <c r="H356" s="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</row>
    <row r="357" spans="1:42">
      <c r="A357" s="3"/>
      <c r="B357" s="3"/>
      <c r="C357" s="3"/>
      <c r="D357" s="3"/>
      <c r="E357" s="3"/>
      <c r="F357" s="3"/>
      <c r="G357" s="3"/>
      <c r="H357" s="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</row>
    <row r="358" spans="1:42">
      <c r="A358" s="3"/>
      <c r="B358" s="3"/>
      <c r="C358" s="3"/>
      <c r="D358" s="3"/>
      <c r="E358" s="3"/>
      <c r="F358" s="3"/>
      <c r="G358" s="3"/>
      <c r="H358" s="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</row>
    <row r="359" spans="1:42">
      <c r="A359" s="3"/>
      <c r="B359" s="3"/>
      <c r="C359" s="3"/>
      <c r="D359" s="3"/>
      <c r="E359" s="3"/>
      <c r="F359" s="3"/>
      <c r="G359" s="3"/>
      <c r="H359" s="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</row>
  </sheetData>
  <mergeCells count="3">
    <mergeCell ref="D4:G4"/>
    <mergeCell ref="A1:G1"/>
    <mergeCell ref="A2:G2"/>
  </mergeCells>
  <printOptions horizontalCentered="1"/>
  <pageMargins left="0.75" right="0.75" top="1" bottom="1" header="0.5" footer="0.5"/>
  <pageSetup scale="66" firstPageNumber="18" orientation="portrait" horizontalDpi="4294967292" verticalDpi="4294967292" r:id="rId1"/>
  <headerFooter alignWithMargins="0">
    <oddFooter>&amp;LScot Chambers
&amp;D&amp;CPage _____&amp;R&amp;F
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8"/>
  <sheetViews>
    <sheetView zoomScale="75" workbookViewId="0"/>
  </sheetViews>
  <sheetFormatPr defaultRowHeight="12.75"/>
  <cols>
    <col min="1" max="1" width="32.85546875" customWidth="1"/>
    <col min="2" max="2" width="11.28515625" style="12" customWidth="1"/>
    <col min="3" max="3" width="11.42578125" customWidth="1"/>
    <col min="4" max="4" width="15.140625" customWidth="1"/>
    <col min="5" max="5" width="15.42578125" customWidth="1"/>
    <col min="6" max="6" width="18" customWidth="1"/>
    <col min="7" max="7" width="15" customWidth="1"/>
    <col min="8" max="8" width="11.7109375" customWidth="1"/>
  </cols>
  <sheetData>
    <row r="1" spans="1:8" ht="15.75" customHeight="1">
      <c r="A1" s="10" t="str">
        <f>Scope!A1</f>
        <v>St Peter, Illinois (Ameren) Power Project, Rev 0</v>
      </c>
      <c r="B1" s="10"/>
      <c r="C1" s="10"/>
      <c r="D1" s="10"/>
      <c r="E1" s="10"/>
      <c r="F1" s="10"/>
      <c r="G1" s="10"/>
      <c r="H1" s="10"/>
    </row>
    <row r="2" spans="1:8" ht="15.75" customHeight="1">
      <c r="A2" s="171" t="s">
        <v>966</v>
      </c>
      <c r="B2" s="171"/>
      <c r="C2" s="171"/>
      <c r="D2" s="171"/>
      <c r="E2" s="171"/>
      <c r="F2" s="171"/>
      <c r="G2" s="171"/>
      <c r="H2" s="171"/>
    </row>
    <row r="3" spans="1:8" ht="15.75">
      <c r="A3" s="10" t="s">
        <v>967</v>
      </c>
      <c r="B3" s="10"/>
      <c r="C3" s="10"/>
      <c r="D3" s="10"/>
      <c r="E3" s="10"/>
      <c r="F3" s="10"/>
      <c r="G3" s="10"/>
      <c r="H3" s="10"/>
    </row>
    <row r="4" spans="1:8" ht="16.5" thickBot="1">
      <c r="B4" s="263"/>
    </row>
    <row r="5" spans="1:8" ht="15.75">
      <c r="A5" s="264"/>
      <c r="B5" s="265"/>
      <c r="C5" s="57" t="s">
        <v>968</v>
      </c>
      <c r="D5" s="57"/>
      <c r="E5" s="57" t="s">
        <v>89</v>
      </c>
      <c r="F5" s="266" t="s">
        <v>969</v>
      </c>
      <c r="G5" s="57" t="s">
        <v>969</v>
      </c>
      <c r="H5" s="253"/>
    </row>
    <row r="6" spans="1:8" ht="13.5" thickBot="1">
      <c r="A6" s="115"/>
      <c r="B6" s="267" t="s">
        <v>970</v>
      </c>
      <c r="C6" s="59" t="s">
        <v>971</v>
      </c>
      <c r="D6" s="59" t="s">
        <v>972</v>
      </c>
      <c r="E6" s="59" t="s">
        <v>90</v>
      </c>
      <c r="F6" s="268" t="s">
        <v>973</v>
      </c>
      <c r="G6" s="268" t="s">
        <v>974</v>
      </c>
      <c r="H6" s="269" t="s">
        <v>975</v>
      </c>
    </row>
    <row r="7" spans="1:8">
      <c r="A7" s="270"/>
      <c r="B7" s="271"/>
      <c r="C7" s="272"/>
      <c r="D7" s="272"/>
      <c r="E7" s="272"/>
      <c r="F7" s="272"/>
      <c r="G7" s="272"/>
      <c r="H7" s="272"/>
    </row>
    <row r="8" spans="1:8">
      <c r="A8" s="115" t="s">
        <v>236</v>
      </c>
      <c r="B8" s="271">
        <v>1</v>
      </c>
      <c r="C8" s="273">
        <f>'Pay &amp; Benefits Calculations'!L28</f>
        <v>85280</v>
      </c>
      <c r="D8" s="273"/>
      <c r="E8" s="426">
        <f>'Pay &amp; Benefits Calculations'!R28</f>
        <v>2080</v>
      </c>
      <c r="F8" s="274">
        <f>C8*B8</f>
        <v>85280</v>
      </c>
      <c r="G8" s="276">
        <f>('Pay &amp; Benefits Calculations'!K28-'Pay &amp; Benefits Calculations'!B28)*'Pay &amp; Benefits Calculations'!R28*B8</f>
        <v>41395.47199999998</v>
      </c>
      <c r="H8" s="274">
        <f>SUM(F8:G8)</f>
        <v>126675.47199999998</v>
      </c>
    </row>
    <row r="9" spans="1:8">
      <c r="A9" s="115" t="s">
        <v>237</v>
      </c>
      <c r="B9" s="271">
        <v>1</v>
      </c>
      <c r="D9" s="275"/>
      <c r="E9" s="275"/>
      <c r="F9" s="274"/>
      <c r="G9" s="276"/>
      <c r="H9" s="274"/>
    </row>
    <row r="10" spans="1:8">
      <c r="A10" s="115" t="s">
        <v>87</v>
      </c>
      <c r="B10" s="271"/>
      <c r="D10" s="275">
        <f>'Pay &amp; Benefits Calculations'!B31</f>
        <v>12.25</v>
      </c>
      <c r="E10" s="426">
        <f>'Pay &amp; Benefits Calculations'!R31</f>
        <v>2080</v>
      </c>
      <c r="F10" s="274">
        <f>E10*D10*B9</f>
        <v>25480</v>
      </c>
      <c r="G10" s="276">
        <f>('Pay &amp; Benefits Calculations'!K31-'Pay &amp; Benefits Calculations'!B31)*'Pay &amp; Benefits Calculations'!R31*B9</f>
        <v>16076.152000000004</v>
      </c>
      <c r="H10" s="274">
        <f t="shared" ref="H10:H18" si="0">SUM(F10:G10)</f>
        <v>41556.152000000002</v>
      </c>
    </row>
    <row r="11" spans="1:8">
      <c r="A11" s="115" t="s">
        <v>88</v>
      </c>
      <c r="B11" s="271"/>
      <c r="D11" s="275">
        <f>'Pay &amp; Benefits Calculations'!B49</f>
        <v>18.375</v>
      </c>
      <c r="E11" s="426">
        <f>'Pay &amp; Benefits Calculations'!R49</f>
        <v>104</v>
      </c>
      <c r="F11" s="274">
        <f>E11*D11*B9</f>
        <v>1911</v>
      </c>
      <c r="G11" s="276">
        <f>('Pay &amp; Benefits Calculations'!K49-'Pay &amp; Benefits Calculations'!B49)*'Pay &amp; Benefits Calculations'!R49*B9</f>
        <v>560.68740000000025</v>
      </c>
      <c r="H11" s="274">
        <f t="shared" si="0"/>
        <v>2471.6874000000003</v>
      </c>
    </row>
    <row r="12" spans="1:8" hidden="1">
      <c r="A12" s="115" t="s">
        <v>238</v>
      </c>
      <c r="B12" s="271">
        <v>0</v>
      </c>
      <c r="C12" s="273"/>
      <c r="D12" s="273"/>
      <c r="E12" s="273"/>
      <c r="F12" s="274"/>
      <c r="G12" s="276"/>
      <c r="H12" s="274"/>
    </row>
    <row r="13" spans="1:8">
      <c r="A13" s="115" t="str">
        <f>Mob_Staffing!A13</f>
        <v>O&amp;M TECHNICIAN III</v>
      </c>
      <c r="B13" s="271">
        <v>2</v>
      </c>
      <c r="C13" s="273"/>
      <c r="D13" s="273"/>
      <c r="F13" s="274"/>
      <c r="G13" s="276"/>
      <c r="H13" s="274"/>
    </row>
    <row r="14" spans="1:8">
      <c r="A14" s="115" t="s">
        <v>87</v>
      </c>
      <c r="B14" s="271"/>
      <c r="C14" s="273"/>
      <c r="D14" s="275">
        <f>'Pay &amp; Benefits Calculations'!B34</f>
        <v>25</v>
      </c>
      <c r="E14" s="426">
        <f>'Pay &amp; Benefits Calculations'!R34</f>
        <v>2080</v>
      </c>
      <c r="F14" s="274">
        <f>E14*D14*B13</f>
        <v>104000</v>
      </c>
      <c r="G14" s="276">
        <f>('Pay &amp; Benefits Calculations'!K34-'Pay &amp; Benefits Calculations'!B34)*'Pay &amp; Benefits Calculations'!R34*B13</f>
        <v>54609.439999999995</v>
      </c>
      <c r="H14" s="274">
        <f t="shared" si="0"/>
        <v>158609.44</v>
      </c>
    </row>
    <row r="15" spans="1:8">
      <c r="A15" s="115" t="s">
        <v>88</v>
      </c>
      <c r="B15" s="271"/>
      <c r="C15" s="273"/>
      <c r="D15" s="275">
        <f>'Pay &amp; Benefits Calculations'!B52</f>
        <v>37.5</v>
      </c>
      <c r="E15" s="426">
        <f>'Pay &amp; Benefits Calculations'!R52</f>
        <v>416</v>
      </c>
      <c r="F15" s="274">
        <f>E15*D15*B13</f>
        <v>31200</v>
      </c>
      <c r="G15" s="276">
        <f>'Pay &amp; Benefits Calculations'!R52*('Pay &amp; Benefits Calculations'!K52-'Pay &amp; Benefits Calculations'!B52)*B13</f>
        <v>9154.0799999999981</v>
      </c>
      <c r="H15" s="274">
        <f t="shared" si="0"/>
        <v>40354.080000000002</v>
      </c>
    </row>
    <row r="16" spans="1:8">
      <c r="A16" s="115" t="str">
        <f>Mob_Staffing!A14</f>
        <v>SEASONAL O&amp;M TECHNICIAN II</v>
      </c>
      <c r="B16" s="277">
        <v>3</v>
      </c>
      <c r="C16" s="273"/>
      <c r="E16" s="426"/>
      <c r="F16" s="274"/>
      <c r="G16" s="276"/>
      <c r="H16" s="274"/>
    </row>
    <row r="17" spans="1:8">
      <c r="A17" s="115" t="s">
        <v>87</v>
      </c>
      <c r="B17" s="277"/>
      <c r="C17" s="273"/>
      <c r="D17" s="275">
        <f>'Pay &amp; Benefits Calculations'!B35</f>
        <v>30</v>
      </c>
      <c r="E17" s="426">
        <f>'Pay &amp; Benefits Calculations'!R35</f>
        <v>880</v>
      </c>
      <c r="F17" s="274">
        <f>E17*D17*B16</f>
        <v>79200</v>
      </c>
      <c r="G17" s="276">
        <f>'Pay &amp; Benefits Calculations'!R35*('Pay &amp; Benefits Calculations'!K35-'Pay &amp; Benefits Calculations'!B35)*B16</f>
        <v>40244.870769230758</v>
      </c>
      <c r="H17" s="274">
        <f t="shared" si="0"/>
        <v>119444.87076923077</v>
      </c>
    </row>
    <row r="18" spans="1:8">
      <c r="A18" s="115" t="s">
        <v>88</v>
      </c>
      <c r="B18" s="277"/>
      <c r="C18" s="273"/>
      <c r="D18" s="275">
        <f>'Pay &amp; Benefits Calculations'!B53</f>
        <v>45</v>
      </c>
      <c r="E18" s="426">
        <f>'Pay &amp; Benefits Calculations'!R53</f>
        <v>176</v>
      </c>
      <c r="F18" s="274">
        <f>E18*D18*B16</f>
        <v>23760</v>
      </c>
      <c r="G18" s="276">
        <f>'Pay &amp; Benefits Calculations'!R53*('Pay &amp; Benefits Calculations'!K53-'Pay &amp; Benefits Calculations'!B53)*B16</f>
        <v>6971.1840000000011</v>
      </c>
      <c r="H18" s="274">
        <f t="shared" si="0"/>
        <v>30731.184000000001</v>
      </c>
    </row>
    <row r="19" spans="1:8">
      <c r="B19" s="277"/>
      <c r="C19" s="276"/>
      <c r="D19" s="276"/>
      <c r="E19" s="427"/>
      <c r="F19" s="274"/>
      <c r="G19" s="276"/>
      <c r="H19" s="274"/>
    </row>
    <row r="20" spans="1:8">
      <c r="A20" s="278"/>
      <c r="B20" s="277"/>
      <c r="C20" s="276"/>
      <c r="D20" s="276"/>
      <c r="E20" s="427"/>
      <c r="F20" s="274"/>
      <c r="G20" s="276"/>
      <c r="H20" s="274"/>
    </row>
    <row r="21" spans="1:8" ht="13.5" thickBot="1">
      <c r="A21" s="278"/>
      <c r="B21" s="279"/>
      <c r="C21" s="280"/>
      <c r="D21" s="280"/>
      <c r="E21" s="428"/>
      <c r="F21" s="274"/>
      <c r="G21" s="274"/>
      <c r="H21" s="281"/>
    </row>
    <row r="22" spans="1:8" ht="13.5" thickBot="1">
      <c r="A22" s="282" t="s">
        <v>976</v>
      </c>
      <c r="B22" s="283">
        <f>SUM(B8:B21)</f>
        <v>7</v>
      </c>
      <c r="C22" s="284"/>
      <c r="D22" s="284"/>
      <c r="E22" s="284"/>
      <c r="F22" s="285">
        <f>SUM(F8:F21)</f>
        <v>350831</v>
      </c>
      <c r="G22" s="285">
        <f>SUM(G8:G21)</f>
        <v>169011.88616923074</v>
      </c>
      <c r="H22" s="285">
        <f>SUM(H8:H21)</f>
        <v>519842.88616923074</v>
      </c>
    </row>
    <row r="23" spans="1:8" ht="25.5" customHeight="1">
      <c r="A23" s="115"/>
      <c r="B23" s="286"/>
      <c r="C23" s="115"/>
      <c r="D23" s="115"/>
      <c r="E23" s="115"/>
      <c r="F23" s="287"/>
      <c r="G23" s="288"/>
      <c r="H23" s="115"/>
    </row>
    <row r="25" spans="1:8">
      <c r="A25" t="s">
        <v>1072</v>
      </c>
    </row>
    <row r="26" spans="1:8">
      <c r="A26" t="s">
        <v>627</v>
      </c>
    </row>
    <row r="27" spans="1:8">
      <c r="A27" s="179"/>
    </row>
    <row r="28" spans="1:8">
      <c r="A28" s="179"/>
    </row>
  </sheetData>
  <printOptions horizontalCentered="1"/>
  <pageMargins left="0.75" right="0.75" top="1" bottom="1" header="0.5" footer="0.5"/>
  <pageSetup scale="69" orientation="portrait" horizontalDpi="4294967292" verticalDpi="4294967292" r:id="rId1"/>
  <headerFooter alignWithMargins="0">
    <oddFooter>&amp;LScot Chambers
&amp;D&amp;CPage _____&amp;R&amp;F
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58"/>
  <sheetViews>
    <sheetView zoomScale="75" workbookViewId="0"/>
  </sheetViews>
  <sheetFormatPr defaultRowHeight="12.75"/>
  <cols>
    <col min="1" max="1" width="42.28515625" customWidth="1"/>
    <col min="2" max="2" width="10.5703125" customWidth="1"/>
    <col min="3" max="3" width="10" customWidth="1"/>
    <col min="4" max="4" width="9.7109375" customWidth="1"/>
    <col min="5" max="5" width="8.28515625" customWidth="1"/>
    <col min="6" max="6" width="10.85546875" customWidth="1"/>
    <col min="8" max="8" width="9.7109375" customWidth="1"/>
    <col min="9" max="9" width="12.28515625" bestFit="1" customWidth="1"/>
    <col min="10" max="10" width="9.7109375" customWidth="1"/>
    <col min="11" max="11" width="10.85546875" customWidth="1"/>
    <col min="12" max="12" width="12.140625" customWidth="1"/>
    <col min="14" max="14" width="16.7109375" customWidth="1"/>
    <col min="15" max="15" width="18.7109375" customWidth="1"/>
    <col min="16" max="16" width="12.28515625" customWidth="1"/>
    <col min="17" max="17" width="14.85546875" customWidth="1"/>
    <col min="19" max="19" width="13.85546875" customWidth="1"/>
  </cols>
  <sheetData>
    <row r="1" spans="1:13" ht="15.75">
      <c r="A1" s="10" t="str">
        <f>Scope!A1</f>
        <v>St Peter, Illinois (Ameren) Power Project, Rev 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3" ht="15.75">
      <c r="A2" s="289" t="s">
        <v>79</v>
      </c>
      <c r="B2" s="289"/>
      <c r="C2" s="289"/>
      <c r="D2" s="289"/>
      <c r="E2" s="289"/>
      <c r="F2" s="289"/>
      <c r="G2" s="289"/>
      <c r="H2" s="289"/>
      <c r="I2" s="289"/>
      <c r="J2" s="289"/>
      <c r="K2" s="289"/>
      <c r="L2" s="289"/>
    </row>
    <row r="3" spans="1:13">
      <c r="A3" s="290"/>
      <c r="B3" s="170"/>
      <c r="C3" s="170"/>
      <c r="D3" s="170"/>
      <c r="E3" s="170"/>
      <c r="F3" s="170"/>
    </row>
    <row r="4" spans="1:13" ht="27.75" customHeight="1">
      <c r="A4" s="290"/>
      <c r="B4" s="170"/>
      <c r="C4" s="170"/>
      <c r="D4" s="170"/>
      <c r="E4" s="170"/>
      <c r="F4" s="170"/>
    </row>
    <row r="5" spans="1:13" hidden="1">
      <c r="A5" s="71"/>
      <c r="B5" s="152"/>
      <c r="C5" s="71"/>
      <c r="D5" s="71"/>
      <c r="E5" s="152"/>
      <c r="F5" s="71"/>
      <c r="G5" s="71"/>
      <c r="H5" s="71"/>
      <c r="I5" s="71"/>
      <c r="J5" s="71"/>
      <c r="K5" s="71"/>
      <c r="L5" s="71"/>
      <c r="M5" s="3"/>
    </row>
    <row r="6" spans="1:13" hidden="1">
      <c r="A6" s="71"/>
      <c r="B6" s="152"/>
      <c r="C6" s="71"/>
      <c r="D6" s="71"/>
      <c r="E6" s="152"/>
      <c r="F6" s="71"/>
      <c r="G6" s="71"/>
      <c r="H6" s="71"/>
      <c r="I6" s="71"/>
      <c r="J6" s="71"/>
      <c r="K6" s="71"/>
      <c r="L6" s="71"/>
      <c r="M6" s="3"/>
    </row>
    <row r="7" spans="1:13" hidden="1">
      <c r="A7" s="71" t="s">
        <v>977</v>
      </c>
      <c r="B7" s="152" t="s">
        <v>978</v>
      </c>
      <c r="C7" s="71" t="s">
        <v>979</v>
      </c>
      <c r="D7" s="71"/>
      <c r="E7" s="152"/>
      <c r="F7" s="71"/>
      <c r="G7" s="71"/>
      <c r="H7" s="71"/>
      <c r="I7" s="71"/>
      <c r="J7" s="71"/>
      <c r="K7" s="71"/>
      <c r="L7" s="71"/>
      <c r="M7" s="3"/>
    </row>
    <row r="8" spans="1:13" hidden="1">
      <c r="A8" s="71"/>
      <c r="B8" s="152" t="s">
        <v>971</v>
      </c>
      <c r="C8" s="71" t="s">
        <v>980</v>
      </c>
      <c r="D8" s="71"/>
      <c r="E8" s="152"/>
      <c r="F8" s="71"/>
      <c r="G8" s="71"/>
      <c r="H8" s="71"/>
      <c r="I8" s="71"/>
      <c r="J8" s="71"/>
      <c r="K8" s="71"/>
      <c r="L8" s="71"/>
      <c r="M8" s="3"/>
    </row>
    <row r="9" spans="1:13" ht="17.25" hidden="1" customHeight="1">
      <c r="A9" s="71" t="s">
        <v>981</v>
      </c>
      <c r="B9" s="152" t="s">
        <v>982</v>
      </c>
      <c r="C9" s="291">
        <v>2080</v>
      </c>
      <c r="D9" s="71"/>
      <c r="E9" s="152"/>
      <c r="F9" s="71"/>
      <c r="G9" s="71"/>
      <c r="H9" s="71"/>
      <c r="I9" s="71"/>
      <c r="J9" s="71"/>
      <c r="K9" s="71"/>
      <c r="L9" s="71"/>
      <c r="M9" s="3"/>
    </row>
    <row r="10" spans="1:13" ht="18" hidden="1" customHeight="1">
      <c r="A10" s="71"/>
      <c r="B10" s="152"/>
      <c r="C10" s="71"/>
      <c r="D10" s="71"/>
      <c r="E10" s="152"/>
      <c r="F10" s="71"/>
      <c r="G10" s="71"/>
      <c r="H10" s="71"/>
      <c r="I10" s="71"/>
      <c r="J10" s="71"/>
      <c r="K10" s="71"/>
      <c r="L10" s="71"/>
      <c r="M10" s="3"/>
    </row>
    <row r="11" spans="1:13" ht="20.25" hidden="1" customHeight="1">
      <c r="A11" s="71" t="s">
        <v>236</v>
      </c>
      <c r="B11" s="292">
        <f>K28*C$9</f>
        <v>126675.47199999998</v>
      </c>
      <c r="C11" s="71"/>
      <c r="D11" s="71"/>
      <c r="E11" s="152"/>
      <c r="F11" s="71"/>
      <c r="G11" s="71"/>
      <c r="H11" s="71"/>
      <c r="I11" s="71"/>
      <c r="J11" s="71"/>
      <c r="K11" s="71"/>
      <c r="L11" s="71"/>
      <c r="M11" s="3"/>
    </row>
    <row r="12" spans="1:13" ht="15.75" hidden="1" customHeight="1">
      <c r="A12" s="71" t="s">
        <v>260</v>
      </c>
      <c r="B12" s="292">
        <f>K29*C$9</f>
        <v>119159.91999999997</v>
      </c>
      <c r="C12" s="71"/>
      <c r="D12" s="71"/>
      <c r="E12" s="152"/>
      <c r="F12" s="71"/>
      <c r="G12" s="71"/>
      <c r="H12" s="71"/>
      <c r="I12" s="71"/>
      <c r="J12" s="71"/>
      <c r="K12" s="71"/>
      <c r="L12" s="71"/>
      <c r="M12" s="3"/>
    </row>
    <row r="13" spans="1:13" ht="20.25" hidden="1" customHeight="1">
      <c r="A13" s="71" t="s">
        <v>262</v>
      </c>
      <c r="B13" s="292">
        <f>K30*C$9</f>
        <v>79304.72</v>
      </c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3"/>
    </row>
    <row r="14" spans="1:13" ht="15" hidden="1" customHeight="1">
      <c r="A14" s="71" t="s">
        <v>237</v>
      </c>
      <c r="B14" s="292">
        <f>K31*C$9</f>
        <v>41556.152000000002</v>
      </c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3"/>
    </row>
    <row r="15" spans="1:13" ht="17.25" hidden="1" customHeight="1">
      <c r="A15" s="71" t="s">
        <v>263</v>
      </c>
      <c r="B15" s="292">
        <f>K33*C$9</f>
        <v>97808.92</v>
      </c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3"/>
    </row>
    <row r="16" spans="1:13" ht="20.25" hidden="1" customHeight="1">
      <c r="A16" s="71" t="s">
        <v>265</v>
      </c>
      <c r="B16" s="292">
        <f>K34*C$9</f>
        <v>79304.72</v>
      </c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3"/>
    </row>
    <row r="17" spans="1:19" ht="14.25" hidden="1" customHeight="1">
      <c r="A17" s="71" t="s">
        <v>266</v>
      </c>
      <c r="B17" s="292">
        <f>K35*C$9</f>
        <v>94108.079999999987</v>
      </c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40"/>
    </row>
    <row r="18" spans="1:19" ht="15" customHeight="1">
      <c r="A18" s="293"/>
      <c r="B18" s="24"/>
      <c r="C18" s="24"/>
      <c r="D18" s="24"/>
      <c r="E18" s="71"/>
      <c r="F18" s="24"/>
      <c r="G18" s="24"/>
      <c r="H18" s="71"/>
      <c r="I18" s="71"/>
      <c r="J18" s="71"/>
      <c r="K18" s="71"/>
      <c r="L18" s="71"/>
      <c r="M18" s="3"/>
    </row>
    <row r="19" spans="1:19" ht="15.75">
      <c r="A19" s="293" t="s">
        <v>983</v>
      </c>
      <c r="B19" s="24"/>
      <c r="C19" s="24"/>
      <c r="D19" s="24"/>
      <c r="E19" s="71"/>
      <c r="F19" s="24"/>
      <c r="G19" s="24"/>
      <c r="H19" s="71"/>
      <c r="I19" s="71"/>
      <c r="J19" s="71"/>
      <c r="K19" s="71"/>
      <c r="L19" s="71"/>
      <c r="M19" s="3"/>
    </row>
    <row r="20" spans="1:19" ht="16.5" thickBot="1">
      <c r="A20" s="293" t="s">
        <v>984</v>
      </c>
      <c r="B20" s="24"/>
      <c r="C20" s="24"/>
      <c r="D20" s="24"/>
      <c r="E20" s="71"/>
      <c r="F20" s="24"/>
      <c r="G20" s="24"/>
      <c r="H20" s="24"/>
      <c r="I20" s="24"/>
      <c r="J20" s="24"/>
      <c r="K20" s="71"/>
      <c r="L20" s="71"/>
      <c r="M20" s="3"/>
    </row>
    <row r="21" spans="1:19">
      <c r="A21" s="294"/>
      <c r="B21" s="294"/>
      <c r="C21" s="294"/>
      <c r="D21" s="294"/>
      <c r="E21" s="295"/>
      <c r="F21" s="294"/>
      <c r="G21" s="25"/>
      <c r="H21" s="25"/>
      <c r="I21" s="25"/>
      <c r="J21" s="25"/>
      <c r="K21" s="71"/>
      <c r="L21" s="71"/>
      <c r="M21" s="3"/>
      <c r="N21" s="689" t="s">
        <v>80</v>
      </c>
      <c r="O21" s="700"/>
      <c r="P21" s="690"/>
      <c r="Q21" s="689" t="s">
        <v>81</v>
      </c>
      <c r="R21" s="700"/>
      <c r="S21" s="690"/>
    </row>
    <row r="22" spans="1:19">
      <c r="A22" s="296"/>
      <c r="B22" s="297"/>
      <c r="C22" s="298"/>
      <c r="D22" s="298"/>
      <c r="E22" s="298"/>
      <c r="F22" s="298" t="s">
        <v>91</v>
      </c>
      <c r="G22" s="299"/>
      <c r="H22" s="300"/>
      <c r="I22" s="299"/>
      <c r="J22" s="300"/>
      <c r="K22" s="299"/>
      <c r="L22" s="300"/>
      <c r="M22" s="3"/>
      <c r="N22" s="416" t="s">
        <v>82</v>
      </c>
      <c r="O22" s="172" t="s">
        <v>980</v>
      </c>
      <c r="P22" s="417" t="s">
        <v>1003</v>
      </c>
      <c r="Q22" s="416" t="s">
        <v>82</v>
      </c>
      <c r="R22" s="172" t="s">
        <v>980</v>
      </c>
      <c r="S22" s="417" t="s">
        <v>1003</v>
      </c>
    </row>
    <row r="23" spans="1:19">
      <c r="A23" s="301"/>
      <c r="B23" s="302" t="s">
        <v>985</v>
      </c>
      <c r="C23" s="303" t="s">
        <v>986</v>
      </c>
      <c r="D23" s="303" t="s">
        <v>987</v>
      </c>
      <c r="E23" s="303"/>
      <c r="F23" s="302" t="s">
        <v>988</v>
      </c>
      <c r="G23" s="304" t="s">
        <v>989</v>
      </c>
      <c r="H23" s="324" t="s">
        <v>1073</v>
      </c>
      <c r="I23" s="304"/>
      <c r="J23" s="305"/>
      <c r="K23" s="306"/>
      <c r="L23" s="305"/>
      <c r="M23" s="3"/>
      <c r="N23" s="418"/>
      <c r="O23" s="286"/>
      <c r="P23" s="419"/>
      <c r="Q23" s="418"/>
      <c r="R23" s="115"/>
      <c r="S23" s="377"/>
    </row>
    <row r="24" spans="1:19">
      <c r="A24" s="301" t="s">
        <v>990</v>
      </c>
      <c r="B24" s="302" t="s">
        <v>991</v>
      </c>
      <c r="C24" s="307" t="s">
        <v>468</v>
      </c>
      <c r="D24" s="307" t="s">
        <v>992</v>
      </c>
      <c r="E24" s="307" t="s">
        <v>993</v>
      </c>
      <c r="F24" s="302" t="s">
        <v>994</v>
      </c>
      <c r="G24" s="306" t="s">
        <v>995</v>
      </c>
      <c r="H24" s="308" t="s">
        <v>1074</v>
      </c>
      <c r="I24" s="306" t="s">
        <v>83</v>
      </c>
      <c r="J24" s="308" t="s">
        <v>84</v>
      </c>
      <c r="K24" s="306" t="s">
        <v>997</v>
      </c>
      <c r="L24" s="305" t="s">
        <v>985</v>
      </c>
      <c r="M24" s="3"/>
      <c r="N24" s="418"/>
      <c r="O24" s="286"/>
      <c r="P24" s="419"/>
      <c r="Q24" s="418"/>
      <c r="R24" s="115"/>
      <c r="S24" s="377"/>
    </row>
    <row r="25" spans="1:19">
      <c r="A25" s="301" t="s">
        <v>998</v>
      </c>
      <c r="B25" s="302" t="s">
        <v>999</v>
      </c>
      <c r="C25" s="302" t="s">
        <v>1000</v>
      </c>
      <c r="D25" s="302" t="s">
        <v>994</v>
      </c>
      <c r="E25" s="302" t="s">
        <v>1001</v>
      </c>
      <c r="F25" s="302" t="s">
        <v>1002</v>
      </c>
      <c r="G25" s="304" t="s">
        <v>994</v>
      </c>
      <c r="H25" s="305"/>
      <c r="I25" s="304"/>
      <c r="J25" s="305"/>
      <c r="K25" s="306" t="s">
        <v>1003</v>
      </c>
      <c r="L25" s="305" t="s">
        <v>979</v>
      </c>
      <c r="M25" s="3"/>
      <c r="N25" s="418"/>
      <c r="O25" s="286"/>
      <c r="P25" s="419"/>
      <c r="Q25" s="418"/>
      <c r="R25" s="115"/>
      <c r="S25" s="377"/>
    </row>
    <row r="26" spans="1:19">
      <c r="A26" s="301"/>
      <c r="B26" s="429"/>
      <c r="C26" s="430">
        <v>0.1434</v>
      </c>
      <c r="D26" s="430">
        <v>0</v>
      </c>
      <c r="E26" s="430">
        <v>0.15</v>
      </c>
      <c r="F26" s="431">
        <v>440.66</v>
      </c>
      <c r="G26" s="432">
        <v>0</v>
      </c>
      <c r="H26" s="420">
        <v>0.05</v>
      </c>
      <c r="I26" s="309">
        <v>0.05</v>
      </c>
      <c r="J26" s="420">
        <v>0.03</v>
      </c>
      <c r="K26" s="310"/>
      <c r="L26" s="311" t="s">
        <v>1004</v>
      </c>
      <c r="M26" s="3"/>
      <c r="N26" s="418"/>
      <c r="O26" s="286"/>
      <c r="P26" s="419"/>
      <c r="Q26" s="418"/>
      <c r="R26" s="115"/>
      <c r="S26" s="377"/>
    </row>
    <row r="27" spans="1:19" ht="15.75">
      <c r="A27" s="312" t="s">
        <v>524</v>
      </c>
      <c r="B27" s="313"/>
      <c r="C27" s="313"/>
      <c r="D27" s="314"/>
      <c r="E27" s="314"/>
      <c r="F27" s="313"/>
      <c r="G27" s="314"/>
      <c r="H27" s="315"/>
      <c r="I27" s="314"/>
      <c r="J27" s="315"/>
      <c r="K27" s="314"/>
      <c r="L27" s="315"/>
      <c r="M27" s="3"/>
      <c r="N27" s="418"/>
      <c r="O27" s="286"/>
      <c r="P27" s="419"/>
      <c r="Q27" s="418"/>
      <c r="R27" s="115"/>
      <c r="S27" s="377"/>
    </row>
    <row r="28" spans="1:19">
      <c r="A28" s="316" t="s">
        <v>1005</v>
      </c>
      <c r="B28" s="317">
        <v>41</v>
      </c>
      <c r="C28" s="318">
        <f t="shared" ref="C28:E31" si="0">$B28*C$26</f>
        <v>5.8794000000000004</v>
      </c>
      <c r="D28" s="318">
        <f t="shared" si="0"/>
        <v>0</v>
      </c>
      <c r="E28" s="318">
        <f t="shared" si="0"/>
        <v>6.1499999999999995</v>
      </c>
      <c r="F28" s="318">
        <f>$F$26*12/2080</f>
        <v>2.5422692307692309</v>
      </c>
      <c r="G28" s="318">
        <f>SUM(B28:F28)*G$26</f>
        <v>0</v>
      </c>
      <c r="H28" s="318">
        <f>$B28*H$26</f>
        <v>2.0500000000000003</v>
      </c>
      <c r="I28" s="318">
        <f t="shared" ref="I28:J34" si="1">$B28*I$26</f>
        <v>2.0500000000000003</v>
      </c>
      <c r="J28" s="318">
        <f t="shared" si="1"/>
        <v>1.23</v>
      </c>
      <c r="K28" s="318">
        <f>SUM(B28:J28)</f>
        <v>60.901669230769222</v>
      </c>
      <c r="L28" s="319">
        <f>B28*2080</f>
        <v>85280</v>
      </c>
      <c r="M28" s="3"/>
      <c r="N28" s="418">
        <v>1</v>
      </c>
      <c r="O28" s="421">
        <f>6*160</f>
        <v>960</v>
      </c>
      <c r="P28" s="422">
        <f>N28*O28*K28</f>
        <v>58465.602461538452</v>
      </c>
      <c r="Q28" s="418">
        <v>1</v>
      </c>
      <c r="R28" s="286">
        <v>2080</v>
      </c>
      <c r="S28" s="422">
        <f>Q28*R28*K28</f>
        <v>126675.47199999998</v>
      </c>
    </row>
    <row r="29" spans="1:19">
      <c r="A29" s="320" t="s">
        <v>1006</v>
      </c>
      <c r="B29" s="321">
        <f>80000/2080</f>
        <v>38.46153846153846</v>
      </c>
      <c r="C29" s="318">
        <f t="shared" si="0"/>
        <v>5.5153846153846153</v>
      </c>
      <c r="D29" s="318">
        <f t="shared" si="0"/>
        <v>0</v>
      </c>
      <c r="E29" s="318">
        <f t="shared" si="0"/>
        <v>5.7692307692307692</v>
      </c>
      <c r="F29" s="318">
        <f>$F$26*12/2080</f>
        <v>2.5422692307692309</v>
      </c>
      <c r="G29" s="318">
        <f>SUM(B29:F29)*G$26</f>
        <v>0</v>
      </c>
      <c r="H29" s="318">
        <f>$B29*H$26</f>
        <v>1.9230769230769231</v>
      </c>
      <c r="I29" s="318">
        <f t="shared" si="1"/>
        <v>1.9230769230769231</v>
      </c>
      <c r="J29" s="318">
        <f t="shared" si="1"/>
        <v>1.1538461538461537</v>
      </c>
      <c r="K29" s="318">
        <f t="shared" ref="K29:K35" si="2">SUM(B29:J29)</f>
        <v>57.28842307692306</v>
      </c>
      <c r="L29" s="319">
        <f>B29*2080</f>
        <v>80000</v>
      </c>
      <c r="M29" s="3"/>
      <c r="N29" s="418"/>
      <c r="O29" s="421">
        <f>7*160</f>
        <v>1120</v>
      </c>
      <c r="P29" s="422">
        <f t="shared" ref="P29:P35" si="3">N29*O29*K29</f>
        <v>0</v>
      </c>
      <c r="Q29" s="418"/>
      <c r="R29" s="286"/>
      <c r="S29" s="422">
        <f t="shared" ref="S29:S35" si="4">Q29*R29*K29</f>
        <v>0</v>
      </c>
    </row>
    <row r="30" spans="1:19">
      <c r="A30" s="316" t="s">
        <v>1007</v>
      </c>
      <c r="B30" s="317">
        <v>25</v>
      </c>
      <c r="C30" s="318">
        <f t="shared" si="0"/>
        <v>3.585</v>
      </c>
      <c r="D30" s="318">
        <f t="shared" si="0"/>
        <v>0</v>
      </c>
      <c r="E30" s="318">
        <f t="shared" si="0"/>
        <v>3.75</v>
      </c>
      <c r="F30" s="318">
        <f>$F$26*12/2080</f>
        <v>2.5422692307692309</v>
      </c>
      <c r="G30" s="318">
        <f>SUM(B30:F30)*G$26</f>
        <v>0</v>
      </c>
      <c r="H30" s="318">
        <f>$B30*H$26</f>
        <v>1.25</v>
      </c>
      <c r="I30" s="318">
        <f t="shared" si="1"/>
        <v>1.25</v>
      </c>
      <c r="J30" s="318">
        <f t="shared" si="1"/>
        <v>0.75</v>
      </c>
      <c r="K30" s="318">
        <f t="shared" si="2"/>
        <v>38.12726923076923</v>
      </c>
      <c r="L30" s="319">
        <f>B30*2080</f>
        <v>52000</v>
      </c>
      <c r="M30" s="3"/>
      <c r="N30" s="418"/>
      <c r="O30" s="421">
        <f>7*160</f>
        <v>1120</v>
      </c>
      <c r="P30" s="422">
        <f t="shared" si="3"/>
        <v>0</v>
      </c>
      <c r="Q30" s="418"/>
      <c r="R30" s="286"/>
      <c r="S30" s="422">
        <f t="shared" si="4"/>
        <v>0</v>
      </c>
    </row>
    <row r="31" spans="1:19">
      <c r="A31" s="316" t="s">
        <v>85</v>
      </c>
      <c r="B31" s="317">
        <v>12.25</v>
      </c>
      <c r="C31" s="318">
        <f t="shared" si="0"/>
        <v>1.75665</v>
      </c>
      <c r="D31" s="318">
        <f t="shared" si="0"/>
        <v>0</v>
      </c>
      <c r="E31" s="318">
        <f t="shared" si="0"/>
        <v>1.8374999999999999</v>
      </c>
      <c r="F31" s="318">
        <f>$F$26*12/2080</f>
        <v>2.5422692307692309</v>
      </c>
      <c r="G31" s="318">
        <f>SUM(B31:F31)*G$26</f>
        <v>0</v>
      </c>
      <c r="H31" s="318">
        <f>$B31*H$26</f>
        <v>0.61250000000000004</v>
      </c>
      <c r="I31" s="318">
        <f t="shared" si="1"/>
        <v>0.61250000000000004</v>
      </c>
      <c r="J31" s="318">
        <f t="shared" si="1"/>
        <v>0.36749999999999999</v>
      </c>
      <c r="K31" s="318">
        <f t="shared" si="2"/>
        <v>19.978919230769232</v>
      </c>
      <c r="L31" s="319">
        <f>B31*2080</f>
        <v>25480</v>
      </c>
      <c r="M31" s="3"/>
      <c r="N31" s="418">
        <v>1</v>
      </c>
      <c r="O31" s="421">
        <f>5*160</f>
        <v>800</v>
      </c>
      <c r="P31" s="422">
        <f t="shared" si="3"/>
        <v>15983.135384615385</v>
      </c>
      <c r="Q31" s="418">
        <v>1</v>
      </c>
      <c r="R31" s="286">
        <v>2080</v>
      </c>
      <c r="S31" s="422">
        <f t="shared" si="4"/>
        <v>41556.152000000002</v>
      </c>
    </row>
    <row r="32" spans="1:19" ht="15.75">
      <c r="A32" s="312" t="s">
        <v>1008</v>
      </c>
      <c r="B32" s="322"/>
      <c r="C32" s="24"/>
      <c r="D32" s="24"/>
      <c r="E32" s="24"/>
      <c r="F32" s="24"/>
      <c r="G32" s="24"/>
      <c r="H32" s="24"/>
      <c r="I32" s="318"/>
      <c r="J32" s="318"/>
      <c r="K32" s="318"/>
      <c r="L32" s="24"/>
      <c r="M32" s="3"/>
      <c r="N32" s="418"/>
      <c r="O32" s="421"/>
      <c r="P32" s="422"/>
      <c r="Q32" s="418"/>
      <c r="R32" s="286"/>
      <c r="S32" s="422"/>
    </row>
    <row r="33" spans="1:22">
      <c r="A33" s="316" t="s">
        <v>1009</v>
      </c>
      <c r="B33" s="317">
        <f>65000/2080</f>
        <v>31.25</v>
      </c>
      <c r="C33" s="318">
        <f t="shared" ref="C33:E35" si="5">$B33*C$26</f>
        <v>4.4812500000000002</v>
      </c>
      <c r="D33" s="318">
        <f t="shared" si="5"/>
        <v>0</v>
      </c>
      <c r="E33" s="318">
        <f t="shared" si="5"/>
        <v>4.6875</v>
      </c>
      <c r="F33" s="318">
        <f>$F$26*12/2080</f>
        <v>2.5422692307692309</v>
      </c>
      <c r="G33" s="318">
        <f>SUM(B33:F33)*G$26</f>
        <v>0</v>
      </c>
      <c r="H33" s="318">
        <f>$B33*H$26</f>
        <v>1.5625</v>
      </c>
      <c r="I33" s="318">
        <f t="shared" si="1"/>
        <v>1.5625</v>
      </c>
      <c r="J33" s="318">
        <f t="shared" si="1"/>
        <v>0.9375</v>
      </c>
      <c r="K33" s="318">
        <f t="shared" si="2"/>
        <v>47.023519230769232</v>
      </c>
      <c r="L33" s="319">
        <f>B33*2080</f>
        <v>65000</v>
      </c>
      <c r="M33" s="3"/>
      <c r="N33" s="418"/>
      <c r="O33" s="421"/>
      <c r="P33" s="422">
        <f t="shared" si="3"/>
        <v>0</v>
      </c>
      <c r="Q33" s="418"/>
      <c r="R33" s="286"/>
      <c r="S33" s="422">
        <f t="shared" si="4"/>
        <v>0</v>
      </c>
    </row>
    <row r="34" spans="1:22">
      <c r="A34" s="316" t="str">
        <f>Mob_Staffing!A13</f>
        <v>O&amp;M TECHNICIAN III</v>
      </c>
      <c r="B34" s="317">
        <v>25</v>
      </c>
      <c r="C34" s="318">
        <f t="shared" si="5"/>
        <v>3.585</v>
      </c>
      <c r="D34" s="318">
        <f t="shared" si="5"/>
        <v>0</v>
      </c>
      <c r="E34" s="318">
        <f t="shared" si="5"/>
        <v>3.75</v>
      </c>
      <c r="F34" s="318">
        <f>$F$26*12/R34</f>
        <v>2.5422692307692309</v>
      </c>
      <c r="G34" s="318">
        <f>SUM(B34:F34)*G$26</f>
        <v>0</v>
      </c>
      <c r="H34" s="318">
        <f>$B34*H$26</f>
        <v>1.25</v>
      </c>
      <c r="I34" s="318">
        <f t="shared" si="1"/>
        <v>1.25</v>
      </c>
      <c r="J34" s="318">
        <f t="shared" si="1"/>
        <v>0.75</v>
      </c>
      <c r="K34" s="318">
        <f t="shared" si="2"/>
        <v>38.12726923076923</v>
      </c>
      <c r="L34" s="319">
        <f>B34*2080</f>
        <v>52000</v>
      </c>
      <c r="M34" s="3"/>
      <c r="N34" s="418">
        <v>2</v>
      </c>
      <c r="O34" s="421">
        <f>3*160</f>
        <v>480</v>
      </c>
      <c r="P34" s="422">
        <f t="shared" si="3"/>
        <v>36602.17846153846</v>
      </c>
      <c r="Q34" s="418">
        <v>2</v>
      </c>
      <c r="R34" s="286">
        <v>2080</v>
      </c>
      <c r="S34" s="422">
        <f t="shared" si="4"/>
        <v>158609.44</v>
      </c>
    </row>
    <row r="35" spans="1:22">
      <c r="A35" s="316" t="str">
        <f>Mob_Staffing!A14</f>
        <v>SEASONAL O&amp;M TECHNICIAN II</v>
      </c>
      <c r="B35" s="317">
        <v>30</v>
      </c>
      <c r="C35" s="318">
        <f t="shared" si="5"/>
        <v>4.3019999999999996</v>
      </c>
      <c r="D35" s="318">
        <f t="shared" si="5"/>
        <v>0</v>
      </c>
      <c r="E35" s="318">
        <f t="shared" si="5"/>
        <v>4.5</v>
      </c>
      <c r="F35" s="318">
        <f>F34</f>
        <v>2.5422692307692309</v>
      </c>
      <c r="G35" s="318">
        <f>SUM(B35:F35)*G$26</f>
        <v>0</v>
      </c>
      <c r="H35" s="318">
        <f>$B35*H$26</f>
        <v>1.5</v>
      </c>
      <c r="I35" s="318">
        <f>$B35*I$26</f>
        <v>1.5</v>
      </c>
      <c r="J35" s="318">
        <f>$B35*J$26</f>
        <v>0.89999999999999991</v>
      </c>
      <c r="K35" s="318">
        <f t="shared" si="2"/>
        <v>45.244269230769227</v>
      </c>
      <c r="L35" s="319">
        <f>B35*2080</f>
        <v>62400</v>
      </c>
      <c r="M35" s="3"/>
      <c r="N35" s="418">
        <v>3</v>
      </c>
      <c r="O35" s="421">
        <v>160</v>
      </c>
      <c r="P35" s="422">
        <f t="shared" si="3"/>
        <v>21717.24923076923</v>
      </c>
      <c r="Q35" s="418">
        <v>3</v>
      </c>
      <c r="R35" s="286">
        <f>5*4*40+80</f>
        <v>880</v>
      </c>
      <c r="S35" s="422">
        <f t="shared" si="4"/>
        <v>119444.87076923077</v>
      </c>
    </row>
    <row r="36" spans="1:22">
      <c r="A36" s="71"/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3"/>
      <c r="N36" s="418"/>
      <c r="O36" s="421"/>
      <c r="P36" s="419"/>
      <c r="Q36" s="418"/>
      <c r="R36" s="286"/>
      <c r="S36" s="422"/>
    </row>
    <row r="37" spans="1:22" ht="15.75">
      <c r="A37" s="293" t="s">
        <v>1010</v>
      </c>
      <c r="B37" s="24"/>
      <c r="C37" s="24"/>
      <c r="D37" s="24"/>
      <c r="E37" s="71"/>
      <c r="F37" s="24"/>
      <c r="G37" s="71"/>
      <c r="H37" s="24"/>
      <c r="I37" s="433"/>
      <c r="J37" s="472"/>
      <c r="K37" s="451"/>
      <c r="L37" s="71"/>
      <c r="M37" s="3"/>
      <c r="N37" s="378"/>
      <c r="O37" s="423"/>
      <c r="P37" s="377"/>
      <c r="Q37" s="378"/>
      <c r="R37" s="115"/>
      <c r="S37" s="424"/>
    </row>
    <row r="38" spans="1:22" ht="15.75">
      <c r="A38" s="293" t="s">
        <v>984</v>
      </c>
      <c r="B38" s="24"/>
      <c r="C38" s="24"/>
      <c r="D38" s="24"/>
      <c r="E38" s="71"/>
      <c r="F38" s="24"/>
      <c r="G38" s="71"/>
      <c r="H38" s="24"/>
      <c r="I38" s="433"/>
      <c r="J38" s="456"/>
      <c r="K38" s="24"/>
      <c r="L38" s="71"/>
      <c r="M38" s="3"/>
      <c r="N38" s="378"/>
      <c r="O38" s="423"/>
      <c r="P38" s="377"/>
      <c r="Q38" s="378"/>
      <c r="R38" s="115"/>
      <c r="S38" s="424"/>
    </row>
    <row r="39" spans="1:22">
      <c r="A39" s="294"/>
      <c r="B39" s="294"/>
      <c r="C39" s="294"/>
      <c r="D39" s="294"/>
      <c r="E39" s="295"/>
      <c r="F39" s="294"/>
      <c r="G39" s="71"/>
      <c r="H39" s="25"/>
      <c r="I39" s="71"/>
      <c r="J39" s="25"/>
      <c r="K39" s="25"/>
      <c r="L39" s="71"/>
      <c r="M39" s="3"/>
      <c r="N39" s="378"/>
      <c r="O39" s="423"/>
      <c r="P39" s="377"/>
      <c r="Q39" s="378"/>
      <c r="R39" s="115"/>
      <c r="S39" s="424"/>
    </row>
    <row r="40" spans="1:22">
      <c r="A40" s="296"/>
      <c r="B40" s="297"/>
      <c r="C40" s="298"/>
      <c r="D40" s="298"/>
      <c r="E40" s="298"/>
      <c r="F40" s="298"/>
      <c r="G40" s="299"/>
      <c r="H40" s="300"/>
      <c r="I40" s="299"/>
      <c r="J40" s="300"/>
      <c r="K40" s="323"/>
      <c r="L40" s="71"/>
      <c r="M40" s="3"/>
      <c r="N40" s="378"/>
      <c r="O40" s="423"/>
      <c r="P40" s="377"/>
      <c r="Q40" s="378"/>
      <c r="R40" s="115"/>
      <c r="S40" s="424"/>
    </row>
    <row r="41" spans="1:22">
      <c r="A41" s="301"/>
      <c r="B41" s="302" t="s">
        <v>985</v>
      </c>
      <c r="C41" s="303" t="s">
        <v>986</v>
      </c>
      <c r="D41" s="303" t="s">
        <v>987</v>
      </c>
      <c r="E41" s="303"/>
      <c r="F41" s="302" t="s">
        <v>988</v>
      </c>
      <c r="G41" s="304" t="s">
        <v>989</v>
      </c>
      <c r="H41" s="305"/>
      <c r="I41" s="304"/>
      <c r="J41" s="305"/>
      <c r="K41" s="324"/>
      <c r="L41" s="71"/>
      <c r="M41" s="3"/>
      <c r="N41" s="378"/>
      <c r="O41" s="423"/>
      <c r="P41" s="377"/>
      <c r="Q41" s="378"/>
      <c r="R41" s="115"/>
      <c r="S41" s="424"/>
    </row>
    <row r="42" spans="1:22">
      <c r="A42" s="301" t="s">
        <v>990</v>
      </c>
      <c r="B42" s="302" t="s">
        <v>991</v>
      </c>
      <c r="C42" s="307" t="s">
        <v>468</v>
      </c>
      <c r="D42" s="307" t="s">
        <v>992</v>
      </c>
      <c r="E42" s="307" t="s">
        <v>993</v>
      </c>
      <c r="F42" s="302" t="s">
        <v>994</v>
      </c>
      <c r="G42" s="306" t="s">
        <v>995</v>
      </c>
      <c r="H42" s="308" t="s">
        <v>996</v>
      </c>
      <c r="I42" s="306" t="s">
        <v>83</v>
      </c>
      <c r="J42" s="308" t="s">
        <v>84</v>
      </c>
      <c r="K42" s="324" t="s">
        <v>997</v>
      </c>
      <c r="L42" s="71"/>
      <c r="M42" s="3"/>
      <c r="N42" s="378"/>
      <c r="O42" s="423"/>
      <c r="P42" s="377"/>
      <c r="Q42" s="378"/>
      <c r="R42" s="115"/>
      <c r="S42" s="424"/>
    </row>
    <row r="43" spans="1:22">
      <c r="A43" s="301" t="s">
        <v>998</v>
      </c>
      <c r="B43" s="302" t="s">
        <v>999</v>
      </c>
      <c r="C43" s="302" t="s">
        <v>1000</v>
      </c>
      <c r="D43" s="302" t="s">
        <v>994</v>
      </c>
      <c r="E43" s="302" t="s">
        <v>1001</v>
      </c>
      <c r="F43" s="302" t="s">
        <v>1002</v>
      </c>
      <c r="G43" s="304" t="s">
        <v>994</v>
      </c>
      <c r="H43" s="305"/>
      <c r="I43" s="304"/>
      <c r="J43" s="305"/>
      <c r="K43" s="324" t="s">
        <v>1003</v>
      </c>
      <c r="L43" s="71"/>
      <c r="M43" s="3"/>
      <c r="N43" s="378"/>
      <c r="O43" s="423"/>
      <c r="P43" s="377"/>
      <c r="Q43" s="378"/>
      <c r="R43" s="115"/>
      <c r="S43" s="424"/>
    </row>
    <row r="44" spans="1:22">
      <c r="A44" s="301"/>
      <c r="B44" s="302"/>
      <c r="C44" s="325">
        <f>C26</f>
        <v>0.1434</v>
      </c>
      <c r="D44" s="325">
        <f>D26</f>
        <v>0</v>
      </c>
      <c r="E44" s="325">
        <f>E26</f>
        <v>0.15</v>
      </c>
      <c r="F44" s="326">
        <v>0</v>
      </c>
      <c r="G44" s="325">
        <f>G26</f>
        <v>0</v>
      </c>
      <c r="H44" s="325">
        <f>H26</f>
        <v>0.05</v>
      </c>
      <c r="I44" s="325">
        <v>0</v>
      </c>
      <c r="J44" s="325">
        <v>0</v>
      </c>
      <c r="K44" s="327"/>
      <c r="L44" s="71"/>
      <c r="M44" s="3"/>
      <c r="N44" s="378"/>
      <c r="O44" s="423"/>
      <c r="P44" s="377"/>
      <c r="Q44" s="378"/>
      <c r="R44" s="115"/>
      <c r="S44" s="424"/>
    </row>
    <row r="45" spans="1:22" ht="15.75">
      <c r="A45" s="312" t="s">
        <v>524</v>
      </c>
      <c r="B45" s="313"/>
      <c r="C45" s="313"/>
      <c r="D45" s="314"/>
      <c r="E45" s="314"/>
      <c r="F45" s="313"/>
      <c r="G45" s="314"/>
      <c r="H45" s="315"/>
      <c r="I45" s="314"/>
      <c r="J45" s="315"/>
      <c r="K45" s="314"/>
      <c r="L45" s="71"/>
      <c r="M45" s="3"/>
      <c r="N45" s="418"/>
      <c r="O45" s="421"/>
      <c r="P45" s="419"/>
      <c r="Q45" s="418"/>
      <c r="R45" s="286"/>
      <c r="S45" s="422"/>
      <c r="U45" s="12"/>
      <c r="V45" s="12"/>
    </row>
    <row r="46" spans="1:22">
      <c r="A46" s="316" t="str">
        <f>+A28</f>
        <v>Plant Manager</v>
      </c>
      <c r="B46" s="328">
        <f>B28*1.5</f>
        <v>61.5</v>
      </c>
      <c r="C46" s="318">
        <f t="shared" ref="C46:E49" si="6">$B46*C$44</f>
        <v>8.8191000000000006</v>
      </c>
      <c r="D46" s="318">
        <f t="shared" si="6"/>
        <v>0</v>
      </c>
      <c r="E46" s="318">
        <f t="shared" si="6"/>
        <v>9.2249999999999996</v>
      </c>
      <c r="F46" s="318">
        <f>$F$44*12/2080</f>
        <v>0</v>
      </c>
      <c r="G46" s="318">
        <f>SUM(B46:F46)*G$44</f>
        <v>0</v>
      </c>
      <c r="H46" s="318"/>
      <c r="I46" s="318"/>
      <c r="J46" s="318"/>
      <c r="K46" s="318">
        <f>SUM(B46:J46)</f>
        <v>79.5441</v>
      </c>
      <c r="L46" s="71"/>
      <c r="M46" s="3"/>
      <c r="N46" s="418">
        <v>1</v>
      </c>
      <c r="O46" s="421">
        <v>0</v>
      </c>
      <c r="P46" s="422">
        <f t="shared" ref="P46:P53" si="7">N46*O46*K46</f>
        <v>0</v>
      </c>
      <c r="Q46" s="418">
        <v>1</v>
      </c>
      <c r="R46" s="286">
        <v>0</v>
      </c>
      <c r="S46" s="422">
        <f t="shared" ref="S46:S53" si="8">Q46*R46*K46</f>
        <v>0</v>
      </c>
      <c r="U46" s="12"/>
      <c r="V46" s="12"/>
    </row>
    <row r="47" spans="1:22">
      <c r="A47" s="320" t="str">
        <f>+A29</f>
        <v>Maintenance Manager</v>
      </c>
      <c r="B47" s="328">
        <f>B29*1.5</f>
        <v>57.692307692307693</v>
      </c>
      <c r="C47" s="318">
        <f t="shared" si="6"/>
        <v>8.273076923076923</v>
      </c>
      <c r="D47" s="318">
        <f t="shared" si="6"/>
        <v>0</v>
      </c>
      <c r="E47" s="318">
        <f t="shared" si="6"/>
        <v>8.6538461538461533</v>
      </c>
      <c r="F47" s="318">
        <f>$F$44*12/2080</f>
        <v>0</v>
      </c>
      <c r="G47" s="318">
        <f>SUM(B47:F47)*G$44</f>
        <v>0</v>
      </c>
      <c r="H47" s="318"/>
      <c r="I47" s="318"/>
      <c r="J47" s="318"/>
      <c r="K47" s="318">
        <f t="shared" ref="K47:K53" si="9">SUM(B47:J47)</f>
        <v>74.619230769230768</v>
      </c>
      <c r="L47" s="71"/>
      <c r="M47" s="3"/>
      <c r="N47" s="418"/>
      <c r="O47" s="421"/>
      <c r="P47" s="422">
        <f t="shared" si="7"/>
        <v>0</v>
      </c>
      <c r="Q47" s="418"/>
      <c r="R47" s="286"/>
      <c r="S47" s="422">
        <f t="shared" si="8"/>
        <v>0</v>
      </c>
      <c r="U47" s="12"/>
      <c r="V47" s="12"/>
    </row>
    <row r="48" spans="1:22">
      <c r="A48" s="316" t="str">
        <f>+A30</f>
        <v>Purchasing / Warehouse</v>
      </c>
      <c r="B48" s="328">
        <f>B30*1.5</f>
        <v>37.5</v>
      </c>
      <c r="C48" s="318">
        <f t="shared" si="6"/>
        <v>5.3775000000000004</v>
      </c>
      <c r="D48" s="318">
        <f t="shared" si="6"/>
        <v>0</v>
      </c>
      <c r="E48" s="318">
        <f t="shared" si="6"/>
        <v>5.625</v>
      </c>
      <c r="F48" s="318">
        <f>$F$44*12/2080</f>
        <v>0</v>
      </c>
      <c r="G48" s="318">
        <f>SUM(B48:F48)*G$44</f>
        <v>0</v>
      </c>
      <c r="H48" s="318"/>
      <c r="I48" s="318"/>
      <c r="J48" s="318"/>
      <c r="K48" s="318">
        <f t="shared" si="9"/>
        <v>48.502499999999998</v>
      </c>
      <c r="L48" s="71"/>
      <c r="M48" s="3"/>
      <c r="N48" s="418"/>
      <c r="O48" s="421"/>
      <c r="P48" s="422">
        <f t="shared" si="7"/>
        <v>0</v>
      </c>
      <c r="Q48" s="418"/>
      <c r="R48" s="286"/>
      <c r="S48" s="422">
        <f t="shared" si="8"/>
        <v>0</v>
      </c>
      <c r="U48" s="12"/>
      <c r="V48" s="12"/>
    </row>
    <row r="49" spans="1:22">
      <c r="A49" s="316" t="str">
        <f>+A31</f>
        <v>Clerk</v>
      </c>
      <c r="B49" s="328">
        <f>B31*1.5</f>
        <v>18.375</v>
      </c>
      <c r="C49" s="318">
        <f t="shared" si="6"/>
        <v>2.6349749999999998</v>
      </c>
      <c r="D49" s="318">
        <f t="shared" si="6"/>
        <v>0</v>
      </c>
      <c r="E49" s="318">
        <f t="shared" si="6"/>
        <v>2.7562500000000001</v>
      </c>
      <c r="F49" s="318">
        <f>$F$44*12/2080</f>
        <v>0</v>
      </c>
      <c r="G49" s="318">
        <f>SUM(B49:F49)*G$44</f>
        <v>0</v>
      </c>
      <c r="H49" s="318"/>
      <c r="I49" s="318"/>
      <c r="J49" s="318"/>
      <c r="K49" s="318">
        <f t="shared" si="9"/>
        <v>23.766225000000002</v>
      </c>
      <c r="L49" s="71"/>
      <c r="M49" s="3"/>
      <c r="N49" s="418">
        <v>1</v>
      </c>
      <c r="O49" s="421">
        <f>O31*0.05</f>
        <v>40</v>
      </c>
      <c r="P49" s="422">
        <f t="shared" si="7"/>
        <v>950.64900000000011</v>
      </c>
      <c r="Q49" s="418">
        <v>1</v>
      </c>
      <c r="R49" s="286">
        <f>0.05*R31</f>
        <v>104</v>
      </c>
      <c r="S49" s="422">
        <f t="shared" si="8"/>
        <v>2471.6874000000003</v>
      </c>
      <c r="U49" s="12"/>
      <c r="V49" s="12"/>
    </row>
    <row r="50" spans="1:22" ht="15.75">
      <c r="A50" s="312" t="s">
        <v>1008</v>
      </c>
      <c r="B50" s="328"/>
      <c r="C50" s="318"/>
      <c r="D50" s="318"/>
      <c r="E50" s="318"/>
      <c r="F50" s="318"/>
      <c r="G50" s="318"/>
      <c r="H50" s="318"/>
      <c r="I50" s="318"/>
      <c r="J50" s="318"/>
      <c r="K50" s="318"/>
      <c r="L50" s="71"/>
      <c r="M50" s="3"/>
      <c r="N50" s="418"/>
      <c r="O50" s="421"/>
      <c r="P50" s="422"/>
      <c r="Q50" s="418"/>
      <c r="R50" s="286"/>
      <c r="S50" s="422"/>
      <c r="U50" s="12"/>
      <c r="V50" s="12"/>
    </row>
    <row r="51" spans="1:22">
      <c r="A51" s="316" t="str">
        <f>+A33</f>
        <v>Supervisor</v>
      </c>
      <c r="B51" s="328">
        <f>B33*1.5</f>
        <v>46.875</v>
      </c>
      <c r="C51" s="318">
        <f t="shared" ref="C51:E53" si="10">$B51*C$44</f>
        <v>6.7218749999999998</v>
      </c>
      <c r="D51" s="318">
        <f t="shared" si="10"/>
        <v>0</v>
      </c>
      <c r="E51" s="318">
        <f t="shared" si="10"/>
        <v>7.03125</v>
      </c>
      <c r="F51" s="318">
        <f>$F$44*12/2080</f>
        <v>0</v>
      </c>
      <c r="G51" s="318">
        <f>SUM(B51:F51)*G$44</f>
        <v>0</v>
      </c>
      <c r="H51" s="318"/>
      <c r="I51" s="318"/>
      <c r="J51" s="318"/>
      <c r="K51" s="318">
        <f t="shared" si="9"/>
        <v>60.628124999999997</v>
      </c>
      <c r="L51" s="71"/>
      <c r="M51" s="3"/>
      <c r="N51" s="418"/>
      <c r="O51" s="421"/>
      <c r="P51" s="422">
        <f t="shared" si="7"/>
        <v>0</v>
      </c>
      <c r="Q51" s="418"/>
      <c r="R51" s="286"/>
      <c r="S51" s="422">
        <f t="shared" si="8"/>
        <v>0</v>
      </c>
      <c r="U51" s="12"/>
      <c r="V51" s="12"/>
    </row>
    <row r="52" spans="1:22">
      <c r="A52" s="316" t="str">
        <f>+A34</f>
        <v>O&amp;M TECHNICIAN III</v>
      </c>
      <c r="B52" s="328">
        <f>B34*1.5</f>
        <v>37.5</v>
      </c>
      <c r="C52" s="318">
        <f t="shared" si="10"/>
        <v>5.3775000000000004</v>
      </c>
      <c r="D52" s="318">
        <f t="shared" si="10"/>
        <v>0</v>
      </c>
      <c r="E52" s="318">
        <f t="shared" si="10"/>
        <v>5.625</v>
      </c>
      <c r="F52" s="318">
        <f>$F$44*12/2080</f>
        <v>0</v>
      </c>
      <c r="G52" s="318">
        <f>SUM(B52:F52)*G$44</f>
        <v>0</v>
      </c>
      <c r="H52" s="318"/>
      <c r="I52" s="318"/>
      <c r="J52" s="318"/>
      <c r="K52" s="318">
        <f t="shared" si="9"/>
        <v>48.502499999999998</v>
      </c>
      <c r="L52" s="71"/>
      <c r="M52" s="3"/>
      <c r="N52" s="418">
        <v>2</v>
      </c>
      <c r="O52" s="421">
        <f>0.2*O34</f>
        <v>96</v>
      </c>
      <c r="P52" s="422">
        <f t="shared" si="7"/>
        <v>9312.48</v>
      </c>
      <c r="Q52" s="418">
        <v>2</v>
      </c>
      <c r="R52" s="286">
        <f>0.2*R34</f>
        <v>416</v>
      </c>
      <c r="S52" s="422">
        <f t="shared" si="8"/>
        <v>40354.080000000002</v>
      </c>
      <c r="U52" s="12"/>
      <c r="V52" s="12"/>
    </row>
    <row r="53" spans="1:22">
      <c r="A53" s="316" t="str">
        <f>+A35</f>
        <v>SEASONAL O&amp;M TECHNICIAN II</v>
      </c>
      <c r="B53" s="328">
        <f>B35*1.5</f>
        <v>45</v>
      </c>
      <c r="C53" s="318">
        <f t="shared" si="10"/>
        <v>6.4530000000000003</v>
      </c>
      <c r="D53" s="318">
        <f t="shared" si="10"/>
        <v>0</v>
      </c>
      <c r="E53" s="318">
        <f t="shared" si="10"/>
        <v>6.75</v>
      </c>
      <c r="F53" s="318">
        <f>$F$44*12/2080</f>
        <v>0</v>
      </c>
      <c r="G53" s="318">
        <f>SUM(B53:F53)*G$44</f>
        <v>0</v>
      </c>
      <c r="H53" s="318"/>
      <c r="I53" s="318"/>
      <c r="J53" s="318"/>
      <c r="K53" s="318">
        <f t="shared" si="9"/>
        <v>58.203000000000003</v>
      </c>
      <c r="L53" s="71"/>
      <c r="M53" s="3"/>
      <c r="N53" s="418">
        <v>3</v>
      </c>
      <c r="O53" s="421">
        <f>0.2*O35</f>
        <v>32</v>
      </c>
      <c r="P53" s="422">
        <f t="shared" si="7"/>
        <v>5587.4880000000003</v>
      </c>
      <c r="Q53" s="418">
        <v>3</v>
      </c>
      <c r="R53" s="286">
        <f>0.2*R35</f>
        <v>176</v>
      </c>
      <c r="S53" s="422">
        <f t="shared" si="8"/>
        <v>30731.184000000001</v>
      </c>
      <c r="U53" s="12"/>
      <c r="V53" s="12"/>
    </row>
    <row r="54" spans="1:22" ht="13.5" thickBot="1">
      <c r="A54" s="71"/>
      <c r="B54" s="71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3"/>
      <c r="N54" s="378"/>
      <c r="O54" s="115"/>
      <c r="P54" s="377"/>
      <c r="Q54" s="378"/>
      <c r="R54" s="115"/>
      <c r="S54" s="377"/>
    </row>
    <row r="55" spans="1:22" ht="13.5" thickBo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82"/>
      <c r="O55" s="383" t="s">
        <v>86</v>
      </c>
      <c r="P55" s="425">
        <f>SUM(P28:P53)</f>
        <v>148618.78253846156</v>
      </c>
      <c r="Q55" s="382"/>
      <c r="R55" s="383"/>
      <c r="S55" s="425">
        <f>SUM(S28:S53)</f>
        <v>519842.8861692308</v>
      </c>
    </row>
    <row r="56" spans="1:22">
      <c r="L56" s="3"/>
    </row>
    <row r="58" spans="1:22">
      <c r="C58" s="455"/>
    </row>
  </sheetData>
  <mergeCells count="2">
    <mergeCell ref="N21:P21"/>
    <mergeCell ref="Q21:S21"/>
  </mergeCells>
  <printOptions horizontalCentered="1"/>
  <pageMargins left="0.75" right="0.75" top="1" bottom="1" header="0.5" footer="0.5"/>
  <pageSetup scale="49" orientation="landscape" horizontalDpi="4294967292" verticalDpi="4294967292" r:id="rId1"/>
  <headerFooter alignWithMargins="0">
    <oddHeader>&amp;C&amp;"Arial,Bold"PROPRIETARY 
AND  CONFIDENTIAL INFORMATION</oddHeader>
    <oddFooter>&amp;LScot Chambers
&amp;D&amp;CPage _____&amp;R&amp;F
&amp;A</oddFooter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applyStyles="1"/>
    <pageSetUpPr fitToPage="1"/>
  </sheetPr>
  <dimension ref="A1:J878"/>
  <sheetViews>
    <sheetView zoomScale="80" workbookViewId="0">
      <pane ySplit="2" topLeftCell="A5" activePane="bottomLeft" state="frozen"/>
      <selection activeCell="E5" sqref="E5"/>
      <selection pane="bottomLeft"/>
    </sheetView>
  </sheetViews>
  <sheetFormatPr defaultRowHeight="12.75" outlineLevelRow="2"/>
  <cols>
    <col min="1" max="1" width="32.140625" style="21" customWidth="1"/>
    <col min="2" max="2" width="42.5703125" style="21" customWidth="1"/>
    <col min="3" max="3" width="19.5703125" style="21" customWidth="1"/>
    <col min="4" max="4" width="15.7109375" style="21" customWidth="1"/>
    <col min="5" max="5" width="2.5703125" style="21" customWidth="1"/>
    <col min="6" max="7" width="9.42578125" style="334" customWidth="1"/>
    <col min="8" max="16384" width="9.140625" style="21"/>
  </cols>
  <sheetData>
    <row r="1" spans="1:7" ht="18" customHeight="1" thickBot="1">
      <c r="A1" s="329"/>
      <c r="F1" s="21"/>
      <c r="G1" s="21"/>
    </row>
    <row r="2" spans="1:7" ht="17.25" customHeight="1" thickBot="1">
      <c r="A2" s="330" t="s">
        <v>421</v>
      </c>
      <c r="B2" s="331" t="s">
        <v>422</v>
      </c>
      <c r="C2" s="332"/>
      <c r="D2" s="188" t="s">
        <v>423</v>
      </c>
      <c r="F2" s="333" t="s">
        <v>426</v>
      </c>
    </row>
    <row r="3" spans="1:7" s="338" customFormat="1" ht="20.25" customHeight="1" outlineLevel="1">
      <c r="A3" s="335" t="str">
        <f>Scope!A1</f>
        <v>St Peter, Illinois (Ameren) Power Project, Rev 0</v>
      </c>
      <c r="B3" s="336"/>
      <c r="C3" s="337"/>
      <c r="D3" s="192"/>
    </row>
    <row r="4" spans="1:7" s="338" customFormat="1" ht="18.75" outlineLevel="1" thickBot="1">
      <c r="A4" s="339" t="s">
        <v>126</v>
      </c>
      <c r="B4" s="340"/>
      <c r="C4" s="341"/>
      <c r="D4" s="195"/>
    </row>
    <row r="5" spans="1:7" s="338" customFormat="1" ht="13.5" outlineLevel="1" thickBot="1">
      <c r="A5" s="342" t="s">
        <v>1011</v>
      </c>
      <c r="B5" s="343"/>
      <c r="C5" s="344"/>
      <c r="D5" s="345"/>
    </row>
    <row r="6" spans="1:7" ht="13.5" outlineLevel="2" thickBot="1">
      <c r="A6" s="219"/>
      <c r="B6" s="20" t="s">
        <v>1012</v>
      </c>
      <c r="C6" s="346"/>
      <c r="D6" s="221">
        <f>Plt_Staff!H22</f>
        <v>519842.88616923074</v>
      </c>
      <c r="F6" s="21"/>
      <c r="G6" s="21"/>
    </row>
    <row r="7" spans="1:7" ht="13.5" outlineLevel="2" thickBot="1">
      <c r="A7" s="219"/>
      <c r="B7" s="20"/>
      <c r="C7" s="347"/>
      <c r="D7" s="221">
        <f>17*C7</f>
        <v>0</v>
      </c>
      <c r="F7" s="21"/>
      <c r="G7" s="21"/>
    </row>
    <row r="8" spans="1:7" ht="13.5" outlineLevel="2" thickBot="1">
      <c r="A8" s="219"/>
      <c r="B8" s="20"/>
      <c r="C8" s="346"/>
      <c r="D8" s="221">
        <f>C10*C8</f>
        <v>0</v>
      </c>
      <c r="F8" s="21"/>
      <c r="G8" s="21"/>
    </row>
    <row r="9" spans="1:7" ht="13.5" outlineLevel="2" thickBot="1">
      <c r="A9" s="219"/>
      <c r="B9" s="20"/>
      <c r="C9" s="346"/>
      <c r="D9" s="221">
        <f>(C11-C10)*C9</f>
        <v>0</v>
      </c>
      <c r="F9" s="21"/>
      <c r="G9" s="21"/>
    </row>
    <row r="10" spans="1:7" ht="13.5" outlineLevel="2" thickBot="1">
      <c r="A10" s="219"/>
      <c r="B10" s="20"/>
      <c r="C10" s="220"/>
      <c r="D10" s="221"/>
      <c r="F10" s="21"/>
      <c r="G10" s="21"/>
    </row>
    <row r="11" spans="1:7" ht="13.5" outlineLevel="2" thickBot="1">
      <c r="A11" s="219"/>
      <c r="B11" s="20"/>
      <c r="C11" s="220"/>
      <c r="D11" s="221"/>
      <c r="F11" s="21"/>
      <c r="G11" s="21"/>
    </row>
    <row r="12" spans="1:7" ht="13.5" outlineLevel="2" thickBot="1">
      <c r="A12" s="219"/>
      <c r="B12" s="20"/>
      <c r="C12" s="220"/>
      <c r="D12" s="221"/>
      <c r="F12" s="21"/>
      <c r="G12" s="21"/>
    </row>
    <row r="13" spans="1:7" s="338" customFormat="1" ht="13.5" outlineLevel="1" thickBot="1">
      <c r="A13" s="219" t="s">
        <v>1013</v>
      </c>
      <c r="B13" s="20"/>
      <c r="C13" s="223" t="s">
        <v>438</v>
      </c>
      <c r="D13" s="224">
        <f>SUBTOTAL(9,D6:D10)</f>
        <v>519842.88616923074</v>
      </c>
    </row>
    <row r="14" spans="1:7" s="338" customFormat="1" ht="13.5" outlineLevel="1" thickBot="1">
      <c r="A14" s="348" t="s">
        <v>209</v>
      </c>
      <c r="B14" s="349"/>
      <c r="C14" s="350"/>
      <c r="D14" s="345"/>
    </row>
    <row r="15" spans="1:7" ht="13.5" outlineLevel="2" thickBot="1">
      <c r="A15" s="219" t="s">
        <v>1014</v>
      </c>
      <c r="B15" s="20" t="s">
        <v>628</v>
      </c>
      <c r="C15" s="220"/>
      <c r="D15" s="221">
        <f>4000+20*150</f>
        <v>7000</v>
      </c>
      <c r="F15" s="21"/>
      <c r="G15" s="21"/>
    </row>
    <row r="16" spans="1:7" ht="13.5" outlineLevel="2" thickBot="1">
      <c r="A16" s="219" t="s">
        <v>1015</v>
      </c>
      <c r="B16" s="20" t="s">
        <v>631</v>
      </c>
      <c r="C16" s="220"/>
      <c r="D16" s="221">
        <f>3*2000</f>
        <v>6000</v>
      </c>
      <c r="F16" s="21"/>
      <c r="G16" s="21"/>
    </row>
    <row r="17" spans="1:7" ht="13.5" outlineLevel="2" thickBot="1">
      <c r="A17" s="219" t="s">
        <v>1016</v>
      </c>
      <c r="B17" s="20"/>
      <c r="C17" s="220"/>
      <c r="D17" s="221">
        <v>1000</v>
      </c>
      <c r="F17" s="21"/>
      <c r="G17" s="21"/>
    </row>
    <row r="18" spans="1:7" ht="13.5" outlineLevel="2" thickBot="1">
      <c r="A18" s="219" t="s">
        <v>1101</v>
      </c>
      <c r="B18" s="20" t="s">
        <v>1102</v>
      </c>
      <c r="C18" s="220"/>
      <c r="D18" s="221">
        <f>250*12</f>
        <v>3000</v>
      </c>
      <c r="F18" s="21"/>
      <c r="G18" s="21"/>
    </row>
    <row r="19" spans="1:7" ht="13.5" outlineLevel="2" thickBot="1">
      <c r="A19" s="219" t="s">
        <v>1103</v>
      </c>
      <c r="B19" s="20" t="s">
        <v>1104</v>
      </c>
      <c r="C19" s="220"/>
      <c r="D19" s="221">
        <f>150*Plt_Staff!B22</f>
        <v>1050</v>
      </c>
      <c r="F19" s="21"/>
      <c r="G19" s="21"/>
    </row>
    <row r="20" spans="1:7" ht="13.5" outlineLevel="2" thickBot="1">
      <c r="A20" s="219" t="s">
        <v>1105</v>
      </c>
      <c r="B20" s="20"/>
      <c r="C20" s="220"/>
      <c r="D20" s="221">
        <v>1200</v>
      </c>
      <c r="F20" s="21"/>
      <c r="G20" s="21"/>
    </row>
    <row r="21" spans="1:7" ht="13.5" outlineLevel="2" thickBot="1">
      <c r="A21" s="219" t="s">
        <v>629</v>
      </c>
      <c r="B21" s="20" t="s">
        <v>630</v>
      </c>
      <c r="C21" s="220"/>
      <c r="D21" s="221">
        <f>(5*1500+1000)*3</f>
        <v>25500</v>
      </c>
      <c r="F21" s="21"/>
      <c r="G21" s="21"/>
    </row>
    <row r="22" spans="1:7" s="338" customFormat="1" ht="13.5" outlineLevel="1" thickBot="1">
      <c r="A22" s="219" t="s">
        <v>1106</v>
      </c>
      <c r="B22" s="20"/>
      <c r="C22" s="223" t="s">
        <v>438</v>
      </c>
      <c r="D22" s="224">
        <f>SUM(D15:D21)</f>
        <v>44750</v>
      </c>
    </row>
    <row r="23" spans="1:7" s="338" customFormat="1" ht="13.5" outlineLevel="1" thickBot="1">
      <c r="A23" s="348" t="s">
        <v>1107</v>
      </c>
      <c r="B23" s="349"/>
      <c r="C23" s="350"/>
      <c r="D23" s="345"/>
    </row>
    <row r="24" spans="1:7" s="338" customFormat="1" ht="13.5" outlineLevel="1" thickBot="1">
      <c r="A24" s="219" t="s">
        <v>1075</v>
      </c>
      <c r="B24" s="20" t="s">
        <v>638</v>
      </c>
      <c r="C24" s="220"/>
      <c r="D24" s="221">
        <f>43*100</f>
        <v>4300</v>
      </c>
    </row>
    <row r="25" spans="1:7" s="338" customFormat="1" ht="13.5" outlineLevel="1" thickBot="1">
      <c r="A25" s="219" t="s">
        <v>1108</v>
      </c>
      <c r="B25" s="20" t="s">
        <v>1109</v>
      </c>
      <c r="C25" s="220"/>
      <c r="D25" s="221">
        <f>800*12</f>
        <v>9600</v>
      </c>
    </row>
    <row r="26" spans="1:7" s="338" customFormat="1" ht="13.5" outlineLevel="1" thickBot="1">
      <c r="A26" s="219" t="s">
        <v>1110</v>
      </c>
      <c r="B26" s="20" t="s">
        <v>1111</v>
      </c>
      <c r="C26" s="220"/>
      <c r="D26" s="221">
        <f>400*12</f>
        <v>4800</v>
      </c>
    </row>
    <row r="27" spans="1:7" s="338" customFormat="1" ht="13.5" outlineLevel="1" thickBot="1">
      <c r="A27" s="219" t="s">
        <v>1112</v>
      </c>
      <c r="B27" s="20" t="s">
        <v>639</v>
      </c>
      <c r="C27" s="220"/>
      <c r="D27" s="221">
        <v>2400</v>
      </c>
    </row>
    <row r="28" spans="1:7" s="338" customFormat="1" ht="13.5" outlineLevel="1" thickBot="1">
      <c r="A28" s="219" t="s">
        <v>1113</v>
      </c>
      <c r="B28" s="20" t="s">
        <v>1114</v>
      </c>
      <c r="C28" s="220"/>
      <c r="D28" s="221"/>
    </row>
    <row r="29" spans="1:7" s="338" customFormat="1" ht="13.5" outlineLevel="1" thickBot="1">
      <c r="A29" s="219"/>
      <c r="B29" s="20"/>
      <c r="C29" s="220"/>
      <c r="D29" s="224"/>
    </row>
    <row r="30" spans="1:7" s="338" customFormat="1" ht="13.5" outlineLevel="1" thickBot="1">
      <c r="A30" s="219" t="s">
        <v>1115</v>
      </c>
      <c r="B30" s="20"/>
      <c r="C30" s="223" t="s">
        <v>438</v>
      </c>
      <c r="D30" s="224">
        <f>SUBTOTAL(9,D24:D29)</f>
        <v>21100</v>
      </c>
    </row>
    <row r="31" spans="1:7" s="338" customFormat="1" ht="13.5" outlineLevel="1" thickBot="1">
      <c r="A31" s="348" t="s">
        <v>1116</v>
      </c>
      <c r="B31" s="349"/>
      <c r="C31" s="350"/>
      <c r="D31" s="345"/>
    </row>
    <row r="32" spans="1:7" ht="13.5" outlineLevel="2" thickBot="1">
      <c r="A32" s="219" t="s">
        <v>1117</v>
      </c>
      <c r="B32" s="20"/>
      <c r="C32" s="220"/>
      <c r="D32" s="221">
        <v>2500</v>
      </c>
      <c r="F32" s="21"/>
      <c r="G32" s="21"/>
    </row>
    <row r="33" spans="1:7" ht="13.5" outlineLevel="2" thickBot="1">
      <c r="A33" s="219" t="s">
        <v>218</v>
      </c>
      <c r="B33" s="20" t="s">
        <v>1118</v>
      </c>
      <c r="C33" s="220"/>
      <c r="D33" s="221">
        <v>16000</v>
      </c>
      <c r="F33" s="21"/>
      <c r="G33" s="21"/>
    </row>
    <row r="34" spans="1:7" ht="13.5" outlineLevel="2" thickBot="1">
      <c r="A34" s="219" t="s">
        <v>1119</v>
      </c>
      <c r="B34" s="20" t="s">
        <v>1120</v>
      </c>
      <c r="C34" s="220" t="s">
        <v>644</v>
      </c>
      <c r="D34" s="221">
        <f>5000*2</f>
        <v>10000</v>
      </c>
      <c r="F34" s="21"/>
      <c r="G34" s="21"/>
    </row>
    <row r="35" spans="1:7" ht="13.5" outlineLevel="2" thickBot="1">
      <c r="A35" s="219" t="s">
        <v>1121</v>
      </c>
      <c r="B35" s="20" t="s">
        <v>1122</v>
      </c>
      <c r="C35" s="220"/>
      <c r="D35" s="221">
        <f>2000+4*125</f>
        <v>2500</v>
      </c>
      <c r="F35" s="21"/>
      <c r="G35" s="21"/>
    </row>
    <row r="36" spans="1:7" ht="13.5" outlineLevel="2" thickBot="1">
      <c r="A36" s="219" t="s">
        <v>1121</v>
      </c>
      <c r="B36" s="20" t="s">
        <v>1123</v>
      </c>
      <c r="C36" s="220" t="s">
        <v>1124</v>
      </c>
      <c r="D36" s="221">
        <v>0</v>
      </c>
      <c r="F36" s="21"/>
      <c r="G36" s="21"/>
    </row>
    <row r="37" spans="1:7" ht="13.5" outlineLevel="2" thickBot="1">
      <c r="A37" s="219" t="s">
        <v>1146</v>
      </c>
      <c r="B37" s="20"/>
      <c r="C37" s="220"/>
      <c r="D37" s="221">
        <v>0</v>
      </c>
      <c r="F37" s="21"/>
      <c r="G37" s="21"/>
    </row>
    <row r="38" spans="1:7" ht="13.5" outlineLevel="2" thickBot="1">
      <c r="A38" s="219" t="s">
        <v>1147</v>
      </c>
      <c r="D38" s="221">
        <v>5000</v>
      </c>
      <c r="F38" s="21"/>
      <c r="G38" s="21"/>
    </row>
    <row r="39" spans="1:7" ht="13.5" outlineLevel="2" thickBot="1">
      <c r="A39" s="219" t="s">
        <v>1148</v>
      </c>
      <c r="B39" s="20"/>
      <c r="C39" s="220"/>
      <c r="D39" s="221">
        <v>2000</v>
      </c>
      <c r="F39" s="21"/>
      <c r="G39" s="21"/>
    </row>
    <row r="40" spans="1:7" ht="13.5" outlineLevel="2" thickBot="1">
      <c r="A40" s="219"/>
      <c r="B40" s="20"/>
      <c r="C40" s="220"/>
      <c r="D40" s="221"/>
      <c r="F40" s="21"/>
      <c r="G40" s="21"/>
    </row>
    <row r="41" spans="1:7" s="338" customFormat="1" ht="13.5" outlineLevel="1" thickBot="1">
      <c r="A41" s="219" t="s">
        <v>1106</v>
      </c>
      <c r="B41" s="20"/>
      <c r="C41" s="223" t="s">
        <v>438</v>
      </c>
      <c r="D41" s="224">
        <f>SUBTOTAL(9,D32:D40)</f>
        <v>38000</v>
      </c>
    </row>
    <row r="42" spans="1:7" s="338" customFormat="1" ht="13.5" outlineLevel="1" thickBot="1">
      <c r="A42" s="348" t="s">
        <v>1149</v>
      </c>
      <c r="B42" s="349"/>
      <c r="C42" s="350"/>
      <c r="D42" s="345"/>
    </row>
    <row r="43" spans="1:7" ht="13.5" outlineLevel="2" thickBot="1">
      <c r="A43" s="219" t="s">
        <v>1117</v>
      </c>
      <c r="B43" s="20"/>
      <c r="C43" s="220"/>
      <c r="D43" s="221">
        <v>2500</v>
      </c>
      <c r="F43" s="21"/>
      <c r="G43" s="21"/>
    </row>
    <row r="44" spans="1:7" ht="13.5" outlineLevel="2" thickBot="1">
      <c r="A44" s="219" t="s">
        <v>218</v>
      </c>
      <c r="B44" s="20"/>
      <c r="C44" s="220"/>
      <c r="D44" s="221"/>
      <c r="F44" s="21"/>
      <c r="G44" s="21"/>
    </row>
    <row r="45" spans="1:7" ht="13.5" outlineLevel="2" thickBot="1">
      <c r="A45" s="219" t="s">
        <v>1150</v>
      </c>
      <c r="B45" s="20"/>
      <c r="C45" s="220"/>
      <c r="D45" s="221">
        <v>1000</v>
      </c>
      <c r="F45" s="21"/>
      <c r="G45" s="21"/>
    </row>
    <row r="46" spans="1:7" ht="13.5" outlineLevel="2" thickBot="1">
      <c r="A46" s="219" t="s">
        <v>1151</v>
      </c>
      <c r="B46" s="20"/>
      <c r="C46" s="220"/>
      <c r="D46" s="221">
        <v>4000</v>
      </c>
      <c r="F46" s="21"/>
      <c r="G46" s="21"/>
    </row>
    <row r="47" spans="1:7" ht="13.5" outlineLevel="2" thickBot="1">
      <c r="A47" s="219" t="s">
        <v>1121</v>
      </c>
      <c r="B47" s="20" t="s">
        <v>1152</v>
      </c>
      <c r="C47" s="220"/>
      <c r="D47" s="221">
        <f>2000+4*125</f>
        <v>2500</v>
      </c>
      <c r="F47" s="21"/>
      <c r="G47" s="21"/>
    </row>
    <row r="48" spans="1:7" ht="13.5" outlineLevel="2" thickBot="1">
      <c r="A48" s="219" t="s">
        <v>1121</v>
      </c>
      <c r="B48" s="20" t="s">
        <v>1153</v>
      </c>
      <c r="C48" s="220"/>
      <c r="D48" s="221"/>
      <c r="F48" s="21"/>
      <c r="G48" s="21"/>
    </row>
    <row r="49" spans="1:7" ht="13.5" outlineLevel="2" thickBot="1">
      <c r="A49" s="219" t="s">
        <v>1154</v>
      </c>
      <c r="B49" s="20"/>
      <c r="C49" s="220"/>
      <c r="D49" s="221"/>
      <c r="F49" s="21"/>
      <c r="G49" s="21"/>
    </row>
    <row r="50" spans="1:7" s="338" customFormat="1" ht="13.5" outlineLevel="1" thickBot="1">
      <c r="A50" s="219" t="s">
        <v>1106</v>
      </c>
      <c r="B50" s="20"/>
      <c r="C50" s="223" t="s">
        <v>438</v>
      </c>
      <c r="D50" s="224">
        <f>SUBTOTAL(9,D43:D49)</f>
        <v>10000</v>
      </c>
    </row>
    <row r="51" spans="1:7" s="338" customFormat="1" ht="13.5" outlineLevel="1" thickBot="1">
      <c r="A51" s="348" t="s">
        <v>1155</v>
      </c>
      <c r="B51" s="349"/>
      <c r="C51" s="350"/>
      <c r="D51" s="345"/>
    </row>
    <row r="52" spans="1:7" ht="13.5" outlineLevel="2" thickBot="1">
      <c r="A52" s="219" t="s">
        <v>1156</v>
      </c>
      <c r="B52" s="20" t="s">
        <v>1157</v>
      </c>
      <c r="C52" s="220"/>
      <c r="D52" s="221">
        <f>22900*(92/414)^0.6</f>
        <v>9287.6956195696093</v>
      </c>
      <c r="F52" s="21"/>
      <c r="G52" s="21"/>
    </row>
    <row r="53" spans="1:7" ht="13.5" outlineLevel="2" thickBot="1">
      <c r="A53" s="219" t="s">
        <v>1158</v>
      </c>
      <c r="B53" s="21" t="s">
        <v>643</v>
      </c>
      <c r="C53" s="220"/>
      <c r="D53" s="221"/>
      <c r="F53" s="21"/>
      <c r="G53" s="21"/>
    </row>
    <row r="54" spans="1:7" ht="13.5" outlineLevel="2" thickBot="1">
      <c r="A54" s="219" t="s">
        <v>1159</v>
      </c>
      <c r="B54" s="20"/>
      <c r="C54" s="220"/>
      <c r="D54" s="221"/>
      <c r="F54" s="21"/>
      <c r="G54" s="21"/>
    </row>
    <row r="55" spans="1:7" ht="13.5" outlineLevel="2" thickBot="1">
      <c r="A55" s="219" t="s">
        <v>1121</v>
      </c>
      <c r="B55" s="20"/>
      <c r="C55" s="220"/>
      <c r="D55" s="221"/>
      <c r="F55" s="21"/>
      <c r="G55" s="21"/>
    </row>
    <row r="56" spans="1:7" ht="13.5" outlineLevel="2" thickBot="1">
      <c r="A56" s="219" t="s">
        <v>1160</v>
      </c>
      <c r="B56" s="20"/>
      <c r="C56" s="220"/>
      <c r="D56" s="221"/>
      <c r="F56" s="21"/>
      <c r="G56" s="21"/>
    </row>
    <row r="57" spans="1:7" ht="13.5" outlineLevel="2" thickBot="1">
      <c r="A57" s="219" t="s">
        <v>1161</v>
      </c>
      <c r="B57" s="20"/>
      <c r="C57" s="220"/>
      <c r="D57" s="221"/>
      <c r="F57" s="21"/>
      <c r="G57" s="21"/>
    </row>
    <row r="58" spans="1:7" ht="13.5" outlineLevel="2" thickBot="1">
      <c r="A58" s="219" t="s">
        <v>1162</v>
      </c>
      <c r="B58" s="20"/>
      <c r="C58" s="220"/>
      <c r="D58" s="221"/>
      <c r="F58" s="21"/>
      <c r="G58" s="21"/>
    </row>
    <row r="59" spans="1:7" ht="13.5" outlineLevel="2" thickBot="1">
      <c r="A59" s="219" t="s">
        <v>1163</v>
      </c>
      <c r="B59" s="20"/>
      <c r="C59" s="220"/>
      <c r="D59" s="221"/>
      <c r="F59" s="21"/>
      <c r="G59" s="21"/>
    </row>
    <row r="60" spans="1:7" ht="13.5" outlineLevel="2" thickBot="1">
      <c r="A60" s="219"/>
      <c r="B60" s="20"/>
      <c r="C60" s="220"/>
      <c r="D60" s="221"/>
      <c r="F60" s="21"/>
      <c r="G60" s="21"/>
    </row>
    <row r="61" spans="1:7" s="338" customFormat="1" ht="13.5" outlineLevel="1" thickBot="1">
      <c r="A61" s="219" t="s">
        <v>1164</v>
      </c>
      <c r="B61" s="20"/>
      <c r="C61" s="223" t="s">
        <v>438</v>
      </c>
      <c r="D61" s="224">
        <f>SUBTOTAL(9,D52:D60)</f>
        <v>9287.6956195696093</v>
      </c>
    </row>
    <row r="62" spans="1:7" s="338" customFormat="1" ht="13.5" outlineLevel="1" thickBot="1">
      <c r="A62" s="348" t="s">
        <v>213</v>
      </c>
      <c r="B62" s="349"/>
      <c r="C62" s="350"/>
      <c r="D62" s="345"/>
    </row>
    <row r="63" spans="1:7" ht="13.5" outlineLevel="2" thickBot="1">
      <c r="A63" s="219" t="s">
        <v>1165</v>
      </c>
      <c r="B63" s="20" t="s">
        <v>1078</v>
      </c>
      <c r="C63" s="220"/>
      <c r="D63" s="221">
        <v>6000</v>
      </c>
      <c r="F63" s="21"/>
      <c r="G63" s="21"/>
    </row>
    <row r="64" spans="1:7" ht="13.5" outlineLevel="2" thickBot="1">
      <c r="A64" s="219" t="s">
        <v>1166</v>
      </c>
      <c r="B64" s="20" t="s">
        <v>1079</v>
      </c>
      <c r="C64" s="220"/>
      <c r="D64" s="221">
        <v>3000</v>
      </c>
      <c r="F64" s="21"/>
      <c r="G64" s="21"/>
    </row>
    <row r="65" spans="1:7" ht="13.5" outlineLevel="2" thickBot="1">
      <c r="A65" s="219" t="s">
        <v>1167</v>
      </c>
      <c r="B65" s="20" t="s">
        <v>1076</v>
      </c>
      <c r="C65" s="220"/>
      <c r="D65" s="221">
        <f>120*12</f>
        <v>1440</v>
      </c>
      <c r="F65" s="21"/>
      <c r="G65" s="21"/>
    </row>
    <row r="66" spans="1:7" ht="13.5" outlineLevel="2" thickBot="1">
      <c r="A66" s="219" t="s">
        <v>1121</v>
      </c>
      <c r="B66" s="21" t="s">
        <v>1077</v>
      </c>
      <c r="C66" s="220"/>
      <c r="D66" s="221">
        <f>40*100</f>
        <v>4000</v>
      </c>
      <c r="F66" s="21"/>
      <c r="G66" s="21"/>
    </row>
    <row r="67" spans="1:7" ht="13.5" outlineLevel="2" thickBot="1">
      <c r="A67" s="20" t="s">
        <v>467</v>
      </c>
      <c r="B67" s="21" t="s">
        <v>1168</v>
      </c>
      <c r="C67" s="220"/>
      <c r="D67" s="221">
        <v>0</v>
      </c>
      <c r="F67" s="21"/>
      <c r="G67" s="21"/>
    </row>
    <row r="68" spans="1:7" ht="13.5" outlineLevel="2" thickBot="1">
      <c r="A68" s="20" t="s">
        <v>469</v>
      </c>
      <c r="B68" s="21" t="s">
        <v>1168</v>
      </c>
      <c r="C68" s="220"/>
      <c r="D68" s="221">
        <v>0</v>
      </c>
      <c r="F68" s="21"/>
      <c r="G68" s="21"/>
    </row>
    <row r="69" spans="1:7" ht="13.5" outlineLevel="2" thickBot="1">
      <c r="A69" s="20" t="s">
        <v>1169</v>
      </c>
      <c r="C69" s="220"/>
      <c r="D69" s="221">
        <v>1200</v>
      </c>
      <c r="F69" s="21"/>
      <c r="G69" s="21"/>
    </row>
    <row r="70" spans="1:7" ht="13.5" outlineLevel="2" thickBot="1">
      <c r="A70" s="20" t="s">
        <v>468</v>
      </c>
      <c r="B70" s="21" t="s">
        <v>1168</v>
      </c>
      <c r="C70" s="220"/>
      <c r="D70" s="221">
        <v>0</v>
      </c>
      <c r="F70" s="21"/>
      <c r="G70" s="21"/>
    </row>
    <row r="71" spans="1:7" ht="13.5" outlineLevel="2" thickBot="1">
      <c r="A71" s="21" t="s">
        <v>1170</v>
      </c>
      <c r="B71" s="21" t="s">
        <v>1081</v>
      </c>
      <c r="C71" s="220"/>
      <c r="D71" s="221">
        <f>4*1000+8*150</f>
        <v>5200</v>
      </c>
      <c r="F71" s="21"/>
      <c r="G71" s="21"/>
    </row>
    <row r="72" spans="1:7" ht="13.5" hidden="1" outlineLevel="2" thickBot="1">
      <c r="A72" s="219" t="s">
        <v>476</v>
      </c>
      <c r="B72" s="20"/>
      <c r="C72" s="220"/>
      <c r="D72" s="221"/>
      <c r="F72" s="21"/>
      <c r="G72" s="21"/>
    </row>
    <row r="73" spans="1:7" ht="13.5" outlineLevel="2" thickBot="1">
      <c r="A73" s="20" t="s">
        <v>1171</v>
      </c>
      <c r="B73" s="20" t="s">
        <v>1172</v>
      </c>
      <c r="C73" s="220"/>
      <c r="D73" s="221">
        <v>0</v>
      </c>
      <c r="F73" s="21"/>
      <c r="G73" s="21"/>
    </row>
    <row r="74" spans="1:7" ht="13.5" hidden="1" outlineLevel="2" thickBot="1">
      <c r="A74" s="20" t="s">
        <v>1108</v>
      </c>
      <c r="B74" s="20"/>
      <c r="C74" s="220"/>
      <c r="D74" s="221"/>
      <c r="F74" s="21"/>
      <c r="G74" s="21"/>
    </row>
    <row r="75" spans="1:7" ht="13.5" outlineLevel="2" thickBot="1">
      <c r="A75" s="219" t="s">
        <v>1146</v>
      </c>
      <c r="B75" s="20" t="s">
        <v>1173</v>
      </c>
      <c r="C75" s="220"/>
      <c r="D75" s="221">
        <v>3000</v>
      </c>
      <c r="F75" s="21"/>
      <c r="G75" s="21"/>
    </row>
    <row r="76" spans="1:7" ht="13.5" outlineLevel="2" thickBot="1">
      <c r="A76" s="219" t="s">
        <v>1174</v>
      </c>
      <c r="B76" s="20"/>
      <c r="C76" s="220"/>
      <c r="D76" s="221">
        <v>1200</v>
      </c>
      <c r="F76" s="21"/>
      <c r="G76" s="21"/>
    </row>
    <row r="77" spans="1:7" ht="13.5" outlineLevel="2" thickBot="1">
      <c r="A77" s="219" t="s">
        <v>1162</v>
      </c>
      <c r="B77" s="20"/>
      <c r="C77" s="220"/>
      <c r="D77" s="221">
        <v>2000</v>
      </c>
      <c r="F77" s="21"/>
      <c r="G77" s="21"/>
    </row>
    <row r="78" spans="1:7" ht="13.5" outlineLevel="2" thickBot="1">
      <c r="A78" s="219" t="s">
        <v>1175</v>
      </c>
      <c r="B78" s="20" t="s">
        <v>1176</v>
      </c>
      <c r="C78" s="220"/>
      <c r="D78" s="221">
        <v>1800</v>
      </c>
      <c r="F78" s="21"/>
      <c r="G78" s="21"/>
    </row>
    <row r="79" spans="1:7" ht="13.5" outlineLevel="2" thickBot="1">
      <c r="A79" s="219" t="s">
        <v>1177</v>
      </c>
      <c r="B79" s="20" t="s">
        <v>1178</v>
      </c>
      <c r="C79" s="220"/>
      <c r="D79" s="221">
        <v>1000</v>
      </c>
      <c r="F79" s="21"/>
      <c r="G79" s="21"/>
    </row>
    <row r="80" spans="1:7" ht="13.5" outlineLevel="2" thickBot="1">
      <c r="A80" s="219" t="s">
        <v>1179</v>
      </c>
      <c r="B80" s="20" t="s">
        <v>1180</v>
      </c>
      <c r="C80" s="220"/>
      <c r="D80" s="221">
        <v>1500</v>
      </c>
      <c r="F80" s="21"/>
      <c r="G80" s="21"/>
    </row>
    <row r="81" spans="1:7" ht="13.5" outlineLevel="2" thickBot="1">
      <c r="A81" s="219" t="s">
        <v>1181</v>
      </c>
      <c r="B81" s="20"/>
      <c r="C81" s="220"/>
      <c r="D81" s="221"/>
      <c r="F81" s="21"/>
      <c r="G81" s="21"/>
    </row>
    <row r="82" spans="1:7" ht="13.5" outlineLevel="2" thickBot="1">
      <c r="A82" s="219" t="s">
        <v>1182</v>
      </c>
      <c r="B82" s="20"/>
      <c r="C82" s="220"/>
      <c r="D82" s="221">
        <v>2000</v>
      </c>
      <c r="F82" s="21"/>
      <c r="G82" s="21"/>
    </row>
    <row r="83" spans="1:7" ht="13.5" outlineLevel="2" thickBot="1">
      <c r="A83" s="219" t="s">
        <v>1183</v>
      </c>
      <c r="B83" s="20"/>
      <c r="C83" s="220"/>
      <c r="D83" s="221">
        <v>2200</v>
      </c>
      <c r="F83" s="21"/>
      <c r="G83" s="21"/>
    </row>
    <row r="84" spans="1:7" ht="13.5" outlineLevel="2" thickBot="1">
      <c r="A84" s="219" t="s">
        <v>1184</v>
      </c>
      <c r="B84" s="20" t="s">
        <v>1185</v>
      </c>
      <c r="C84" s="220"/>
      <c r="D84" s="221">
        <v>0</v>
      </c>
      <c r="F84" s="21"/>
      <c r="G84" s="21"/>
    </row>
    <row r="85" spans="1:7" ht="13.5" outlineLevel="2" thickBot="1">
      <c r="A85" s="219" t="s">
        <v>1186</v>
      </c>
      <c r="B85" s="20"/>
      <c r="C85" s="220"/>
      <c r="D85" s="221">
        <v>2500</v>
      </c>
      <c r="F85" s="21"/>
      <c r="G85" s="21"/>
    </row>
    <row r="86" spans="1:7" ht="13.5" outlineLevel="2" thickBot="1">
      <c r="A86" s="219" t="s">
        <v>1187</v>
      </c>
      <c r="B86" s="20"/>
      <c r="C86" s="220"/>
      <c r="D86" s="221">
        <v>0</v>
      </c>
      <c r="F86" s="21"/>
      <c r="G86" s="21"/>
    </row>
    <row r="87" spans="1:7" ht="13.5" outlineLevel="2" thickBot="1">
      <c r="A87" s="219" t="s">
        <v>1188</v>
      </c>
      <c r="B87" s="20" t="s">
        <v>1080</v>
      </c>
      <c r="C87" s="220"/>
      <c r="D87" s="221">
        <f>2*600*12</f>
        <v>14400</v>
      </c>
      <c r="F87" s="21"/>
      <c r="G87" s="21"/>
    </row>
    <row r="88" spans="1:7" ht="13.5" outlineLevel="2" thickBot="1">
      <c r="A88" s="219" t="s">
        <v>1189</v>
      </c>
      <c r="B88" s="20" t="s">
        <v>1190</v>
      </c>
      <c r="C88" s="220"/>
      <c r="D88" s="221">
        <v>1000</v>
      </c>
      <c r="F88" s="21"/>
      <c r="G88" s="21"/>
    </row>
    <row r="89" spans="1:7" ht="13.5" outlineLevel="2" thickBot="1">
      <c r="A89" s="219" t="s">
        <v>1191</v>
      </c>
      <c r="B89" s="20" t="s">
        <v>1192</v>
      </c>
      <c r="C89" s="220"/>
      <c r="D89" s="221">
        <f>SUM(D290:D296)</f>
        <v>3140</v>
      </c>
      <c r="F89" s="21"/>
      <c r="G89" s="21"/>
    </row>
    <row r="90" spans="1:7" ht="13.5" outlineLevel="2" thickBot="1">
      <c r="A90" s="219" t="s">
        <v>1193</v>
      </c>
      <c r="B90" s="20" t="s">
        <v>341</v>
      </c>
      <c r="C90" s="220"/>
      <c r="D90" s="221">
        <f>D298</f>
        <v>0</v>
      </c>
      <c r="F90" s="21"/>
      <c r="G90" s="21"/>
    </row>
    <row r="91" spans="1:7" ht="13.5" outlineLevel="2" thickBot="1">
      <c r="A91" s="219"/>
      <c r="B91" s="20"/>
      <c r="C91" s="220"/>
      <c r="D91" s="221"/>
      <c r="F91" s="21"/>
      <c r="G91" s="21"/>
    </row>
    <row r="92" spans="1:7" s="338" customFormat="1" ht="13.5" outlineLevel="1" thickBot="1">
      <c r="A92" s="219"/>
      <c r="B92" s="20"/>
      <c r="C92" s="223" t="s">
        <v>438</v>
      </c>
      <c r="D92" s="224">
        <f>SUBTOTAL(9,D63:D91)</f>
        <v>56580</v>
      </c>
    </row>
    <row r="93" spans="1:7" s="338" customFormat="1" ht="13.5" outlineLevel="1" thickBot="1">
      <c r="A93" s="348" t="s">
        <v>214</v>
      </c>
      <c r="B93" s="349"/>
      <c r="C93" s="350"/>
      <c r="D93" s="345"/>
    </row>
    <row r="94" spans="1:7" ht="13.5" outlineLevel="2" thickBot="1">
      <c r="A94" s="219" t="s">
        <v>744</v>
      </c>
      <c r="B94" s="20" t="s">
        <v>1078</v>
      </c>
      <c r="C94" s="220"/>
      <c r="D94" s="221">
        <v>6000</v>
      </c>
      <c r="F94" s="21"/>
      <c r="G94" s="21"/>
    </row>
    <row r="95" spans="1:7" ht="13.5" outlineLevel="2" thickBot="1">
      <c r="A95" s="219" t="s">
        <v>1194</v>
      </c>
      <c r="B95" s="20" t="s">
        <v>1082</v>
      </c>
      <c r="C95" s="220"/>
      <c r="D95" s="221">
        <v>3600</v>
      </c>
      <c r="F95" s="21"/>
      <c r="G95" s="21"/>
    </row>
    <row r="96" spans="1:7" ht="13.5" outlineLevel="2" thickBot="1">
      <c r="A96" s="219" t="s">
        <v>1039</v>
      </c>
      <c r="B96" s="20" t="s">
        <v>1083</v>
      </c>
      <c r="C96" s="220"/>
      <c r="D96" s="221">
        <f>6*5*12</f>
        <v>360</v>
      </c>
      <c r="F96" s="21"/>
      <c r="G96" s="21"/>
    </row>
    <row r="97" spans="1:10" s="338" customFormat="1" ht="13.5" outlineLevel="1" thickBot="1">
      <c r="A97" s="219"/>
      <c r="B97" s="20"/>
      <c r="C97" s="223" t="s">
        <v>438</v>
      </c>
      <c r="D97" s="224">
        <f>SUBTOTAL(9,D94:D96)</f>
        <v>9960</v>
      </c>
    </row>
    <row r="98" spans="1:10" s="338" customFormat="1" ht="13.5" outlineLevel="1" thickBot="1">
      <c r="A98" s="348" t="s">
        <v>219</v>
      </c>
      <c r="B98" s="349"/>
      <c r="C98" s="350"/>
      <c r="D98" s="345"/>
    </row>
    <row r="99" spans="1:10" ht="13.5" outlineLevel="2" thickBot="1">
      <c r="A99" s="202" t="s">
        <v>1067</v>
      </c>
      <c r="B99" s="40" t="s">
        <v>454</v>
      </c>
      <c r="C99" s="203"/>
      <c r="D99" s="204">
        <f>200*Plt_Staff!B22</f>
        <v>1400</v>
      </c>
      <c r="E99" s="3"/>
      <c r="F99" s="3"/>
      <c r="G99" s="21"/>
      <c r="H99" s="3"/>
      <c r="I99" s="3"/>
      <c r="J99" s="3"/>
    </row>
    <row r="100" spans="1:10" ht="13.5" outlineLevel="2" thickBot="1">
      <c r="A100" s="202" t="s">
        <v>1068</v>
      </c>
      <c r="B100" s="40" t="s">
        <v>1070</v>
      </c>
      <c r="C100" s="203"/>
      <c r="D100" s="204">
        <v>400</v>
      </c>
      <c r="E100" s="3"/>
      <c r="F100" s="3"/>
      <c r="G100" s="3"/>
      <c r="H100" s="3"/>
      <c r="I100" s="3"/>
      <c r="J100" s="3"/>
    </row>
    <row r="101" spans="1:10" ht="13.5" outlineLevel="2" thickBot="1">
      <c r="A101" s="202" t="s">
        <v>1069</v>
      </c>
      <c r="B101" s="40" t="s">
        <v>1084</v>
      </c>
      <c r="C101" s="203"/>
      <c r="D101" s="204">
        <f ca="1">F101*'O&amp;M_Estimate'!G47</f>
        <v>1651.9490713655557</v>
      </c>
      <c r="E101" s="3"/>
      <c r="F101" s="3">
        <f>1500/1000000</f>
        <v>1.5E-3</v>
      </c>
      <c r="G101" s="3" t="s">
        <v>1071</v>
      </c>
      <c r="H101" s="3"/>
      <c r="I101" s="3"/>
      <c r="J101" s="3"/>
    </row>
    <row r="102" spans="1:10" ht="13.5" outlineLevel="2" thickBot="1">
      <c r="A102" s="219"/>
      <c r="B102" s="20"/>
      <c r="C102" s="220"/>
      <c r="D102" s="221"/>
      <c r="F102" s="21"/>
      <c r="G102" s="21"/>
    </row>
    <row r="103" spans="1:10" s="338" customFormat="1" ht="13.5" outlineLevel="1" thickBot="1">
      <c r="A103" s="219" t="s">
        <v>745</v>
      </c>
      <c r="B103" s="20"/>
      <c r="C103" s="223" t="s">
        <v>438</v>
      </c>
      <c r="D103" s="224">
        <f ca="1">SUBTOTAL(9,D99:D102)</f>
        <v>3451.9490713655559</v>
      </c>
    </row>
    <row r="104" spans="1:10" s="338" customFormat="1" ht="13.5" outlineLevel="1" thickBot="1">
      <c r="A104" s="348" t="s">
        <v>1195</v>
      </c>
      <c r="B104" s="349"/>
      <c r="C104" s="350"/>
      <c r="D104" s="345"/>
    </row>
    <row r="105" spans="1:10" ht="13.5" outlineLevel="2" thickBot="1">
      <c r="A105" s="219" t="s">
        <v>1121</v>
      </c>
      <c r="B105" s="20" t="s">
        <v>1196</v>
      </c>
      <c r="C105" s="220" t="s">
        <v>642</v>
      </c>
      <c r="D105" s="221">
        <v>2400</v>
      </c>
      <c r="F105" s="21"/>
      <c r="G105" s="21"/>
    </row>
    <row r="106" spans="1:10" ht="13.5" outlineLevel="2" thickBot="1">
      <c r="A106" s="219" t="s">
        <v>1197</v>
      </c>
      <c r="B106" s="20"/>
      <c r="C106" s="220"/>
      <c r="D106" s="221">
        <v>1200</v>
      </c>
      <c r="F106" s="21"/>
      <c r="G106" s="21"/>
    </row>
    <row r="107" spans="1:10" ht="13.5" outlineLevel="2" thickBot="1">
      <c r="A107" s="219" t="s">
        <v>1198</v>
      </c>
      <c r="B107" s="20"/>
      <c r="C107" s="220"/>
      <c r="D107" s="221"/>
      <c r="F107" s="21"/>
      <c r="G107" s="21"/>
    </row>
    <row r="108" spans="1:10" ht="13.5" outlineLevel="2" thickBot="1">
      <c r="A108" s="219" t="s">
        <v>1199</v>
      </c>
      <c r="B108" s="20"/>
      <c r="C108" s="220"/>
      <c r="D108" s="221">
        <v>1000</v>
      </c>
      <c r="F108" s="21"/>
      <c r="G108" s="21"/>
    </row>
    <row r="109" spans="1:10" ht="13.5" outlineLevel="2" thickBot="1">
      <c r="A109" s="219" t="s">
        <v>1200</v>
      </c>
      <c r="B109" s="20"/>
      <c r="C109" s="220"/>
      <c r="D109" s="221"/>
      <c r="F109" s="21"/>
      <c r="G109" s="21"/>
    </row>
    <row r="110" spans="1:10" ht="13.5" outlineLevel="2" thickBot="1">
      <c r="A110" s="219" t="s">
        <v>1146</v>
      </c>
      <c r="B110" s="20"/>
      <c r="C110" s="220"/>
      <c r="D110" s="221"/>
      <c r="F110" s="21"/>
      <c r="G110" s="21"/>
    </row>
    <row r="111" spans="1:10" ht="13.5" outlineLevel="2" thickBot="1">
      <c r="A111" s="219" t="s">
        <v>538</v>
      </c>
      <c r="B111" s="20" t="s">
        <v>1201</v>
      </c>
      <c r="C111" s="220"/>
      <c r="D111" s="221">
        <f>0.05*0.75*D105</f>
        <v>90.000000000000014</v>
      </c>
      <c r="F111" s="21"/>
      <c r="G111" s="21"/>
    </row>
    <row r="112" spans="1:10" ht="13.5" outlineLevel="2" thickBot="1">
      <c r="A112" s="219"/>
      <c r="B112" s="20"/>
      <c r="C112" s="220"/>
      <c r="D112" s="221"/>
      <c r="F112" s="21"/>
      <c r="G112" s="21"/>
    </row>
    <row r="113" spans="1:7" s="338" customFormat="1" ht="13.5" outlineLevel="1" thickBot="1">
      <c r="A113" s="219" t="s">
        <v>1202</v>
      </c>
      <c r="B113" s="20"/>
      <c r="C113" s="223" t="s">
        <v>438</v>
      </c>
      <c r="D113" s="224">
        <f>SUBTOTAL(9,D105:D112)</f>
        <v>4690</v>
      </c>
    </row>
    <row r="114" spans="1:7" s="338" customFormat="1" ht="13.5" outlineLevel="1" thickBot="1">
      <c r="A114" s="348" t="s">
        <v>1203</v>
      </c>
      <c r="B114" s="349"/>
      <c r="C114" s="350"/>
      <c r="D114" s="345"/>
    </row>
    <row r="115" spans="1:7" ht="13.5" outlineLevel="2" thickBot="1">
      <c r="A115" s="219" t="s">
        <v>220</v>
      </c>
      <c r="B115" s="20" t="s">
        <v>547</v>
      </c>
      <c r="C115" s="220"/>
      <c r="D115" s="221">
        <f>1*350*30</f>
        <v>10500</v>
      </c>
      <c r="F115" s="21"/>
      <c r="G115" s="21"/>
    </row>
    <row r="116" spans="1:7" ht="13.5" outlineLevel="2" thickBot="1">
      <c r="A116" s="219" t="s">
        <v>548</v>
      </c>
      <c r="B116" s="20" t="s">
        <v>1204</v>
      </c>
      <c r="C116" s="220"/>
      <c r="D116" s="221">
        <f>1*125*30</f>
        <v>3750</v>
      </c>
      <c r="F116" s="21"/>
      <c r="G116" s="21"/>
    </row>
    <row r="117" spans="1:7" ht="13.5" outlineLevel="2" thickBot="1">
      <c r="A117" s="219" t="s">
        <v>550</v>
      </c>
      <c r="B117" s="20" t="s">
        <v>1205</v>
      </c>
      <c r="C117" s="220"/>
      <c r="D117" s="221">
        <v>1000</v>
      </c>
      <c r="F117" s="21"/>
      <c r="G117" s="21"/>
    </row>
    <row r="118" spans="1:7" ht="13.5" outlineLevel="2" thickBot="1">
      <c r="A118" s="219" t="s">
        <v>1206</v>
      </c>
      <c r="B118" s="20" t="s">
        <v>1207</v>
      </c>
      <c r="C118" s="220"/>
      <c r="D118" s="221">
        <v>0</v>
      </c>
      <c r="F118" s="21"/>
      <c r="G118" s="21"/>
    </row>
    <row r="119" spans="1:7" ht="13.5" outlineLevel="2" thickBot="1">
      <c r="A119" s="219"/>
      <c r="B119" s="20"/>
      <c r="C119" s="220"/>
      <c r="D119" s="221"/>
      <c r="F119" s="21"/>
      <c r="G119" s="21"/>
    </row>
    <row r="120" spans="1:7" s="338" customFormat="1" ht="13.5" outlineLevel="1" thickBot="1">
      <c r="A120" s="219" t="s">
        <v>1208</v>
      </c>
      <c r="B120" s="20"/>
      <c r="C120" s="223" t="s">
        <v>438</v>
      </c>
      <c r="D120" s="224">
        <f>SUBTOTAL(9,D115:D118)</f>
        <v>15250</v>
      </c>
    </row>
    <row r="121" spans="1:7" s="338" customFormat="1" ht="13.5" outlineLevel="1" thickBot="1">
      <c r="A121" s="348" t="s">
        <v>1209</v>
      </c>
      <c r="B121" s="349"/>
      <c r="C121" s="350"/>
      <c r="D121" s="345"/>
    </row>
    <row r="122" spans="1:7" ht="13.5" outlineLevel="2" thickBot="1">
      <c r="A122" s="219" t="s">
        <v>1121</v>
      </c>
      <c r="B122" s="20"/>
      <c r="C122" s="220"/>
      <c r="D122" s="221">
        <v>0</v>
      </c>
      <c r="F122" s="21"/>
      <c r="G122" s="21"/>
    </row>
    <row r="123" spans="1:7" ht="13.5" outlineLevel="2" thickBot="1">
      <c r="A123" s="219" t="s">
        <v>1210</v>
      </c>
      <c r="B123" s="20"/>
      <c r="C123" s="351"/>
      <c r="D123" s="221"/>
      <c r="F123" s="22"/>
    </row>
    <row r="124" spans="1:7" ht="13.5" outlineLevel="2" thickBot="1">
      <c r="A124" s="219" t="s">
        <v>1125</v>
      </c>
      <c r="B124" s="20"/>
      <c r="C124" s="352"/>
      <c r="D124" s="221"/>
      <c r="F124" s="21"/>
      <c r="G124" s="21"/>
    </row>
    <row r="125" spans="1:7" ht="13.5" outlineLevel="2" thickBot="1">
      <c r="A125" s="219" t="s">
        <v>1211</v>
      </c>
      <c r="C125" s="352"/>
      <c r="D125" s="221"/>
      <c r="F125" s="21"/>
      <c r="G125" s="21"/>
    </row>
    <row r="126" spans="1:7" ht="13.5" outlineLevel="2" thickBot="1">
      <c r="A126" s="219" t="s">
        <v>1212</v>
      </c>
      <c r="B126" s="20" t="s">
        <v>742</v>
      </c>
      <c r="C126" s="352"/>
      <c r="D126" s="221">
        <v>7050</v>
      </c>
      <c r="F126" s="21"/>
      <c r="G126" s="21"/>
    </row>
    <row r="127" spans="1:7" ht="13.5" outlineLevel="2" thickBot="1">
      <c r="A127" s="219" t="s">
        <v>1213</v>
      </c>
      <c r="B127" s="20"/>
      <c r="C127" s="352"/>
      <c r="D127" s="221"/>
      <c r="F127" s="21"/>
      <c r="G127" s="21"/>
    </row>
    <row r="128" spans="1:7" ht="13.5" outlineLevel="2" thickBot="1">
      <c r="A128" s="219" t="s">
        <v>1214</v>
      </c>
      <c r="B128" s="20"/>
      <c r="C128" s="220"/>
      <c r="D128" s="221">
        <v>15442</v>
      </c>
      <c r="F128" s="21"/>
      <c r="G128" s="21"/>
    </row>
    <row r="129" spans="1:7" ht="13.5" outlineLevel="2" thickBot="1">
      <c r="A129" s="219" t="s">
        <v>1215</v>
      </c>
      <c r="B129" s="20" t="s">
        <v>1207</v>
      </c>
      <c r="C129" s="220"/>
      <c r="D129" s="221"/>
      <c r="F129" s="21"/>
      <c r="G129" s="21"/>
    </row>
    <row r="130" spans="1:7" ht="13.5" outlineLevel="2" thickBot="1">
      <c r="A130" s="219" t="s">
        <v>1216</v>
      </c>
      <c r="B130" s="20" t="s">
        <v>746</v>
      </c>
      <c r="C130" s="220"/>
      <c r="D130" s="221">
        <v>0</v>
      </c>
      <c r="F130" s="21"/>
      <c r="G130" s="21"/>
    </row>
    <row r="131" spans="1:7" ht="13.5" outlineLevel="2" thickBot="1">
      <c r="A131" s="219" t="s">
        <v>1217</v>
      </c>
      <c r="B131" s="20" t="s">
        <v>1218</v>
      </c>
      <c r="C131" s="220"/>
      <c r="D131" s="221"/>
      <c r="F131" s="21"/>
      <c r="G131" s="21"/>
    </row>
    <row r="132" spans="1:7" ht="13.5" outlineLevel="2" thickBot="1">
      <c r="A132" s="219" t="s">
        <v>1219</v>
      </c>
      <c r="B132" s="20"/>
      <c r="C132" s="220"/>
      <c r="D132" s="221">
        <v>2000</v>
      </c>
      <c r="F132" s="21"/>
      <c r="G132" s="21"/>
    </row>
    <row r="133" spans="1:7" ht="13.5" outlineLevel="2" thickBot="1">
      <c r="A133" s="219" t="s">
        <v>1220</v>
      </c>
      <c r="B133" s="20" t="s">
        <v>640</v>
      </c>
      <c r="C133" s="220"/>
      <c r="D133" s="221">
        <v>4000</v>
      </c>
      <c r="F133" s="21"/>
      <c r="G133" s="21"/>
    </row>
    <row r="134" spans="1:7" ht="13.5" outlineLevel="2" thickBot="1">
      <c r="A134" s="219" t="s">
        <v>1221</v>
      </c>
      <c r="B134" s="20" t="s">
        <v>1222</v>
      </c>
      <c r="C134" s="220"/>
      <c r="D134" s="221">
        <f>0.05*SUM(D123:D132)</f>
        <v>1224.6000000000001</v>
      </c>
      <c r="F134" s="21"/>
      <c r="G134" s="21"/>
    </row>
    <row r="135" spans="1:7" ht="13.5" outlineLevel="2" thickBot="1">
      <c r="A135" s="219"/>
      <c r="B135" s="20"/>
      <c r="C135" s="220"/>
      <c r="D135" s="221"/>
      <c r="F135" s="21"/>
      <c r="G135" s="21"/>
    </row>
    <row r="136" spans="1:7" s="338" customFormat="1" ht="13.5" outlineLevel="1" thickBot="1">
      <c r="A136" s="219" t="s">
        <v>743</v>
      </c>
      <c r="B136" s="20"/>
      <c r="C136" s="223" t="s">
        <v>438</v>
      </c>
      <c r="D136" s="224">
        <f>SUBTOTAL(9,D122:D135)</f>
        <v>29716.6</v>
      </c>
    </row>
    <row r="137" spans="1:7" s="338" customFormat="1" ht="13.5" outlineLevel="1" thickBot="1">
      <c r="A137" s="348" t="s">
        <v>1223</v>
      </c>
      <c r="B137" s="349"/>
      <c r="C137" s="350"/>
      <c r="D137" s="345"/>
    </row>
    <row r="138" spans="1:7" ht="13.5" outlineLevel="2" thickBot="1">
      <c r="A138" s="219" t="s">
        <v>1224</v>
      </c>
      <c r="B138" s="21" t="s">
        <v>641</v>
      </c>
      <c r="C138" s="220"/>
      <c r="D138" s="221">
        <f>70000*(92/414)^0.6</f>
        <v>28390.335955016271</v>
      </c>
      <c r="F138" s="21"/>
      <c r="G138" s="21"/>
    </row>
    <row r="139" spans="1:7" ht="13.5" outlineLevel="2" thickBot="1">
      <c r="A139" s="219" t="s">
        <v>1121</v>
      </c>
      <c r="B139" s="20" t="s">
        <v>1157</v>
      </c>
      <c r="C139" s="220"/>
      <c r="D139" s="221"/>
      <c r="F139" s="21"/>
      <c r="G139" s="21"/>
    </row>
    <row r="140" spans="1:7" ht="13.5" outlineLevel="2" thickBot="1">
      <c r="A140" s="219" t="s">
        <v>1225</v>
      </c>
      <c r="B140" s="115"/>
      <c r="C140" s="220"/>
      <c r="D140" s="221"/>
      <c r="F140" s="21"/>
      <c r="G140" s="21"/>
    </row>
    <row r="141" spans="1:7" ht="13.5" outlineLevel="2" thickBot="1">
      <c r="A141" s="219" t="s">
        <v>1226</v>
      </c>
      <c r="B141" s="20"/>
      <c r="C141" s="220"/>
      <c r="D141" s="221"/>
      <c r="G141" s="21"/>
    </row>
    <row r="142" spans="1:7" ht="13.5" outlineLevel="2" thickBot="1">
      <c r="A142" s="219" t="s">
        <v>519</v>
      </c>
      <c r="B142" s="20"/>
      <c r="C142" s="220"/>
      <c r="D142" s="221"/>
      <c r="F142" s="21"/>
      <c r="G142" s="21"/>
    </row>
    <row r="143" spans="1:7" ht="13.5" outlineLevel="2" thickBot="1">
      <c r="A143" s="219"/>
      <c r="B143" s="20"/>
      <c r="C143" s="220"/>
      <c r="D143" s="221"/>
      <c r="F143" s="21"/>
      <c r="G143" s="21"/>
    </row>
    <row r="144" spans="1:7" s="338" customFormat="1" ht="13.5" outlineLevel="1" thickBot="1">
      <c r="A144" s="219" t="s">
        <v>1227</v>
      </c>
      <c r="B144" s="20"/>
      <c r="C144" s="223" t="s">
        <v>438</v>
      </c>
      <c r="D144" s="224">
        <f>SUBTOTAL(9,D138:D143)</f>
        <v>28390.335955016271</v>
      </c>
      <c r="F144" s="21"/>
    </row>
    <row r="145" spans="1:7" s="338" customFormat="1" ht="13.5" outlineLevel="1" thickBot="1">
      <c r="A145" s="348" t="s">
        <v>1228</v>
      </c>
      <c r="B145" s="349"/>
      <c r="C145" s="350"/>
      <c r="D145" s="345"/>
    </row>
    <row r="146" spans="1:7" ht="13.5" outlineLevel="2" thickBot="1">
      <c r="A146" s="219" t="s">
        <v>1229</v>
      </c>
      <c r="B146" s="20" t="s">
        <v>645</v>
      </c>
      <c r="C146" s="220" t="s">
        <v>1232</v>
      </c>
      <c r="D146" s="221">
        <f>Scope!D15*3375</f>
        <v>6750</v>
      </c>
      <c r="F146" s="21"/>
      <c r="G146" s="21"/>
    </row>
    <row r="147" spans="1:7" ht="13.5" outlineLevel="2" thickBot="1">
      <c r="A147" s="219" t="s">
        <v>1231</v>
      </c>
      <c r="B147" s="20"/>
      <c r="D147" s="221"/>
      <c r="F147" s="21"/>
      <c r="G147" s="21"/>
    </row>
    <row r="148" spans="1:7" ht="13.5" outlineLevel="2" thickBot="1">
      <c r="A148" s="219" t="s">
        <v>1121</v>
      </c>
      <c r="B148" s="115"/>
      <c r="C148" s="220"/>
      <c r="D148" s="221"/>
      <c r="F148" s="21"/>
      <c r="G148" s="21"/>
    </row>
    <row r="149" spans="1:7" ht="13.5" outlineLevel="2" thickBot="1">
      <c r="A149" s="219" t="s">
        <v>1225</v>
      </c>
      <c r="B149" s="20"/>
      <c r="C149" s="220"/>
      <c r="D149" s="221"/>
      <c r="F149" s="21"/>
      <c r="G149" s="21"/>
    </row>
    <row r="150" spans="1:7" ht="13.5" outlineLevel="2" thickBot="1">
      <c r="A150" s="219" t="s">
        <v>1226</v>
      </c>
      <c r="B150" s="20"/>
      <c r="C150" s="220"/>
      <c r="D150" s="221"/>
      <c r="F150" s="21"/>
      <c r="G150" s="21"/>
    </row>
    <row r="151" spans="1:7" ht="13.5" outlineLevel="2" thickBot="1">
      <c r="A151" s="219" t="s">
        <v>519</v>
      </c>
      <c r="B151" s="20"/>
      <c r="C151" s="220"/>
      <c r="D151" s="221"/>
      <c r="F151" s="21"/>
      <c r="G151" s="21"/>
    </row>
    <row r="152" spans="1:7" ht="13.5" outlineLevel="2" thickBot="1">
      <c r="A152" s="219" t="s">
        <v>538</v>
      </c>
      <c r="B152" s="20" t="s">
        <v>1201</v>
      </c>
      <c r="C152" s="220"/>
      <c r="D152" s="221">
        <f>0.05*0.75*D146</f>
        <v>253.12500000000003</v>
      </c>
      <c r="F152" s="21"/>
      <c r="G152" s="21"/>
    </row>
    <row r="153" spans="1:7" ht="13.5" outlineLevel="2" thickBot="1">
      <c r="A153" s="219"/>
      <c r="B153" s="20"/>
      <c r="C153" s="220"/>
      <c r="D153" s="221"/>
      <c r="F153" s="21"/>
      <c r="G153" s="21"/>
    </row>
    <row r="154" spans="1:7" s="338" customFormat="1" ht="13.5" outlineLevel="1" thickBot="1">
      <c r="A154" s="219" t="s">
        <v>1233</v>
      </c>
      <c r="B154" s="20"/>
      <c r="C154" s="223" t="s">
        <v>438</v>
      </c>
      <c r="D154" s="224">
        <f>SUBTOTAL(9,D146:D153)</f>
        <v>7003.125</v>
      </c>
    </row>
    <row r="155" spans="1:7" s="338" customFormat="1" ht="13.5" outlineLevel="1" thickBot="1">
      <c r="A155" s="348" t="s">
        <v>1234</v>
      </c>
      <c r="B155" s="349"/>
      <c r="C155" s="350"/>
      <c r="D155" s="345"/>
    </row>
    <row r="156" spans="1:7" ht="13.5" outlineLevel="2" thickBot="1">
      <c r="A156" s="219" t="s">
        <v>1229</v>
      </c>
      <c r="B156" s="20" t="s">
        <v>646</v>
      </c>
      <c r="C156" s="220"/>
      <c r="D156" s="221">
        <f>9816*(Scope!D15*51.5*60*Scope!F40*8.3/1000/180000)^0.6</f>
        <v>6127.4951578374767</v>
      </c>
      <c r="F156" s="21">
        <f>52*6*60*8.3</f>
        <v>155376</v>
      </c>
      <c r="G156" s="21"/>
    </row>
    <row r="157" spans="1:7" ht="13.5" outlineLevel="2" thickBot="1">
      <c r="A157" s="219" t="s">
        <v>1231</v>
      </c>
      <c r="B157" s="20" t="s">
        <v>1235</v>
      </c>
      <c r="C157" s="220"/>
      <c r="D157" s="221"/>
      <c r="F157" s="21"/>
      <c r="G157" s="21"/>
    </row>
    <row r="158" spans="1:7" ht="13.5" outlineLevel="2" thickBot="1">
      <c r="A158" s="219" t="s">
        <v>1121</v>
      </c>
      <c r="B158" s="115"/>
      <c r="C158" s="220"/>
      <c r="D158" s="221"/>
      <c r="F158" s="21"/>
      <c r="G158" s="21"/>
    </row>
    <row r="159" spans="1:7" ht="13.5" outlineLevel="2" thickBot="1">
      <c r="A159" s="219" t="s">
        <v>1236</v>
      </c>
      <c r="B159" s="20"/>
      <c r="C159" s="220"/>
      <c r="D159" s="221"/>
      <c r="F159" s="21"/>
      <c r="G159" s="21"/>
    </row>
    <row r="160" spans="1:7" ht="13.5" outlineLevel="2" thickBot="1">
      <c r="A160" s="219" t="s">
        <v>1226</v>
      </c>
      <c r="B160" s="20"/>
      <c r="C160" s="220"/>
      <c r="D160" s="221"/>
      <c r="F160" s="21"/>
      <c r="G160" s="21"/>
    </row>
    <row r="161" spans="1:7" ht="13.5" outlineLevel="2" thickBot="1">
      <c r="A161" s="219" t="s">
        <v>519</v>
      </c>
      <c r="B161" s="20"/>
      <c r="C161" s="220"/>
      <c r="D161" s="221"/>
      <c r="F161" s="21"/>
      <c r="G161" s="21"/>
    </row>
    <row r="162" spans="1:7" ht="13.5" outlineLevel="2" thickBot="1">
      <c r="A162" s="219" t="s">
        <v>538</v>
      </c>
      <c r="B162" s="20" t="s">
        <v>1201</v>
      </c>
      <c r="C162" s="220"/>
      <c r="D162" s="221">
        <f>0.05*0.75*(D158+D156)</f>
        <v>229.78106841890542</v>
      </c>
      <c r="F162" s="21"/>
      <c r="G162" s="21"/>
    </row>
    <row r="163" spans="1:7" s="338" customFormat="1" ht="13.5" outlineLevel="1" thickBot="1">
      <c r="A163" s="219" t="s">
        <v>1233</v>
      </c>
      <c r="B163" s="20"/>
      <c r="C163" s="223" t="s">
        <v>438</v>
      </c>
      <c r="D163" s="224">
        <f>SUBTOTAL(9,D156:D162)</f>
        <v>6357.276226256382</v>
      </c>
    </row>
    <row r="164" spans="1:7" s="338" customFormat="1" ht="13.5" outlineLevel="1" thickBot="1">
      <c r="A164" s="348" t="s">
        <v>1237</v>
      </c>
      <c r="B164" s="349"/>
      <c r="C164" s="350"/>
      <c r="D164" s="345"/>
    </row>
    <row r="165" spans="1:7" ht="13.5" outlineLevel="2" thickBot="1">
      <c r="A165" s="219" t="s">
        <v>1229</v>
      </c>
      <c r="B165" s="20" t="s">
        <v>1238</v>
      </c>
      <c r="C165" s="220"/>
      <c r="D165" s="221">
        <f>179000*(Scope!D13/414)^0.6*0.6</f>
        <v>43955.396546977696</v>
      </c>
      <c r="F165" s="21"/>
      <c r="G165" s="21"/>
    </row>
    <row r="166" spans="1:7" ht="13.5" outlineLevel="2" thickBot="1">
      <c r="A166" s="219" t="s">
        <v>1231</v>
      </c>
      <c r="B166" s="20" t="s">
        <v>647</v>
      </c>
      <c r="C166" s="220"/>
      <c r="D166" s="221"/>
      <c r="F166" s="21"/>
      <c r="G166" s="21"/>
    </row>
    <row r="167" spans="1:7" ht="13.5" outlineLevel="2" thickBot="1">
      <c r="A167" s="219" t="s">
        <v>1121</v>
      </c>
      <c r="B167" s="115" t="s">
        <v>1086</v>
      </c>
      <c r="C167" s="220"/>
      <c r="D167" s="221"/>
      <c r="F167" s="21"/>
      <c r="G167" s="21"/>
    </row>
    <row r="168" spans="1:7" ht="13.5" outlineLevel="2" thickBot="1">
      <c r="A168" s="219" t="s">
        <v>1236</v>
      </c>
      <c r="B168" s="20"/>
      <c r="C168" s="220"/>
      <c r="D168" s="221"/>
      <c r="F168" s="21"/>
      <c r="G168" s="21"/>
    </row>
    <row r="169" spans="1:7" ht="13.5" outlineLevel="2" thickBot="1">
      <c r="A169" s="219" t="s">
        <v>1226</v>
      </c>
      <c r="B169" s="20"/>
      <c r="C169" s="220"/>
      <c r="D169" s="221"/>
      <c r="F169" s="21"/>
      <c r="G169" s="21"/>
    </row>
    <row r="170" spans="1:7" ht="13.5" outlineLevel="2" thickBot="1">
      <c r="A170" s="219" t="s">
        <v>519</v>
      </c>
      <c r="B170" s="20"/>
      <c r="C170" s="220"/>
      <c r="D170" s="221"/>
      <c r="F170" s="21"/>
      <c r="G170" s="21"/>
    </row>
    <row r="171" spans="1:7" ht="13.5" outlineLevel="2" thickBot="1">
      <c r="A171" s="219" t="s">
        <v>538</v>
      </c>
      <c r="B171" s="20" t="s">
        <v>1201</v>
      </c>
      <c r="C171" s="220"/>
      <c r="D171" s="221">
        <f>0.05*0.75*D165</f>
        <v>1648.3273705116637</v>
      </c>
      <c r="F171" s="21"/>
      <c r="G171" s="21"/>
    </row>
    <row r="172" spans="1:7" ht="13.5" outlineLevel="2" thickBot="1">
      <c r="A172" s="219"/>
      <c r="B172" s="20"/>
      <c r="C172" s="220"/>
      <c r="D172" s="221"/>
      <c r="F172" s="21"/>
      <c r="G172" s="21"/>
    </row>
    <row r="173" spans="1:7" s="338" customFormat="1" ht="13.5" outlineLevel="1" thickBot="1">
      <c r="A173" s="219" t="s">
        <v>1227</v>
      </c>
      <c r="B173" s="20"/>
      <c r="C173" s="223" t="s">
        <v>438</v>
      </c>
      <c r="D173" s="224">
        <f>SUBTOTAL(9,D165:D172)</f>
        <v>45603.723917489362</v>
      </c>
    </row>
    <row r="174" spans="1:7" s="338" customFormat="1" ht="13.5" outlineLevel="1" thickBot="1">
      <c r="A174" s="348" t="s">
        <v>1239</v>
      </c>
      <c r="B174" s="349"/>
      <c r="C174" s="350"/>
      <c r="D174" s="345"/>
    </row>
    <row r="175" spans="1:7" ht="13.5" outlineLevel="2" thickBot="1">
      <c r="A175" s="219" t="s">
        <v>1229</v>
      </c>
      <c r="B175" s="20" t="s">
        <v>1087</v>
      </c>
      <c r="C175" s="220"/>
      <c r="D175" s="221">
        <f>94000*0.25+0.75*94000*(Scope!D15/4.5)*(46.5/104)^0.6</f>
        <v>42831.180102614315</v>
      </c>
      <c r="F175" s="21"/>
      <c r="G175" s="21"/>
    </row>
    <row r="176" spans="1:7" ht="13.5" outlineLevel="2" thickBot="1">
      <c r="A176" s="219" t="s">
        <v>1240</v>
      </c>
      <c r="B176" s="20" t="s">
        <v>1241</v>
      </c>
      <c r="C176" s="220"/>
      <c r="D176" s="221"/>
      <c r="F176" s="21"/>
      <c r="G176" s="21"/>
    </row>
    <row r="177" spans="1:7" ht="13.5" outlineLevel="2" thickBot="1">
      <c r="A177" s="219" t="s">
        <v>1231</v>
      </c>
      <c r="B177" s="20" t="s">
        <v>1242</v>
      </c>
      <c r="C177" s="220"/>
      <c r="D177" s="221"/>
      <c r="F177" s="21"/>
      <c r="G177" s="21"/>
    </row>
    <row r="178" spans="1:7" ht="13.5" outlineLevel="2" thickBot="1">
      <c r="A178" s="219" t="s">
        <v>1121</v>
      </c>
      <c r="B178" s="20" t="s">
        <v>648</v>
      </c>
      <c r="C178" s="220"/>
      <c r="D178" s="221"/>
      <c r="F178" s="21"/>
      <c r="G178" s="21"/>
    </row>
    <row r="179" spans="1:7" ht="13.5" outlineLevel="2" thickBot="1">
      <c r="A179" s="219" t="s">
        <v>1236</v>
      </c>
      <c r="B179" s="20" t="s">
        <v>1243</v>
      </c>
      <c r="C179" s="220"/>
      <c r="D179" s="221"/>
      <c r="F179" s="21"/>
      <c r="G179" s="21"/>
    </row>
    <row r="180" spans="1:7" ht="13.5" outlineLevel="2" thickBot="1">
      <c r="A180" s="219" t="s">
        <v>1226</v>
      </c>
      <c r="B180" s="20"/>
      <c r="C180" s="220"/>
      <c r="D180" s="452"/>
      <c r="F180" s="21"/>
      <c r="G180" s="21"/>
    </row>
    <row r="181" spans="1:7" ht="13.5" outlineLevel="2" thickBot="1">
      <c r="A181" s="219" t="s">
        <v>519</v>
      </c>
      <c r="B181" s="20"/>
      <c r="C181" s="220"/>
      <c r="D181" s="221"/>
      <c r="F181" s="21"/>
      <c r="G181" s="21"/>
    </row>
    <row r="182" spans="1:7" ht="13.5" outlineLevel="2" thickBot="1">
      <c r="A182" s="219" t="s">
        <v>538</v>
      </c>
      <c r="B182" s="20" t="s">
        <v>1244</v>
      </c>
      <c r="C182" s="220"/>
      <c r="D182" s="221">
        <f>0.05*0.11*D175</f>
        <v>235.57149056437876</v>
      </c>
      <c r="F182" s="21"/>
      <c r="G182" s="21"/>
    </row>
    <row r="183" spans="1:7" ht="13.5" outlineLevel="2" thickBot="1">
      <c r="A183" s="219"/>
      <c r="B183" s="20"/>
      <c r="C183" s="220"/>
      <c r="D183" s="221"/>
      <c r="F183" s="21"/>
      <c r="G183" s="21"/>
    </row>
    <row r="184" spans="1:7" s="338" customFormat="1" ht="13.5" outlineLevel="1" thickBot="1">
      <c r="A184" s="219" t="s">
        <v>1227</v>
      </c>
      <c r="B184" s="20"/>
      <c r="C184" s="223" t="s">
        <v>438</v>
      </c>
      <c r="D184" s="224">
        <f>SUBTOTAL(9,D175:D183)</f>
        <v>43066.751593178691</v>
      </c>
    </row>
    <row r="185" spans="1:7" s="338" customFormat="1" ht="13.5" outlineLevel="1" thickBot="1">
      <c r="A185" s="348" t="s">
        <v>1245</v>
      </c>
      <c r="B185" s="349"/>
      <c r="C185" s="350"/>
      <c r="D185" s="345"/>
    </row>
    <row r="186" spans="1:7" ht="13.5" outlineLevel="2" thickBot="1">
      <c r="A186" s="219" t="s">
        <v>1229</v>
      </c>
      <c r="B186" s="353" t="s">
        <v>649</v>
      </c>
      <c r="C186" s="220" t="s">
        <v>1232</v>
      </c>
      <c r="D186" s="221">
        <f>Scope!D15*35000</f>
        <v>70000</v>
      </c>
      <c r="F186" s="21"/>
      <c r="G186" s="21"/>
    </row>
    <row r="187" spans="1:7" ht="13.5" outlineLevel="2" thickBot="1">
      <c r="A187" s="219" t="s">
        <v>1231</v>
      </c>
      <c r="B187" s="21" t="s">
        <v>650</v>
      </c>
      <c r="C187" s="220" t="s">
        <v>1230</v>
      </c>
      <c r="D187" s="221">
        <f>22000/2000*Scope!D15*Scope!F40</f>
        <v>35200</v>
      </c>
      <c r="F187" s="21"/>
      <c r="G187" s="21"/>
    </row>
    <row r="188" spans="1:7" ht="13.5" outlineLevel="2" thickBot="1">
      <c r="A188" s="219" t="s">
        <v>1121</v>
      </c>
      <c r="B188" s="20" t="s">
        <v>1246</v>
      </c>
      <c r="C188" s="220"/>
      <c r="D188" s="221"/>
      <c r="F188" s="21"/>
      <c r="G188" s="21"/>
    </row>
    <row r="189" spans="1:7" ht="13.5" outlineLevel="2" thickBot="1">
      <c r="A189" s="219" t="s">
        <v>1236</v>
      </c>
      <c r="B189" s="20" t="s">
        <v>651</v>
      </c>
      <c r="C189" s="220"/>
      <c r="D189" s="221"/>
      <c r="F189" s="21"/>
      <c r="G189" s="21"/>
    </row>
    <row r="190" spans="1:7" ht="13.5" outlineLevel="2" thickBot="1">
      <c r="A190" s="219" t="s">
        <v>1247</v>
      </c>
      <c r="B190" s="115" t="s">
        <v>1248</v>
      </c>
      <c r="C190" s="220"/>
      <c r="D190" s="221"/>
      <c r="F190" s="21" t="s">
        <v>1127</v>
      </c>
      <c r="G190" s="21"/>
    </row>
    <row r="191" spans="1:7" ht="13.5" outlineLevel="2" thickBot="1">
      <c r="A191" s="219" t="s">
        <v>519</v>
      </c>
      <c r="B191" s="20" t="s">
        <v>1249</v>
      </c>
      <c r="C191" s="220"/>
      <c r="D191" s="221"/>
      <c r="F191" s="21"/>
      <c r="G191" s="21"/>
    </row>
    <row r="192" spans="1:7" ht="13.5" outlineLevel="2" thickBot="1">
      <c r="A192" s="219" t="s">
        <v>538</v>
      </c>
      <c r="B192" s="20" t="s">
        <v>1201</v>
      </c>
      <c r="C192" s="220"/>
      <c r="D192" s="221">
        <f>0.05*0.75*(D187+D186)</f>
        <v>3945.0000000000005</v>
      </c>
      <c r="F192" s="21"/>
      <c r="G192" s="21"/>
    </row>
    <row r="193" spans="1:7" ht="13.5" outlineLevel="2" thickBot="1">
      <c r="A193" s="219"/>
      <c r="B193" s="20"/>
      <c r="C193" s="220"/>
      <c r="D193" s="221"/>
      <c r="F193" s="21"/>
      <c r="G193" s="21"/>
    </row>
    <row r="194" spans="1:7" s="338" customFormat="1" ht="13.5" outlineLevel="1" thickBot="1">
      <c r="A194" s="219" t="s">
        <v>1126</v>
      </c>
      <c r="B194" s="20"/>
      <c r="C194" s="223" t="s">
        <v>438</v>
      </c>
      <c r="D194" s="224">
        <f>SUBTOTAL(9,D186:D193)</f>
        <v>109145</v>
      </c>
    </row>
    <row r="195" spans="1:7" s="338" customFormat="1" ht="13.5" outlineLevel="1" thickBot="1">
      <c r="A195" s="348" t="s">
        <v>1129</v>
      </c>
      <c r="B195" s="349"/>
      <c r="C195" s="350"/>
      <c r="D195" s="345"/>
    </row>
    <row r="196" spans="1:7" ht="13.5" outlineLevel="2" thickBot="1">
      <c r="A196" s="219" t="s">
        <v>1250</v>
      </c>
      <c r="C196" s="220"/>
      <c r="D196" s="221">
        <v>0</v>
      </c>
      <c r="F196" s="21">
        <f>337000/3*(47/104)^0.6</f>
        <v>69750.505167877549</v>
      </c>
      <c r="G196" s="21"/>
    </row>
    <row r="197" spans="1:7" ht="13.5" outlineLevel="2" thickBot="1">
      <c r="A197" s="219" t="s">
        <v>1251</v>
      </c>
      <c r="B197" s="21" t="s">
        <v>1252</v>
      </c>
      <c r="C197" s="220"/>
      <c r="D197" s="221">
        <v>0</v>
      </c>
      <c r="F197" s="21"/>
      <c r="G197" s="21"/>
    </row>
    <row r="198" spans="1:7" ht="13.5" outlineLevel="2" thickBot="1">
      <c r="A198" s="219" t="s">
        <v>1253</v>
      </c>
      <c r="B198" s="20"/>
      <c r="C198" s="220"/>
      <c r="D198" s="221">
        <v>0</v>
      </c>
      <c r="F198" s="21"/>
      <c r="G198" s="21"/>
    </row>
    <row r="199" spans="1:7" ht="13.5" outlineLevel="2" thickBot="1">
      <c r="A199" s="219" t="s">
        <v>1254</v>
      </c>
      <c r="B199" s="354" t="s">
        <v>1262</v>
      </c>
      <c r="C199" s="220"/>
      <c r="D199" s="221">
        <v>0</v>
      </c>
      <c r="F199" s="21"/>
      <c r="G199" s="21"/>
    </row>
    <row r="200" spans="1:7" ht="13.5" outlineLevel="2" thickBot="1">
      <c r="A200" s="219" t="s">
        <v>1255</v>
      </c>
      <c r="B200" s="115"/>
      <c r="C200" s="220"/>
      <c r="D200" s="221">
        <v>0</v>
      </c>
      <c r="F200" s="21"/>
      <c r="G200" s="21"/>
    </row>
    <row r="201" spans="1:7" ht="13.5" outlineLevel="2" thickBot="1">
      <c r="A201" s="219" t="s">
        <v>1256</v>
      </c>
      <c r="B201" s="20" t="s">
        <v>1257</v>
      </c>
      <c r="C201" s="220"/>
      <c r="D201" s="221">
        <v>0</v>
      </c>
      <c r="F201" s="21"/>
      <c r="G201" s="21"/>
    </row>
    <row r="202" spans="1:7" ht="13.5" outlineLevel="2" thickBot="1">
      <c r="A202" s="219" t="s">
        <v>1128</v>
      </c>
      <c r="B202" s="20" t="s">
        <v>652</v>
      </c>
      <c r="C202" s="220"/>
      <c r="D202" s="221">
        <f>Scope!D26*0.02*1200000</f>
        <v>0</v>
      </c>
      <c r="F202" s="21"/>
      <c r="G202" s="21"/>
    </row>
    <row r="203" spans="1:7" ht="13.5" outlineLevel="2" thickBot="1">
      <c r="A203" s="219" t="s">
        <v>538</v>
      </c>
      <c r="B203" s="20"/>
      <c r="C203" s="220"/>
      <c r="D203" s="221">
        <f>0.05*0.75*SUM(D196:D201)</f>
        <v>0</v>
      </c>
      <c r="F203" s="21"/>
      <c r="G203" s="21"/>
    </row>
    <row r="204" spans="1:7" ht="13.5" outlineLevel="2" thickBot="1">
      <c r="A204" s="219"/>
      <c r="B204" s="20"/>
      <c r="C204" s="220"/>
      <c r="D204" s="221"/>
      <c r="F204" s="21"/>
      <c r="G204" s="21"/>
    </row>
    <row r="205" spans="1:7" s="338" customFormat="1" ht="13.5" outlineLevel="1" thickBot="1">
      <c r="A205" s="219" t="s">
        <v>1258</v>
      </c>
      <c r="B205" s="20"/>
      <c r="C205" s="223" t="s">
        <v>438</v>
      </c>
      <c r="D205" s="224">
        <f>SUBTOTAL(9,D196:D204)</f>
        <v>0</v>
      </c>
    </row>
    <row r="206" spans="1:7" s="338" customFormat="1" ht="13.5" outlineLevel="1" thickBot="1">
      <c r="A206" s="348" t="s">
        <v>1259</v>
      </c>
      <c r="B206" s="349"/>
      <c r="C206" s="350"/>
      <c r="D206" s="345"/>
    </row>
    <row r="207" spans="1:7" ht="13.5" outlineLevel="2" thickBot="1">
      <c r="A207" s="219" t="s">
        <v>1260</v>
      </c>
      <c r="B207" s="20"/>
      <c r="C207" s="220"/>
      <c r="D207" s="221">
        <v>0</v>
      </c>
      <c r="F207" s="21"/>
      <c r="G207" s="21"/>
    </row>
    <row r="208" spans="1:7" ht="13.5" outlineLevel="2" thickBot="1">
      <c r="A208" s="219" t="s">
        <v>1231</v>
      </c>
      <c r="B208" s="20"/>
      <c r="C208" s="220"/>
      <c r="D208" s="221"/>
      <c r="F208" s="21"/>
      <c r="G208" s="21"/>
    </row>
    <row r="209" spans="1:7" ht="13.5" outlineLevel="2" thickBot="1">
      <c r="A209" s="219" t="s">
        <v>1121</v>
      </c>
      <c r="B209" s="115"/>
      <c r="C209" s="220"/>
      <c r="D209" s="221"/>
      <c r="F209" s="21"/>
      <c r="G209" s="21"/>
    </row>
    <row r="210" spans="1:7" ht="13.5" outlineLevel="2" thickBot="1">
      <c r="A210" s="219" t="s">
        <v>1261</v>
      </c>
      <c r="B210" s="20"/>
      <c r="C210" s="220"/>
      <c r="D210" s="221"/>
      <c r="F210" s="21"/>
      <c r="G210" s="21"/>
    </row>
    <row r="211" spans="1:7" ht="13.5" outlineLevel="2" thickBot="1">
      <c r="A211" s="219" t="s">
        <v>1226</v>
      </c>
      <c r="B211" s="20"/>
      <c r="C211" s="220"/>
      <c r="D211" s="221"/>
      <c r="F211" s="21"/>
      <c r="G211" s="21"/>
    </row>
    <row r="212" spans="1:7" ht="13.5" outlineLevel="2" thickBot="1">
      <c r="A212" s="219" t="s">
        <v>519</v>
      </c>
      <c r="B212" s="354" t="s">
        <v>1262</v>
      </c>
      <c r="C212" s="220"/>
      <c r="D212" s="221"/>
      <c r="F212" s="21"/>
      <c r="G212" s="21"/>
    </row>
    <row r="213" spans="1:7" ht="13.5" outlineLevel="2" thickBot="1">
      <c r="A213" s="219" t="s">
        <v>1263</v>
      </c>
      <c r="B213" s="20"/>
      <c r="C213" s="220"/>
      <c r="D213" s="221"/>
      <c r="F213" s="21"/>
      <c r="G213" s="21"/>
    </row>
    <row r="214" spans="1:7" ht="13.5" outlineLevel="2" thickBot="1">
      <c r="A214" s="219" t="s">
        <v>538</v>
      </c>
      <c r="B214" s="20"/>
      <c r="C214" s="220"/>
      <c r="D214" s="221">
        <f>0.01*0.75*D207</f>
        <v>0</v>
      </c>
      <c r="F214" s="21"/>
      <c r="G214" s="21"/>
    </row>
    <row r="215" spans="1:7" ht="13.5" outlineLevel="2" thickBot="1">
      <c r="A215" s="219"/>
      <c r="B215" s="20"/>
      <c r="C215" s="220"/>
      <c r="D215" s="221"/>
      <c r="F215" s="21"/>
      <c r="G215" s="21"/>
    </row>
    <row r="216" spans="1:7" s="338" customFormat="1" ht="13.5" outlineLevel="1" thickBot="1">
      <c r="A216" s="219"/>
      <c r="B216" s="20"/>
      <c r="C216" s="223" t="s">
        <v>438</v>
      </c>
      <c r="D216" s="224">
        <f>SUBTOTAL(9,D207:D215)</f>
        <v>0</v>
      </c>
    </row>
    <row r="217" spans="1:7" s="338" customFormat="1" ht="13.5" outlineLevel="1" thickBot="1">
      <c r="A217" s="348" t="s">
        <v>1264</v>
      </c>
      <c r="B217" s="349"/>
      <c r="C217" s="350"/>
      <c r="D217" s="345"/>
    </row>
    <row r="218" spans="1:7" ht="13.5" outlineLevel="2" thickBot="1">
      <c r="A218" s="219" t="s">
        <v>1229</v>
      </c>
      <c r="B218" s="20"/>
      <c r="C218" s="220"/>
      <c r="D218" s="221">
        <v>1850</v>
      </c>
      <c r="F218" s="21"/>
      <c r="G218" s="21"/>
    </row>
    <row r="219" spans="1:7" ht="13.5" outlineLevel="2" thickBot="1">
      <c r="A219" s="219" t="s">
        <v>1231</v>
      </c>
      <c r="B219" s="20"/>
      <c r="C219" s="220"/>
      <c r="D219" s="221"/>
      <c r="F219" s="21"/>
      <c r="G219" s="21"/>
    </row>
    <row r="220" spans="1:7" ht="13.5" outlineLevel="2" thickBot="1">
      <c r="A220" s="219" t="s">
        <v>1121</v>
      </c>
      <c r="B220" s="20"/>
      <c r="C220" s="220"/>
      <c r="D220" s="221"/>
      <c r="F220" s="21"/>
      <c r="G220" s="21"/>
    </row>
    <row r="221" spans="1:7" ht="13.5" outlineLevel="2" thickBot="1">
      <c r="A221" s="219" t="s">
        <v>1236</v>
      </c>
      <c r="B221" s="20"/>
      <c r="C221" s="220"/>
      <c r="D221" s="221"/>
      <c r="F221" s="21"/>
      <c r="G221" s="21"/>
    </row>
    <row r="222" spans="1:7" ht="13.5" outlineLevel="2" thickBot="1">
      <c r="A222" s="219" t="s">
        <v>1226</v>
      </c>
      <c r="B222" s="354"/>
      <c r="C222" s="220"/>
      <c r="D222" s="221"/>
      <c r="F222" s="21"/>
      <c r="G222" s="21"/>
    </row>
    <row r="223" spans="1:7" ht="13.5" outlineLevel="2" thickBot="1">
      <c r="A223" s="219" t="s">
        <v>519</v>
      </c>
      <c r="B223" s="20"/>
      <c r="C223" s="220"/>
      <c r="D223" s="221"/>
      <c r="F223" s="21"/>
      <c r="G223" s="21"/>
    </row>
    <row r="224" spans="1:7" ht="13.5" outlineLevel="2" thickBot="1">
      <c r="A224" s="219" t="s">
        <v>538</v>
      </c>
      <c r="B224" s="20"/>
      <c r="C224" s="220"/>
      <c r="D224" s="221">
        <f>0.05*0.75*D218</f>
        <v>69.375000000000014</v>
      </c>
      <c r="F224" s="21"/>
      <c r="G224" s="21"/>
    </row>
    <row r="225" spans="1:7" ht="13.5" outlineLevel="2" thickBot="1">
      <c r="A225" s="219"/>
      <c r="B225" s="20"/>
      <c r="C225" s="220"/>
      <c r="D225" s="221"/>
      <c r="F225" s="21"/>
      <c r="G225" s="21"/>
    </row>
    <row r="226" spans="1:7" s="338" customFormat="1" ht="13.5" outlineLevel="1" thickBot="1">
      <c r="A226" s="219" t="s">
        <v>1258</v>
      </c>
      <c r="B226" s="20"/>
      <c r="C226" s="223" t="s">
        <v>438</v>
      </c>
      <c r="D226" s="224">
        <f>SUBTOTAL(9,D218:D225)</f>
        <v>1919.375</v>
      </c>
    </row>
    <row r="227" spans="1:7" s="338" customFormat="1" ht="13.5" outlineLevel="1" thickBot="1">
      <c r="A227" s="348" t="s">
        <v>747</v>
      </c>
      <c r="B227" s="349"/>
      <c r="C227" s="350"/>
      <c r="D227" s="345"/>
    </row>
    <row r="228" spans="1:7" ht="13.5" outlineLevel="2" thickBot="1">
      <c r="A228" s="219" t="s">
        <v>1229</v>
      </c>
      <c r="B228" s="20" t="s">
        <v>750</v>
      </c>
      <c r="C228" s="220"/>
      <c r="D228" s="221">
        <v>2500</v>
      </c>
      <c r="F228" s="21"/>
      <c r="G228" s="21"/>
    </row>
    <row r="229" spans="1:7" ht="13.5" outlineLevel="2" thickBot="1">
      <c r="A229" s="219" t="s">
        <v>1231</v>
      </c>
      <c r="B229" s="20" t="s">
        <v>749</v>
      </c>
      <c r="C229" s="220"/>
      <c r="D229" s="221">
        <f>IF(Scope!F28="Yes",30000,0)</f>
        <v>30000</v>
      </c>
      <c r="F229" s="21"/>
      <c r="G229" s="21"/>
    </row>
    <row r="230" spans="1:7" ht="13.5" outlineLevel="2" thickBot="1">
      <c r="A230" s="219" t="s">
        <v>1121</v>
      </c>
      <c r="B230" s="20"/>
      <c r="C230" s="220"/>
      <c r="D230" s="221"/>
      <c r="F230" s="21"/>
      <c r="G230" s="21"/>
    </row>
    <row r="231" spans="1:7" ht="13.5" outlineLevel="2" thickBot="1">
      <c r="A231" s="219" t="s">
        <v>1236</v>
      </c>
      <c r="B231" s="20"/>
      <c r="C231" s="220"/>
      <c r="D231" s="221"/>
      <c r="F231" s="21"/>
      <c r="G231" s="21"/>
    </row>
    <row r="232" spans="1:7" ht="13.5" outlineLevel="2" thickBot="1">
      <c r="A232" s="219" t="s">
        <v>1226</v>
      </c>
      <c r="B232" s="20"/>
      <c r="C232" s="220"/>
      <c r="D232" s="221"/>
      <c r="F232" s="21"/>
      <c r="G232" s="21"/>
    </row>
    <row r="233" spans="1:7" ht="13.5" outlineLevel="2" thickBot="1">
      <c r="A233" s="219" t="s">
        <v>519</v>
      </c>
      <c r="B233" s="354"/>
      <c r="C233" s="220"/>
      <c r="D233" s="221"/>
      <c r="F233" s="21"/>
      <c r="G233" s="21"/>
    </row>
    <row r="234" spans="1:7" ht="13.5" outlineLevel="2" thickBot="1">
      <c r="A234" s="219" t="s">
        <v>538</v>
      </c>
      <c r="B234" s="20"/>
      <c r="C234" s="220"/>
      <c r="D234" s="221">
        <f>0.05*0.75*D228</f>
        <v>93.750000000000014</v>
      </c>
      <c r="F234" s="21"/>
      <c r="G234" s="21"/>
    </row>
    <row r="235" spans="1:7" ht="13.5" outlineLevel="2" thickBot="1">
      <c r="A235" s="219"/>
      <c r="B235" s="20"/>
      <c r="C235" s="220"/>
      <c r="D235" s="221"/>
      <c r="F235" s="21"/>
      <c r="G235" s="21"/>
    </row>
    <row r="236" spans="1:7" s="338" customFormat="1" ht="13.5" outlineLevel="1" thickBot="1">
      <c r="A236" s="219" t="s">
        <v>1088</v>
      </c>
      <c r="B236" s="20"/>
      <c r="C236" s="223" t="s">
        <v>438</v>
      </c>
      <c r="D236" s="224">
        <f>SUBTOTAL(9,D228:D235)</f>
        <v>32593.75</v>
      </c>
    </row>
    <row r="237" spans="1:7" s="338" customFormat="1" ht="13.5" outlineLevel="1" thickBot="1">
      <c r="A237" s="348" t="s">
        <v>1265</v>
      </c>
      <c r="B237" s="349"/>
      <c r="C237" s="350"/>
      <c r="D237" s="345"/>
    </row>
    <row r="238" spans="1:7" ht="13.5" outlineLevel="2" thickBot="1">
      <c r="A238" s="219" t="s">
        <v>1266</v>
      </c>
      <c r="B238"/>
      <c r="C238" s="220"/>
      <c r="D238" s="221">
        <v>10000</v>
      </c>
      <c r="F238" s="21"/>
      <c r="G238" s="21"/>
    </row>
    <row r="239" spans="1:7" ht="13.5" hidden="1" outlineLevel="2" thickBot="1">
      <c r="A239" s="219" t="s">
        <v>1267</v>
      </c>
      <c r="B239" s="20"/>
      <c r="C239" s="220"/>
      <c r="D239" s="221"/>
      <c r="F239" s="21"/>
      <c r="G239" s="21"/>
    </row>
    <row r="240" spans="1:7" ht="13.5" hidden="1" outlineLevel="2" thickBot="1">
      <c r="A240" s="219" t="s">
        <v>1268</v>
      </c>
      <c r="B240" s="115"/>
      <c r="C240" s="220"/>
      <c r="D240" s="221"/>
      <c r="F240" s="21"/>
      <c r="G240" s="21"/>
    </row>
    <row r="241" spans="1:7" ht="13.5" hidden="1" outlineLevel="2" thickBot="1">
      <c r="A241" s="219" t="s">
        <v>1269</v>
      </c>
      <c r="B241" s="20"/>
      <c r="C241" s="220"/>
      <c r="D241" s="221"/>
      <c r="F241" s="21"/>
      <c r="G241" s="21"/>
    </row>
    <row r="242" spans="1:7" ht="13.5" outlineLevel="2" thickBot="1">
      <c r="A242" s="219" t="s">
        <v>1270</v>
      </c>
      <c r="B242" s="20"/>
      <c r="C242" s="220"/>
      <c r="D242" s="221">
        <v>6000</v>
      </c>
      <c r="F242" s="21"/>
      <c r="G242" s="21"/>
    </row>
    <row r="243" spans="1:7" ht="13.5" outlineLevel="2" thickBot="1">
      <c r="A243" s="219" t="s">
        <v>1271</v>
      </c>
      <c r="B243" s="20"/>
      <c r="C243" s="220"/>
      <c r="D243" s="221">
        <v>10000</v>
      </c>
      <c r="F243" s="21"/>
      <c r="G243" s="21"/>
    </row>
    <row r="244" spans="1:7" ht="13.5" outlineLevel="2" thickBot="1">
      <c r="A244" s="219" t="s">
        <v>1272</v>
      </c>
      <c r="B244" s="20"/>
      <c r="C244" s="220"/>
      <c r="D244" s="221">
        <v>11000</v>
      </c>
      <c r="F244" s="21"/>
      <c r="G244" s="21"/>
    </row>
    <row r="245" spans="1:7" ht="13.5" outlineLevel="2" thickBot="1">
      <c r="A245" s="219" t="s">
        <v>1273</v>
      </c>
      <c r="B245" s="20"/>
      <c r="C245" s="220"/>
      <c r="D245" s="221">
        <v>10000</v>
      </c>
      <c r="F245" s="21"/>
      <c r="G245" s="21"/>
    </row>
    <row r="246" spans="1:7" ht="13.5" outlineLevel="2" thickBot="1">
      <c r="A246" s="219" t="s">
        <v>1274</v>
      </c>
      <c r="B246" s="20"/>
      <c r="C246" s="220"/>
      <c r="D246" s="221">
        <v>5000</v>
      </c>
      <c r="F246" s="21"/>
      <c r="G246" s="21"/>
    </row>
    <row r="247" spans="1:7" ht="13.5" outlineLevel="2" thickBot="1">
      <c r="A247" s="219" t="s">
        <v>1275</v>
      </c>
      <c r="B247" s="20"/>
      <c r="C247" s="220"/>
      <c r="D247" s="221">
        <v>4000</v>
      </c>
      <c r="F247" s="21"/>
      <c r="G247" s="21"/>
    </row>
    <row r="248" spans="1:7" ht="13.5" outlineLevel="2" thickBot="1">
      <c r="A248" s="219" t="s">
        <v>1276</v>
      </c>
      <c r="B248" s="20"/>
      <c r="C248" s="220"/>
      <c r="D248" s="221">
        <v>5000</v>
      </c>
      <c r="F248" s="21"/>
      <c r="G248" s="21"/>
    </row>
    <row r="249" spans="1:7" ht="13.5" outlineLevel="2" thickBot="1">
      <c r="A249" s="219" t="s">
        <v>1277</v>
      </c>
      <c r="B249" s="20"/>
      <c r="C249" s="220"/>
      <c r="D249" s="221">
        <v>500</v>
      </c>
      <c r="F249" s="21"/>
      <c r="G249" s="21"/>
    </row>
    <row r="250" spans="1:7" ht="13.5" outlineLevel="2" thickBot="1">
      <c r="A250" s="219" t="s">
        <v>1278</v>
      </c>
      <c r="B250" s="20"/>
      <c r="C250" s="220"/>
      <c r="D250" s="221"/>
      <c r="F250" s="21"/>
      <c r="G250" s="21"/>
    </row>
    <row r="251" spans="1:7" ht="13.5" outlineLevel="2" thickBot="1">
      <c r="A251" s="219" t="s">
        <v>1279</v>
      </c>
      <c r="B251" s="20"/>
      <c r="C251" s="220"/>
      <c r="D251" s="221"/>
      <c r="F251" s="21"/>
      <c r="G251" s="21"/>
    </row>
    <row r="252" spans="1:7" ht="13.5" outlineLevel="2" thickBot="1">
      <c r="A252" s="219" t="s">
        <v>1280</v>
      </c>
      <c r="B252" s="20"/>
      <c r="C252" s="220"/>
      <c r="D252" s="221"/>
      <c r="F252" s="21"/>
      <c r="G252" s="21"/>
    </row>
    <row r="253" spans="1:7" ht="13.5" outlineLevel="2" thickBot="1">
      <c r="A253" s="219" t="s">
        <v>538</v>
      </c>
      <c r="B253" s="20" t="s">
        <v>1201</v>
      </c>
      <c r="C253" s="220"/>
      <c r="D253" s="221">
        <f>0.05*0.75*SUM(D238:D249)</f>
        <v>2306.2500000000005</v>
      </c>
      <c r="F253" s="21"/>
      <c r="G253" s="21"/>
    </row>
    <row r="254" spans="1:7" ht="13.5" outlineLevel="2" thickBot="1">
      <c r="A254" s="219"/>
      <c r="B254" s="20"/>
      <c r="C254" s="220"/>
      <c r="D254" s="221"/>
      <c r="F254" s="21"/>
      <c r="G254" s="21"/>
    </row>
    <row r="255" spans="1:7" s="338" customFormat="1" ht="13.5" outlineLevel="1" thickBot="1">
      <c r="A255" s="219" t="s">
        <v>1258</v>
      </c>
      <c r="B255" s="20"/>
      <c r="C255" s="223" t="s">
        <v>438</v>
      </c>
      <c r="D255" s="224">
        <f>SUBTOTAL(9,D238:D254)</f>
        <v>63806.25</v>
      </c>
      <c r="F255" s="355">
        <f>D255+D287+D194+D184+D173+D163+D154+D144</f>
        <v>325851.48769194068</v>
      </c>
    </row>
    <row r="256" spans="1:7" s="338" customFormat="1" ht="13.5" outlineLevel="1" thickBot="1">
      <c r="A256" s="348" t="s">
        <v>1281</v>
      </c>
      <c r="B256" s="349"/>
      <c r="C256" s="350"/>
      <c r="D256" s="345"/>
    </row>
    <row r="257" spans="1:7" ht="13.5" outlineLevel="2" thickBot="1">
      <c r="A257" s="219" t="s">
        <v>953</v>
      </c>
      <c r="B257" s="20"/>
      <c r="C257" s="220"/>
      <c r="D257" s="221">
        <v>175000</v>
      </c>
      <c r="F257" s="21"/>
      <c r="G257" s="21"/>
    </row>
    <row r="258" spans="1:7" ht="13.5" outlineLevel="2" thickBot="1">
      <c r="A258" s="219"/>
      <c r="B258" s="20"/>
      <c r="C258" s="220"/>
      <c r="D258" s="221"/>
      <c r="F258" s="21"/>
      <c r="G258" s="21"/>
    </row>
    <row r="259" spans="1:7" ht="13.5" outlineLevel="2" thickBot="1">
      <c r="A259" s="219"/>
      <c r="B259" s="20"/>
      <c r="C259" s="220"/>
      <c r="D259" s="221"/>
      <c r="F259" s="21"/>
      <c r="G259" s="21"/>
    </row>
    <row r="260" spans="1:7" ht="13.5" outlineLevel="2" thickBot="1">
      <c r="A260" s="219"/>
      <c r="B260" s="20"/>
      <c r="C260" s="220"/>
      <c r="D260" s="221"/>
      <c r="F260" s="21"/>
      <c r="G260" s="21"/>
    </row>
    <row r="261" spans="1:7" ht="13.5" outlineLevel="2" thickBot="1">
      <c r="A261" s="219"/>
      <c r="B261" s="20"/>
      <c r="C261" s="220"/>
      <c r="D261" s="221"/>
      <c r="F261" s="21"/>
      <c r="G261" s="21"/>
    </row>
    <row r="262" spans="1:7" ht="13.5" outlineLevel="2" thickBot="1">
      <c r="A262" s="219"/>
      <c r="B262" s="20"/>
      <c r="C262" s="220"/>
      <c r="D262" s="221"/>
      <c r="F262" s="21"/>
      <c r="G262" s="21"/>
    </row>
    <row r="263" spans="1:7" ht="13.5" outlineLevel="2" thickBot="1">
      <c r="A263" s="219"/>
      <c r="B263" s="20"/>
      <c r="C263" s="220"/>
      <c r="D263" s="221"/>
      <c r="F263" s="21"/>
      <c r="G263" s="21"/>
    </row>
    <row r="264" spans="1:7" s="338" customFormat="1" ht="13.5" outlineLevel="1" thickBot="1">
      <c r="A264" s="219"/>
      <c r="B264" s="20"/>
      <c r="C264" s="223" t="s">
        <v>438</v>
      </c>
      <c r="D264" s="224">
        <f>SUBTOTAL(9,D257:D259)</f>
        <v>175000</v>
      </c>
    </row>
    <row r="265" spans="1:7" s="338" customFormat="1" ht="13.5" outlineLevel="1" thickBot="1">
      <c r="A265" s="356" t="s">
        <v>194</v>
      </c>
      <c r="B265" s="357"/>
      <c r="C265" s="358"/>
      <c r="D265" s="345"/>
    </row>
    <row r="266" spans="1:7" ht="13.5" outlineLevel="2" thickBot="1">
      <c r="A266" s="202" t="s">
        <v>1282</v>
      </c>
      <c r="B266" s="40"/>
      <c r="C266" s="244"/>
      <c r="D266" s="245"/>
      <c r="F266" s="21"/>
      <c r="G266" s="21"/>
    </row>
    <row r="267" spans="1:7" ht="13.5" outlineLevel="2" thickBot="1">
      <c r="A267" s="202"/>
      <c r="B267" s="40"/>
      <c r="C267" s="244"/>
      <c r="D267" s="245">
        <f>C267</f>
        <v>0</v>
      </c>
      <c r="F267" s="21"/>
      <c r="G267" s="21"/>
    </row>
    <row r="268" spans="1:7" ht="13.5" outlineLevel="2" thickBot="1">
      <c r="A268" s="202"/>
      <c r="B268" s="40"/>
      <c r="C268" s="244"/>
      <c r="D268" s="245"/>
      <c r="F268" s="21"/>
      <c r="G268" s="21"/>
    </row>
    <row r="269" spans="1:7" ht="13.5" outlineLevel="2" thickBot="1">
      <c r="A269" s="202"/>
      <c r="B269" s="40"/>
      <c r="C269" s="203"/>
      <c r="D269" s="204"/>
      <c r="F269" s="21"/>
      <c r="G269" s="21"/>
    </row>
    <row r="270" spans="1:7" s="338" customFormat="1" ht="13.5" outlineLevel="1" thickBot="1">
      <c r="A270" s="202"/>
      <c r="B270" s="40"/>
      <c r="C270" s="205" t="s">
        <v>438</v>
      </c>
      <c r="D270" s="246">
        <f>SUBTOTAL(9,D266:D269)</f>
        <v>0</v>
      </c>
    </row>
    <row r="271" spans="1:7" s="338" customFormat="1" ht="13.5" outlineLevel="1" thickBot="1">
      <c r="A271" s="348" t="s">
        <v>1284</v>
      </c>
      <c r="B271" s="349"/>
      <c r="C271" s="350"/>
      <c r="D271" s="345"/>
    </row>
    <row r="272" spans="1:7" ht="13.5" outlineLevel="2" thickBot="1">
      <c r="A272" s="219"/>
      <c r="B272" s="20"/>
      <c r="C272" s="220"/>
      <c r="D272" s="221">
        <f>LM6000PC_MMR_Gas!H6</f>
        <v>2826000</v>
      </c>
      <c r="F272" s="21"/>
      <c r="G272" s="21"/>
    </row>
    <row r="273" spans="1:7" ht="13.5" outlineLevel="2" thickBot="1">
      <c r="A273" s="219"/>
      <c r="B273" s="20"/>
      <c r="C273" s="220"/>
      <c r="D273" s="221"/>
      <c r="F273" s="21"/>
      <c r="G273" s="21"/>
    </row>
    <row r="274" spans="1:7" ht="13.5" outlineLevel="2" thickBot="1">
      <c r="A274" s="219"/>
      <c r="B274" s="20" t="s">
        <v>1097</v>
      </c>
      <c r="C274" s="359">
        <f>D272/Scope!D15/20/Scope!F40</f>
        <v>44.15625</v>
      </c>
      <c r="D274" s="221"/>
      <c r="F274" s="21"/>
      <c r="G274" s="21"/>
    </row>
    <row r="275" spans="1:7" ht="13.5" outlineLevel="2" thickBot="1">
      <c r="A275" s="354"/>
      <c r="B275" s="21" t="s">
        <v>1096</v>
      </c>
      <c r="C275" s="359">
        <f>D272/Scope!D15/25000</f>
        <v>56.52</v>
      </c>
      <c r="D275" s="221"/>
      <c r="F275" s="21"/>
      <c r="G275" s="21"/>
    </row>
    <row r="276" spans="1:7" ht="13.5" outlineLevel="2" thickBot="1">
      <c r="A276" s="354"/>
      <c r="C276" s="220"/>
      <c r="D276" s="221"/>
      <c r="F276" s="21"/>
      <c r="G276" s="21"/>
    </row>
    <row r="277" spans="1:7" ht="13.5" outlineLevel="2" thickBot="1">
      <c r="A277" s="354"/>
      <c r="C277" s="220"/>
      <c r="D277" s="221"/>
      <c r="F277" s="21"/>
      <c r="G277" s="21"/>
    </row>
    <row r="278" spans="1:7" s="338" customFormat="1" ht="13.5" outlineLevel="1" thickBot="1">
      <c r="A278" s="354"/>
      <c r="C278" s="223" t="s">
        <v>438</v>
      </c>
      <c r="D278" s="224">
        <f>SUBTOTAL(9,D272:D277)</f>
        <v>2826000</v>
      </c>
    </row>
    <row r="279" spans="1:7" s="338" customFormat="1" ht="13.5" outlineLevel="1" thickBot="1">
      <c r="A279" s="348" t="s">
        <v>1285</v>
      </c>
      <c r="B279" s="349"/>
      <c r="C279" s="350"/>
      <c r="D279" s="345"/>
    </row>
    <row r="280" spans="1:7" ht="13.5" outlineLevel="2" thickBot="1">
      <c r="A280" s="219" t="s">
        <v>1286</v>
      </c>
      <c r="B280" s="20"/>
      <c r="C280" s="220"/>
      <c r="D280" s="221">
        <v>0</v>
      </c>
      <c r="F280" s="21"/>
      <c r="G280" s="21"/>
    </row>
    <row r="281" spans="1:7" ht="13.5" outlineLevel="2" thickBot="1">
      <c r="A281" s="219"/>
      <c r="B281" s="354" t="s">
        <v>1262</v>
      </c>
      <c r="C281" s="220"/>
      <c r="D281" s="221"/>
      <c r="F281" s="21"/>
      <c r="G281" s="21"/>
    </row>
    <row r="282" spans="1:7" s="338" customFormat="1" ht="13.5" outlineLevel="1" thickBot="1">
      <c r="A282" s="219" t="s">
        <v>1115</v>
      </c>
      <c r="B282" s="20"/>
      <c r="C282" s="223" t="s">
        <v>438</v>
      </c>
      <c r="D282" s="224">
        <f>SUBTOTAL(9,D280:D280)</f>
        <v>0</v>
      </c>
    </row>
    <row r="283" spans="1:7" s="338" customFormat="1" ht="13.5" outlineLevel="1" thickBot="1">
      <c r="A283" s="348" t="s">
        <v>1287</v>
      </c>
      <c r="B283" s="349"/>
      <c r="C283" s="350"/>
      <c r="D283" s="345"/>
    </row>
    <row r="284" spans="1:7" ht="13.5" outlineLevel="2" thickBot="1">
      <c r="A284" s="219"/>
      <c r="B284" s="20" t="s">
        <v>1288</v>
      </c>
      <c r="C284" s="360"/>
      <c r="D284" s="221">
        <f>0.1*Mob_Estimate!D36</f>
        <v>22479.025000000001</v>
      </c>
      <c r="F284" s="21"/>
      <c r="G284" s="21"/>
    </row>
    <row r="285" spans="1:7" ht="13.5" outlineLevel="2" thickBot="1">
      <c r="A285" s="20"/>
      <c r="B285" s="20"/>
      <c r="C285" s="220"/>
      <c r="D285" s="221"/>
      <c r="F285" s="21"/>
      <c r="G285" s="21"/>
    </row>
    <row r="286" spans="1:7" ht="13.5" outlineLevel="2" thickBot="1">
      <c r="A286" s="219"/>
      <c r="B286" s="20"/>
      <c r="C286" s="220"/>
      <c r="D286" s="221"/>
      <c r="F286" s="21"/>
      <c r="G286" s="21"/>
    </row>
    <row r="287" spans="1:7" s="338" customFormat="1" ht="13.5" outlineLevel="1" thickBot="1">
      <c r="A287" s="20" t="s">
        <v>1283</v>
      </c>
      <c r="C287" s="361" t="s">
        <v>438</v>
      </c>
      <c r="D287" s="224">
        <f>SUBTOTAL(9,D284:D286)</f>
        <v>22479.025000000001</v>
      </c>
    </row>
    <row r="288" spans="1:7" ht="13.5" thickBot="1">
      <c r="A288" s="348" t="s">
        <v>1289</v>
      </c>
      <c r="B288" s="349"/>
      <c r="C288" s="350"/>
      <c r="D288" s="345"/>
      <c r="F288" s="21"/>
      <c r="G288" s="21"/>
    </row>
    <row r="289" spans="1:7" ht="13.5" thickBot="1">
      <c r="A289" s="219" t="s">
        <v>1290</v>
      </c>
      <c r="B289" s="20"/>
      <c r="C289" s="220"/>
      <c r="D289" s="221"/>
      <c r="F289" s="21"/>
      <c r="G289" s="21"/>
    </row>
    <row r="290" spans="1:7" ht="13.5" thickBot="1">
      <c r="A290" s="219" t="s">
        <v>1291</v>
      </c>
      <c r="B290" s="20"/>
      <c r="C290" s="220"/>
      <c r="D290" s="221">
        <f>1*1.3*30000/15</f>
        <v>2600</v>
      </c>
      <c r="F290" s="21"/>
      <c r="G290" s="21"/>
    </row>
    <row r="291" spans="1:7" ht="13.5" thickBot="1">
      <c r="A291" s="219" t="s">
        <v>1292</v>
      </c>
      <c r="B291" s="20"/>
      <c r="C291" s="220"/>
      <c r="D291" s="221"/>
    </row>
    <row r="292" spans="1:7" ht="13.5" thickBot="1">
      <c r="A292" s="219" t="s">
        <v>1293</v>
      </c>
      <c r="B292" s="20"/>
      <c r="C292" s="220"/>
      <c r="D292" s="221">
        <v>0</v>
      </c>
    </row>
    <row r="293" spans="1:7" ht="13.5" thickBot="1">
      <c r="A293" s="219" t="s">
        <v>1294</v>
      </c>
      <c r="B293" s="20"/>
      <c r="C293" s="220"/>
      <c r="D293" s="221"/>
    </row>
    <row r="294" spans="1:7" ht="13.5" thickBot="1">
      <c r="A294" s="219" t="s">
        <v>1295</v>
      </c>
      <c r="B294" s="20"/>
      <c r="C294" s="220"/>
      <c r="D294" s="221">
        <f>1*2*1.5*1*180</f>
        <v>540</v>
      </c>
    </row>
    <row r="295" spans="1:7" ht="13.5" thickBot="1">
      <c r="A295" s="219" t="s">
        <v>1296</v>
      </c>
      <c r="B295" s="20"/>
      <c r="C295" s="220"/>
      <c r="D295" s="221"/>
    </row>
    <row r="296" spans="1:7" ht="13.5" thickBot="1">
      <c r="A296" s="219" t="s">
        <v>1297</v>
      </c>
      <c r="B296" s="20"/>
      <c r="C296" s="220"/>
      <c r="D296" s="221">
        <v>0</v>
      </c>
    </row>
    <row r="297" spans="1:7" ht="13.5" thickBot="1">
      <c r="A297" s="219" t="s">
        <v>1298</v>
      </c>
      <c r="B297" s="20"/>
      <c r="C297" s="220"/>
      <c r="D297" s="221"/>
    </row>
    <row r="298" spans="1:7" ht="13.5" thickBot="1">
      <c r="A298" s="219" t="s">
        <v>1299</v>
      </c>
      <c r="B298" s="20"/>
      <c r="C298" s="220"/>
      <c r="D298" s="221">
        <v>0</v>
      </c>
    </row>
    <row r="299" spans="1:7" ht="13.5" thickBot="1">
      <c r="A299" s="219"/>
      <c r="B299" s="20"/>
      <c r="C299" s="360"/>
      <c r="D299" s="221"/>
    </row>
    <row r="300" spans="1:7" ht="13.5" thickBot="1">
      <c r="A300" s="362" t="s">
        <v>1300</v>
      </c>
      <c r="B300" s="20"/>
      <c r="C300" s="220"/>
      <c r="D300" s="221"/>
    </row>
    <row r="301" spans="1:7" ht="13.5" thickBot="1">
      <c r="A301" s="363" t="s">
        <v>1301</v>
      </c>
      <c r="B301" s="364"/>
      <c r="C301" s="361" t="s">
        <v>438</v>
      </c>
      <c r="D301" s="224">
        <f>SUM(D290:D299)</f>
        <v>3140</v>
      </c>
    </row>
    <row r="302" spans="1:7" ht="13.5" thickBot="1">
      <c r="A302" s="348"/>
      <c r="B302" s="349"/>
      <c r="C302" s="350"/>
      <c r="D302" s="345"/>
    </row>
    <row r="303" spans="1:7">
      <c r="D303" s="365"/>
    </row>
    <row r="304" spans="1:7">
      <c r="D304" s="22"/>
    </row>
    <row r="305" spans="1:1">
      <c r="A305" s="21" t="s">
        <v>268</v>
      </c>
    </row>
    <row r="306" spans="1:1">
      <c r="A306" s="21" t="s">
        <v>0</v>
      </c>
    </row>
    <row r="701" spans="2:2">
      <c r="B701" s="21" t="s">
        <v>1</v>
      </c>
    </row>
    <row r="877" spans="1:4">
      <c r="A877" s="366"/>
    </row>
    <row r="878" spans="1:4">
      <c r="B878" s="366"/>
      <c r="C878" s="366"/>
      <c r="D878" s="366"/>
    </row>
  </sheetData>
  <dataConsolidate/>
  <printOptions horizontalCentered="1"/>
  <pageMargins left="0.75" right="0.75" top="1" bottom="1" header="0.5" footer="0.5"/>
  <pageSetup scale="75" firstPageNumber="26" fitToHeight="5" orientation="portrait" horizontalDpi="4294967292" verticalDpi="4294967292" r:id="rId1"/>
  <headerFooter alignWithMargins="0">
    <oddHeader>&amp;CENRON PROPRIETARY 
AND  CONFIDENTIAL INFORMATION</oddHeader>
    <oddFooter>&amp;LScot Chambers
&amp;D&amp;CPage _____&amp;R&amp;F
&amp;A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3"/>
  <sheetViews>
    <sheetView showGridLines="0" zoomScale="75" workbookViewId="0">
      <selection sqref="A1:L1"/>
    </sheetView>
  </sheetViews>
  <sheetFormatPr defaultRowHeight="15" customHeight="1"/>
  <cols>
    <col min="1" max="1" width="35.5703125" customWidth="1"/>
    <col min="2" max="3" width="9.7109375" customWidth="1"/>
    <col min="4" max="4" width="3.42578125" customWidth="1"/>
    <col min="5" max="5" width="13.28515625" customWidth="1"/>
    <col min="6" max="6" width="3.28515625" customWidth="1"/>
    <col min="7" max="7" width="13.42578125" customWidth="1"/>
    <col min="8" max="8" width="3.42578125" customWidth="1"/>
    <col min="9" max="9" width="13" customWidth="1"/>
    <col min="10" max="10" width="3.42578125" customWidth="1"/>
    <col min="11" max="11" width="12.7109375" customWidth="1"/>
    <col min="12" max="12" width="13.5703125" customWidth="1"/>
  </cols>
  <sheetData>
    <row r="1" spans="1:12" ht="15" customHeight="1">
      <c r="A1" s="701" t="str">
        <f>Scope!A1</f>
        <v>St Peter, Illinois (Ameren) Power Project, Rev 0</v>
      </c>
      <c r="B1" s="701"/>
      <c r="C1" s="701"/>
      <c r="D1" s="701"/>
      <c r="E1" s="701"/>
      <c r="F1" s="701"/>
      <c r="G1" s="701"/>
      <c r="H1" s="701"/>
      <c r="I1" s="701"/>
      <c r="J1" s="701"/>
      <c r="K1" s="701"/>
      <c r="L1" s="701"/>
    </row>
    <row r="2" spans="1:12" ht="15" customHeight="1">
      <c r="A2" s="701" t="s">
        <v>736</v>
      </c>
      <c r="B2" s="701"/>
      <c r="C2" s="701"/>
      <c r="D2" s="701"/>
      <c r="E2" s="701"/>
      <c r="F2" s="701"/>
      <c r="G2" s="701"/>
      <c r="H2" s="701"/>
      <c r="I2" s="701"/>
      <c r="J2" s="701"/>
      <c r="K2" s="701"/>
      <c r="L2" s="701"/>
    </row>
    <row r="5" spans="1:12" ht="15" hidden="1" customHeight="1">
      <c r="A5" s="477" t="s">
        <v>653</v>
      </c>
    </row>
    <row r="6" spans="1:12" ht="15" hidden="1" customHeight="1">
      <c r="A6" s="477" t="s">
        <v>654</v>
      </c>
    </row>
    <row r="7" spans="1:12" ht="15" customHeight="1" thickBot="1">
      <c r="A7" s="477"/>
    </row>
    <row r="8" spans="1:12" ht="15" customHeight="1" thickBot="1">
      <c r="A8" s="478"/>
      <c r="B8" s="479"/>
      <c r="C8" s="480" t="s">
        <v>655</v>
      </c>
      <c r="D8" s="481"/>
      <c r="E8" s="482">
        <f>'[1]Project Config. Inputs'!$G$28</f>
        <v>18.264840182648399</v>
      </c>
      <c r="F8" s="481"/>
      <c r="G8" s="483" t="s">
        <v>656</v>
      </c>
      <c r="H8" s="484"/>
      <c r="I8" s="485">
        <f>(E8/100)*8760</f>
        <v>1599.9999999999998</v>
      </c>
    </row>
    <row r="10" spans="1:12" ht="15" hidden="1" customHeight="1">
      <c r="A10" s="486" t="s">
        <v>657</v>
      </c>
    </row>
    <row r="11" spans="1:12" ht="15" hidden="1" customHeight="1" thickBot="1"/>
    <row r="12" spans="1:12" ht="15" hidden="1" customHeight="1">
      <c r="A12" s="487" t="s">
        <v>658</v>
      </c>
      <c r="B12" s="488"/>
      <c r="C12" s="489"/>
      <c r="D12" s="490"/>
      <c r="E12" s="490" t="s">
        <v>659</v>
      </c>
      <c r="F12" s="490"/>
      <c r="G12" s="490" t="s">
        <v>660</v>
      </c>
      <c r="H12" s="490"/>
      <c r="I12" s="490" t="s">
        <v>661</v>
      </c>
      <c r="J12" s="490"/>
      <c r="K12" s="491" t="s">
        <v>662</v>
      </c>
      <c r="L12" s="492" t="s">
        <v>663</v>
      </c>
    </row>
    <row r="13" spans="1:12" ht="15" hidden="1" customHeight="1">
      <c r="A13" s="493" t="s">
        <v>662</v>
      </c>
      <c r="B13" s="494" t="s">
        <v>664</v>
      </c>
      <c r="C13" s="495" t="s">
        <v>665</v>
      </c>
      <c r="D13" s="496" t="s">
        <v>299</v>
      </c>
      <c r="E13" s="496" t="s">
        <v>666</v>
      </c>
      <c r="F13" s="496" t="s">
        <v>667</v>
      </c>
      <c r="G13" s="496" t="s">
        <v>668</v>
      </c>
      <c r="H13" s="496" t="s">
        <v>299</v>
      </c>
      <c r="I13" s="496" t="s">
        <v>669</v>
      </c>
      <c r="J13" s="496" t="s">
        <v>667</v>
      </c>
      <c r="K13" s="497" t="s">
        <v>670</v>
      </c>
      <c r="L13" s="498" t="s">
        <v>979</v>
      </c>
    </row>
    <row r="14" spans="1:12" ht="15" hidden="1" customHeight="1" thickBot="1">
      <c r="A14" s="499"/>
      <c r="B14" s="500"/>
      <c r="C14" s="501"/>
      <c r="D14" s="502"/>
      <c r="E14" s="503" t="s">
        <v>752</v>
      </c>
      <c r="F14" s="503"/>
      <c r="G14" s="503" t="s">
        <v>752</v>
      </c>
      <c r="H14" s="502"/>
      <c r="I14" s="503" t="s">
        <v>671</v>
      </c>
      <c r="J14" s="502"/>
      <c r="K14" s="504" t="s">
        <v>31</v>
      </c>
      <c r="L14" s="505" t="s">
        <v>664</v>
      </c>
    </row>
    <row r="15" spans="1:12" ht="15" hidden="1" customHeight="1" thickBot="1">
      <c r="A15" s="506"/>
      <c r="B15" s="507"/>
      <c r="C15" s="508"/>
      <c r="D15" s="507"/>
      <c r="E15" s="506"/>
      <c r="F15" s="506"/>
      <c r="G15" s="506"/>
      <c r="H15" s="507"/>
      <c r="I15" s="506"/>
      <c r="J15" s="507"/>
      <c r="K15" s="506"/>
      <c r="L15" s="506"/>
    </row>
    <row r="16" spans="1:12" ht="15" hidden="1" customHeight="1" thickTop="1" thickBot="1">
      <c r="A16" s="509" t="s">
        <v>672</v>
      </c>
      <c r="B16" s="510"/>
      <c r="C16" s="511"/>
      <c r="D16" s="512"/>
      <c r="E16" s="513"/>
      <c r="F16" s="179"/>
      <c r="G16" s="179"/>
      <c r="H16" s="179"/>
      <c r="I16" s="179"/>
      <c r="J16" s="179"/>
      <c r="K16" s="179"/>
      <c r="L16" s="278"/>
    </row>
    <row r="17" spans="1:12" ht="15" hidden="1" customHeight="1" thickTop="1">
      <c r="A17" s="514" t="s">
        <v>673</v>
      </c>
      <c r="B17" s="515">
        <f>'[1]Unit Costs'!$C$16</f>
        <v>0.14000000000000001</v>
      </c>
      <c r="C17" s="516" t="s">
        <v>674</v>
      </c>
      <c r="D17" s="517" t="s">
        <v>299</v>
      </c>
      <c r="E17" s="518">
        <v>1.25</v>
      </c>
      <c r="F17" s="519" t="s">
        <v>667</v>
      </c>
      <c r="G17" s="520">
        <f>B17*E17</f>
        <v>0.17500000000000002</v>
      </c>
      <c r="H17" s="519" t="s">
        <v>299</v>
      </c>
      <c r="I17" s="521">
        <f>IF('[1]Project Config. Inputs'!$G$35=1,0,'[1]Project Config. Inputs'!$G$36*500*$I$8*1/1000000)</f>
        <v>0</v>
      </c>
      <c r="J17" s="519" t="s">
        <v>667</v>
      </c>
      <c r="K17" s="522">
        <f>G17*I17</f>
        <v>0</v>
      </c>
      <c r="L17" s="523"/>
    </row>
    <row r="18" spans="1:12" ht="15" hidden="1" customHeight="1">
      <c r="A18" s="524" t="s">
        <v>675</v>
      </c>
      <c r="B18" s="525">
        <f>'[1]Unit Costs'!$C$16</f>
        <v>0.14000000000000001</v>
      </c>
      <c r="C18" s="526" t="s">
        <v>674</v>
      </c>
      <c r="D18" s="527" t="s">
        <v>299</v>
      </c>
      <c r="E18" s="528">
        <v>2</v>
      </c>
      <c r="F18" s="529" t="s">
        <v>667</v>
      </c>
      <c r="G18" s="520">
        <f>B18*E18</f>
        <v>0.28000000000000003</v>
      </c>
      <c r="H18" s="529" t="s">
        <v>299</v>
      </c>
      <c r="I18" s="521">
        <f>IF('[1]Project Config. Inputs'!$G$35=1,0,'[1]Project Config. Inputs'!$G$36*500*$I$8*1/1000000)</f>
        <v>0</v>
      </c>
      <c r="J18" s="530" t="s">
        <v>667</v>
      </c>
      <c r="K18" s="522">
        <f>G18*I18</f>
        <v>0</v>
      </c>
      <c r="L18" s="523"/>
    </row>
    <row r="19" spans="1:12" ht="15" hidden="1" customHeight="1">
      <c r="A19" s="514" t="s">
        <v>676</v>
      </c>
      <c r="B19" s="531">
        <f>'[1]Unit Costs'!$C$21</f>
        <v>1</v>
      </c>
      <c r="C19" s="532" t="s">
        <v>677</v>
      </c>
      <c r="D19" s="533" t="s">
        <v>299</v>
      </c>
      <c r="E19" s="534">
        <v>1.25</v>
      </c>
      <c r="F19" s="535" t="s">
        <v>667</v>
      </c>
      <c r="G19" s="520">
        <f>B19*E19</f>
        <v>1.25</v>
      </c>
      <c r="H19" s="536" t="s">
        <v>299</v>
      </c>
      <c r="I19" s="521">
        <f>IF('[1]Project Config. Inputs'!$G$35=1,0,'[1]Project Config. Inputs'!$G$36*500*$I$8*1/1000000)</f>
        <v>0</v>
      </c>
      <c r="J19" s="535" t="s">
        <v>667</v>
      </c>
      <c r="K19" s="522">
        <f>G19*I19</f>
        <v>0</v>
      </c>
      <c r="L19" s="278"/>
    </row>
    <row r="20" spans="1:12" ht="15" hidden="1" customHeight="1" thickBot="1">
      <c r="A20" s="514" t="s">
        <v>678</v>
      </c>
      <c r="B20" s="531">
        <f>'[1]Unit Costs'!$C$13</f>
        <v>0.03</v>
      </c>
      <c r="C20" s="532" t="s">
        <v>679</v>
      </c>
      <c r="D20" s="519" t="s">
        <v>299</v>
      </c>
      <c r="E20" s="537"/>
      <c r="F20" s="538" t="s">
        <v>667</v>
      </c>
      <c r="G20" s="539" t="s">
        <v>680</v>
      </c>
      <c r="H20" s="519" t="s">
        <v>299</v>
      </c>
      <c r="I20" s="521">
        <f>IF('[1]Project Config. Inputs'!$G$35=1,0,'[1]Project Config. Inputs'!$G$36*500*$I$8*1/1000000)</f>
        <v>0</v>
      </c>
      <c r="J20" s="538" t="s">
        <v>667</v>
      </c>
      <c r="K20" s="540">
        <v>0</v>
      </c>
      <c r="L20" s="278"/>
    </row>
    <row r="21" spans="1:12" ht="15" hidden="1" customHeight="1" thickTop="1" thickBot="1">
      <c r="A21" s="278"/>
      <c r="B21" s="541"/>
      <c r="C21" s="542"/>
      <c r="D21" s="179"/>
      <c r="E21" s="543" t="s">
        <v>681</v>
      </c>
      <c r="F21" s="544"/>
      <c r="G21" s="544"/>
      <c r="H21" s="544"/>
      <c r="I21" s="544"/>
      <c r="J21" s="544"/>
      <c r="K21" s="545"/>
      <c r="L21" s="546"/>
    </row>
    <row r="22" spans="1:12" ht="15" customHeight="1" thickBot="1"/>
    <row r="23" spans="1:12" ht="15" customHeight="1" thickTop="1" thickBot="1">
      <c r="A23" s="486" t="s">
        <v>682</v>
      </c>
      <c r="J23" s="547" t="s">
        <v>683</v>
      </c>
      <c r="K23" s="548">
        <f>'[1]Project Config. Inputs'!$G$42</f>
        <v>3</v>
      </c>
    </row>
    <row r="24" spans="1:12" ht="15" customHeight="1" thickTop="1" thickBot="1"/>
    <row r="25" spans="1:12" ht="15" customHeight="1">
      <c r="A25" s="487" t="s">
        <v>658</v>
      </c>
      <c r="B25" s="488"/>
      <c r="C25" s="489"/>
      <c r="D25" s="490"/>
      <c r="E25" s="490" t="s">
        <v>659</v>
      </c>
      <c r="F25" s="490"/>
      <c r="G25" s="490" t="s">
        <v>660</v>
      </c>
      <c r="H25" s="490"/>
      <c r="I25" s="490" t="s">
        <v>661</v>
      </c>
      <c r="J25" s="490"/>
      <c r="K25" s="491" t="s">
        <v>662</v>
      </c>
      <c r="L25" s="492" t="s">
        <v>684</v>
      </c>
    </row>
    <row r="26" spans="1:12" ht="15" customHeight="1">
      <c r="A26" s="493" t="s">
        <v>662</v>
      </c>
      <c r="B26" s="494" t="s">
        <v>664</v>
      </c>
      <c r="C26" s="495" t="s">
        <v>665</v>
      </c>
      <c r="D26" s="496" t="s">
        <v>299</v>
      </c>
      <c r="E26" s="496" t="s">
        <v>666</v>
      </c>
      <c r="F26" s="496" t="s">
        <v>667</v>
      </c>
      <c r="G26" s="496" t="s">
        <v>668</v>
      </c>
      <c r="H26" s="496" t="s">
        <v>299</v>
      </c>
      <c r="I26" s="496" t="s">
        <v>669</v>
      </c>
      <c r="J26" s="496" t="s">
        <v>667</v>
      </c>
      <c r="K26" s="497" t="s">
        <v>670</v>
      </c>
      <c r="L26" s="498" t="s">
        <v>979</v>
      </c>
    </row>
    <row r="27" spans="1:12" ht="15" customHeight="1" thickBot="1">
      <c r="A27" s="499"/>
      <c r="B27" s="500"/>
      <c r="C27" s="501"/>
      <c r="D27" s="502"/>
      <c r="E27" s="503" t="s">
        <v>752</v>
      </c>
      <c r="F27" s="503"/>
      <c r="G27" s="503" t="s">
        <v>752</v>
      </c>
      <c r="H27" s="502"/>
      <c r="I27" s="503" t="s">
        <v>671</v>
      </c>
      <c r="J27" s="502"/>
      <c r="K27" s="504" t="s">
        <v>31</v>
      </c>
      <c r="L27" s="505" t="s">
        <v>664</v>
      </c>
    </row>
    <row r="28" spans="1:12" ht="15" customHeight="1" thickBot="1">
      <c r="A28" s="506"/>
      <c r="B28" s="507"/>
      <c r="C28" s="508"/>
      <c r="D28" s="507"/>
      <c r="E28" s="506"/>
      <c r="F28" s="506"/>
      <c r="G28" s="506"/>
      <c r="H28" s="507"/>
      <c r="I28" s="506"/>
      <c r="J28" s="507"/>
      <c r="K28" s="506"/>
      <c r="L28" s="506"/>
    </row>
    <row r="29" spans="1:12" ht="15" customHeight="1" thickTop="1" thickBot="1">
      <c r="A29" s="509" t="s">
        <v>672</v>
      </c>
      <c r="B29" s="510"/>
      <c r="C29" s="511"/>
      <c r="D29" s="512"/>
      <c r="E29" s="513"/>
      <c r="F29" s="179"/>
      <c r="G29" s="179"/>
      <c r="H29" s="179"/>
      <c r="I29" s="179"/>
      <c r="J29" s="179"/>
      <c r="K29" s="179"/>
      <c r="L29" s="278"/>
    </row>
    <row r="30" spans="1:12" ht="15" customHeight="1" thickTop="1">
      <c r="A30" s="514" t="s">
        <v>673</v>
      </c>
      <c r="B30" s="515">
        <f>'[1]Unit Costs'!$C$16</f>
        <v>0.14000000000000001</v>
      </c>
      <c r="C30" s="516" t="s">
        <v>674</v>
      </c>
      <c r="D30" s="517" t="s">
        <v>299</v>
      </c>
      <c r="E30" s="518">
        <v>1.25</v>
      </c>
      <c r="F30" s="519" t="s">
        <v>667</v>
      </c>
      <c r="G30" s="520">
        <f>B30*E30</f>
        <v>0.17500000000000002</v>
      </c>
      <c r="H30" s="519" t="s">
        <v>299</v>
      </c>
      <c r="I30" s="521">
        <f>IF('[1]Project Config. Inputs'!$G$35=1,'[1]Project Config. Inputs'!$G$45*500*$I$8*(1/1000000),0)</f>
        <v>163.19999999999996</v>
      </c>
      <c r="J30" s="519" t="s">
        <v>667</v>
      </c>
      <c r="K30" s="522">
        <f>G30*I30</f>
        <v>28.559999999999995</v>
      </c>
      <c r="L30" s="523"/>
    </row>
    <row r="31" spans="1:12" ht="15" customHeight="1">
      <c r="A31" s="524" t="s">
        <v>675</v>
      </c>
      <c r="B31" s="549">
        <f>'[1]Unit Costs'!$C$16</f>
        <v>0.14000000000000001</v>
      </c>
      <c r="C31" s="550" t="s">
        <v>674</v>
      </c>
      <c r="D31" s="527" t="s">
        <v>299</v>
      </c>
      <c r="E31" s="528">
        <v>2</v>
      </c>
      <c r="F31" s="529" t="s">
        <v>667</v>
      </c>
      <c r="G31" s="520">
        <f>B31*E31</f>
        <v>0.28000000000000003</v>
      </c>
      <c r="H31" s="529" t="s">
        <v>299</v>
      </c>
      <c r="I31" s="521">
        <f>IF('[1]Project Config. Inputs'!$G$35=1,'[1]Project Config. Inputs'!$G$45*500*$I$8*(1/1000000),0)</f>
        <v>163.19999999999996</v>
      </c>
      <c r="J31" s="530" t="s">
        <v>667</v>
      </c>
      <c r="K31" s="522">
        <f>G31*I31</f>
        <v>45.695999999999991</v>
      </c>
      <c r="L31" s="523"/>
    </row>
    <row r="32" spans="1:12" ht="15" customHeight="1">
      <c r="A32" s="551" t="s">
        <v>676</v>
      </c>
      <c r="B32" s="552">
        <v>1</v>
      </c>
      <c r="C32" s="532" t="s">
        <v>677</v>
      </c>
      <c r="D32" s="533" t="s">
        <v>299</v>
      </c>
      <c r="E32" s="534">
        <v>1.25</v>
      </c>
      <c r="F32" s="535" t="s">
        <v>667</v>
      </c>
      <c r="G32" s="520">
        <f>B32*E32</f>
        <v>1.25</v>
      </c>
      <c r="H32" s="536" t="s">
        <v>299</v>
      </c>
      <c r="I32" s="521">
        <f>IF('[1]Project Config. Inputs'!$G$35=1,'[1]Project Config. Inputs'!$G$45*500*$I$8*(1/1000000),0)</f>
        <v>163.19999999999996</v>
      </c>
      <c r="J32" s="535" t="s">
        <v>667</v>
      </c>
      <c r="K32" s="522">
        <f>G32*I32</f>
        <v>203.99999999999994</v>
      </c>
      <c r="L32" s="278"/>
    </row>
    <row r="33" spans="1:12" ht="15" customHeight="1" thickBot="1">
      <c r="A33" s="514" t="s">
        <v>678</v>
      </c>
      <c r="B33" s="515">
        <f>'[1]Unit Costs'!$C$13</f>
        <v>0.03</v>
      </c>
      <c r="C33" s="553" t="s">
        <v>679</v>
      </c>
      <c r="D33" s="519" t="s">
        <v>299</v>
      </c>
      <c r="E33" s="537"/>
      <c r="F33" s="538" t="s">
        <v>667</v>
      </c>
      <c r="G33" s="539" t="s">
        <v>680</v>
      </c>
      <c r="H33" s="519" t="s">
        <v>299</v>
      </c>
      <c r="I33" s="521">
        <f>IF('[1]Project Config. Inputs'!$G$35=1,'[1]Project Config. Inputs'!$G$45*500*$I$8*(1/1000000),0)</f>
        <v>163.19999999999996</v>
      </c>
      <c r="J33" s="538" t="s">
        <v>667</v>
      </c>
      <c r="K33" s="540">
        <v>0</v>
      </c>
      <c r="L33" s="278"/>
    </row>
    <row r="34" spans="1:12" ht="15" customHeight="1" thickTop="1" thickBot="1">
      <c r="A34" s="278"/>
      <c r="B34" s="541"/>
      <c r="C34" s="542"/>
      <c r="D34" s="179"/>
      <c r="E34" s="543" t="s">
        <v>681</v>
      </c>
      <c r="F34" s="544"/>
      <c r="G34" s="544"/>
      <c r="H34" s="544"/>
      <c r="I34" s="544"/>
      <c r="J34" s="544"/>
      <c r="K34" s="545"/>
      <c r="L34" s="546">
        <f>K32</f>
        <v>203.99999999999994</v>
      </c>
    </row>
    <row r="35" spans="1:12" ht="15" customHeight="1" thickTop="1" thickBot="1"/>
    <row r="36" spans="1:12" ht="15" customHeight="1" thickTop="1" thickBot="1">
      <c r="A36" s="554" t="s">
        <v>685</v>
      </c>
      <c r="B36" s="555"/>
      <c r="C36" s="555"/>
      <c r="D36" s="555"/>
      <c r="E36" s="556"/>
    </row>
    <row r="37" spans="1:12" ht="15" customHeight="1" thickTop="1">
      <c r="A37" s="557" t="s">
        <v>686</v>
      </c>
      <c r="B37" s="558">
        <f>'[1]Unit Costs'!$C$30</f>
        <v>2.2999999999999998</v>
      </c>
      <c r="C37" s="516" t="s">
        <v>674</v>
      </c>
      <c r="D37" s="527" t="s">
        <v>299</v>
      </c>
      <c r="E37" s="559">
        <v>10</v>
      </c>
      <c r="F37" s="529" t="s">
        <v>667</v>
      </c>
      <c r="G37" s="520">
        <f>B37*E37</f>
        <v>23</v>
      </c>
      <c r="H37" s="529" t="s">
        <v>299</v>
      </c>
      <c r="I37" s="521">
        <f>IF('[1]Project Config. Inputs'!$G$35=1,'[1]Project Config. Inputs'!$G$45*500*$I$8*(1/1000000),0)</f>
        <v>163.19999999999996</v>
      </c>
      <c r="J37" s="529" t="s">
        <v>667</v>
      </c>
      <c r="K37" s="560">
        <f>G37*I37</f>
        <v>3753.599999999999</v>
      </c>
      <c r="L37" s="115"/>
    </row>
    <row r="38" spans="1:12" ht="15" customHeight="1">
      <c r="A38" s="561" t="s">
        <v>687</v>
      </c>
      <c r="B38" s="562">
        <f>'[1]Unit Costs'!$C$31</f>
        <v>2.5</v>
      </c>
      <c r="C38" s="563" t="s">
        <v>674</v>
      </c>
      <c r="D38" s="533" t="s">
        <v>299</v>
      </c>
      <c r="E38" s="564">
        <v>5</v>
      </c>
      <c r="F38" s="535" t="s">
        <v>667</v>
      </c>
      <c r="G38" s="520">
        <f>B38*E38</f>
        <v>12.5</v>
      </c>
      <c r="H38" s="533" t="s">
        <v>299</v>
      </c>
      <c r="I38" s="521">
        <f>IF('[1]Project Config. Inputs'!$G$35=1,'[1]Project Config. Inputs'!$G$45*500*$I$8*(1/1000000),0)</f>
        <v>163.19999999999996</v>
      </c>
      <c r="J38" s="535" t="s">
        <v>667</v>
      </c>
      <c r="K38" s="560">
        <f>G38*I38</f>
        <v>2039.9999999999995</v>
      </c>
      <c r="L38" s="115"/>
    </row>
    <row r="39" spans="1:12" ht="15" customHeight="1" thickBot="1">
      <c r="A39" s="565" t="s">
        <v>688</v>
      </c>
      <c r="B39" s="562">
        <f>'[1]Unit Costs'!$C$23</f>
        <v>4.2999999999999997E-2</v>
      </c>
      <c r="C39" s="566" t="str">
        <f>'[1]Unit Costs'!$D$23</f>
        <v>/lb.</v>
      </c>
      <c r="D39" s="527" t="s">
        <v>299</v>
      </c>
      <c r="E39" s="567">
        <v>150</v>
      </c>
      <c r="F39" s="529" t="s">
        <v>667</v>
      </c>
      <c r="G39" s="520">
        <f>B39*E39</f>
        <v>6.4499999999999993</v>
      </c>
      <c r="H39" s="529" t="s">
        <v>299</v>
      </c>
      <c r="I39" s="521">
        <f>IF('[1]Project Config. Inputs'!$G$35=1,'[1]Project Config. Inputs'!$G$45*500*$I$8*(1/1000000),0)</f>
        <v>163.19999999999996</v>
      </c>
      <c r="J39" s="529" t="s">
        <v>667</v>
      </c>
      <c r="K39" s="560">
        <f>G39*I39</f>
        <v>1052.6399999999996</v>
      </c>
    </row>
    <row r="40" spans="1:12" ht="15" customHeight="1" thickTop="1" thickBot="1">
      <c r="E40" s="568" t="s">
        <v>689</v>
      </c>
      <c r="F40" s="569"/>
      <c r="G40" s="569"/>
      <c r="H40" s="569"/>
      <c r="I40" s="569"/>
      <c r="J40" s="569"/>
      <c r="K40" s="570"/>
      <c r="L40" s="571">
        <f>K37+K38+K39</f>
        <v>6846.239999999998</v>
      </c>
    </row>
    <row r="41" spans="1:12" ht="15" customHeight="1" thickTop="1" thickBot="1"/>
    <row r="42" spans="1:12" ht="15" customHeight="1" thickTop="1" thickBot="1">
      <c r="E42" s="572" t="s">
        <v>690</v>
      </c>
      <c r="F42" s="573"/>
      <c r="G42" s="573"/>
      <c r="H42" s="573"/>
      <c r="I42" s="573"/>
      <c r="J42" s="573"/>
      <c r="K42" s="574"/>
      <c r="L42" s="575">
        <f>IF(L21=0,L34+L40,L21+L40)</f>
        <v>7050.239999999998</v>
      </c>
    </row>
    <row r="43" spans="1:12" ht="15" customHeight="1" thickTop="1"/>
  </sheetData>
  <mergeCells count="2">
    <mergeCell ref="A1:L1"/>
    <mergeCell ref="A2:L2"/>
  </mergeCells>
  <pageMargins left="0.75" right="0.75" top="1" bottom="1" header="0.5" footer="0.5"/>
  <pageSetup scale="67" orientation="portrait" horizontalDpi="300" verticalDpi="300" r:id="rId1"/>
  <headerFooter alignWithMargins="0">
    <oddFooter>&amp;LScot Chambers
&amp;D&amp;CPage _____&amp;R&amp;F
&amp;A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showGridLines="0" zoomScale="75" workbookViewId="0">
      <selection sqref="A1:L1"/>
    </sheetView>
  </sheetViews>
  <sheetFormatPr defaultRowHeight="15" customHeight="1"/>
  <cols>
    <col min="1" max="1" width="31.7109375" customWidth="1"/>
    <col min="2" max="2" width="9.7109375" customWidth="1"/>
    <col min="3" max="3" width="10.7109375" customWidth="1"/>
    <col min="4" max="4" width="3.28515625" customWidth="1"/>
    <col min="5" max="5" width="11.7109375" customWidth="1"/>
    <col min="6" max="6" width="3.28515625" customWidth="1"/>
    <col min="7" max="7" width="11.7109375" customWidth="1"/>
    <col min="8" max="8" width="3.28515625" customWidth="1"/>
    <col min="9" max="9" width="10.140625" customWidth="1"/>
    <col min="10" max="10" width="10.85546875" customWidth="1"/>
    <col min="11" max="12" width="12.7109375" customWidth="1"/>
  </cols>
  <sheetData>
    <row r="1" spans="1:13" ht="15" customHeight="1">
      <c r="A1" s="701" t="str">
        <f>Scope!A1</f>
        <v>St Peter, Illinois (Ameren) Power Project, Rev 0</v>
      </c>
      <c r="B1" s="701"/>
      <c r="C1" s="701"/>
      <c r="D1" s="701"/>
      <c r="E1" s="701"/>
      <c r="F1" s="701"/>
      <c r="G1" s="701"/>
      <c r="H1" s="701"/>
      <c r="I1" s="701"/>
      <c r="J1" s="701"/>
      <c r="K1" s="701"/>
      <c r="L1" s="701"/>
    </row>
    <row r="2" spans="1:13" ht="15" customHeight="1">
      <c r="A2" s="701" t="s">
        <v>735</v>
      </c>
      <c r="B2" s="701"/>
      <c r="C2" s="701"/>
      <c r="D2" s="701"/>
      <c r="E2" s="701"/>
      <c r="F2" s="701"/>
      <c r="G2" s="701"/>
      <c r="H2" s="701"/>
      <c r="I2" s="701"/>
      <c r="J2" s="701"/>
      <c r="K2" s="701"/>
      <c r="L2" s="701"/>
    </row>
    <row r="4" spans="1:13" ht="15" customHeight="1" thickBot="1"/>
    <row r="5" spans="1:13" ht="15" customHeight="1" thickBot="1">
      <c r="B5" s="576"/>
      <c r="C5" s="577"/>
      <c r="D5" s="12"/>
      <c r="E5" s="578" t="s">
        <v>691</v>
      </c>
      <c r="F5" s="12"/>
      <c r="G5" s="579">
        <f>'[1]Project Config. Inputs'!$G$32</f>
        <v>0</v>
      </c>
      <c r="H5" s="580" t="s">
        <v>692</v>
      </c>
      <c r="I5" s="581"/>
      <c r="J5" s="12"/>
      <c r="K5" s="582" t="s">
        <v>693</v>
      </c>
      <c r="L5" s="583">
        <f>($G$5*$I$11)/1000000</f>
        <v>0</v>
      </c>
    </row>
    <row r="6" spans="1:13" ht="15" customHeight="1" thickBot="1">
      <c r="B6" s="576"/>
      <c r="C6" s="577"/>
      <c r="D6" s="12"/>
      <c r="F6" s="12"/>
      <c r="H6" s="12"/>
      <c r="J6" s="12"/>
      <c r="K6" s="584"/>
      <c r="L6" s="12"/>
    </row>
    <row r="7" spans="1:13" ht="15" customHeight="1" thickBot="1">
      <c r="B7" s="585"/>
      <c r="C7" s="586"/>
      <c r="D7" s="587"/>
      <c r="E7" s="578" t="s">
        <v>694</v>
      </c>
      <c r="F7" s="587"/>
      <c r="G7" s="588">
        <f>'[1]Project Config. Inputs'!$G$39</f>
        <v>0</v>
      </c>
      <c r="H7" s="589" t="s">
        <v>692</v>
      </c>
      <c r="I7" s="590"/>
      <c r="J7" s="587"/>
      <c r="K7" s="582" t="s">
        <v>695</v>
      </c>
      <c r="L7" s="583">
        <f>($G$7*$I$11)/1000000</f>
        <v>0</v>
      </c>
    </row>
    <row r="8" spans="1:13" ht="15" customHeight="1" thickBot="1">
      <c r="A8" s="486"/>
      <c r="B8" s="585"/>
      <c r="C8" s="586"/>
      <c r="D8" s="587"/>
      <c r="E8" s="179"/>
      <c r="F8" s="587"/>
      <c r="G8" s="591"/>
      <c r="H8" s="592"/>
      <c r="I8" s="278"/>
      <c r="J8" s="587"/>
      <c r="K8" s="593"/>
      <c r="L8" s="587"/>
    </row>
    <row r="9" spans="1:13" ht="15" customHeight="1" thickBot="1">
      <c r="A9" s="486"/>
      <c r="B9" s="585"/>
      <c r="C9" s="586"/>
      <c r="D9" s="587"/>
      <c r="E9" s="578" t="s">
        <v>696</v>
      </c>
      <c r="F9" s="587"/>
      <c r="G9" s="588">
        <f>'[1]Project Config. Inputs'!$G$56</f>
        <v>52571.428571428572</v>
      </c>
      <c r="H9" s="589" t="s">
        <v>692</v>
      </c>
      <c r="I9" s="594"/>
      <c r="J9" s="587"/>
      <c r="K9" s="582" t="s">
        <v>697</v>
      </c>
      <c r="L9" s="583">
        <f>($G$9*$I$11)/1000000</f>
        <v>84.1142857142857</v>
      </c>
    </row>
    <row r="10" spans="1:13" ht="15" customHeight="1" thickBot="1">
      <c r="A10" s="486"/>
      <c r="B10" s="585"/>
      <c r="C10" s="586"/>
      <c r="D10" s="587"/>
      <c r="E10" s="179"/>
      <c r="F10" s="587"/>
      <c r="G10" s="591"/>
      <c r="H10" s="592"/>
      <c r="I10" s="278"/>
      <c r="J10" s="587"/>
      <c r="K10" s="593"/>
      <c r="L10" s="587"/>
    </row>
    <row r="11" spans="1:13" ht="15" customHeight="1" thickBot="1">
      <c r="A11" s="478"/>
      <c r="B11" s="479"/>
      <c r="C11" s="480" t="s">
        <v>655</v>
      </c>
      <c r="D11" s="481"/>
      <c r="E11" s="482">
        <f>'[1]Project Config. Inputs'!$G$28</f>
        <v>18.264840182648399</v>
      </c>
      <c r="F11" s="481"/>
      <c r="G11" s="483" t="s">
        <v>656</v>
      </c>
      <c r="H11" s="484"/>
      <c r="I11" s="485">
        <f>(E11/100)*8760</f>
        <v>1599.9999999999998</v>
      </c>
      <c r="J11" s="481"/>
    </row>
    <row r="12" spans="1:13" ht="15" customHeight="1" thickBot="1">
      <c r="A12" s="179"/>
      <c r="B12" s="179"/>
      <c r="C12" s="542"/>
      <c r="D12" s="179"/>
      <c r="E12" s="179"/>
      <c r="F12" s="179"/>
      <c r="G12" s="179"/>
      <c r="H12" s="179"/>
      <c r="I12" s="179"/>
      <c r="J12" s="179"/>
      <c r="K12" s="179"/>
      <c r="L12" s="179"/>
    </row>
    <row r="13" spans="1:13" ht="15" customHeight="1">
      <c r="A13" s="487" t="s">
        <v>658</v>
      </c>
      <c r="B13" s="488"/>
      <c r="C13" s="489"/>
      <c r="D13" s="490"/>
      <c r="E13" s="490" t="s">
        <v>698</v>
      </c>
      <c r="F13" s="490"/>
      <c r="G13" s="490" t="s">
        <v>660</v>
      </c>
      <c r="H13" s="490"/>
      <c r="I13" s="490" t="s">
        <v>661</v>
      </c>
      <c r="J13" s="490"/>
      <c r="K13" s="490" t="s">
        <v>662</v>
      </c>
      <c r="L13" s="595" t="s">
        <v>1003</v>
      </c>
    </row>
    <row r="14" spans="1:13" ht="15" customHeight="1">
      <c r="A14" s="493" t="s">
        <v>662</v>
      </c>
      <c r="B14" s="494" t="s">
        <v>664</v>
      </c>
      <c r="C14" s="495" t="s">
        <v>665</v>
      </c>
      <c r="D14" s="496" t="s">
        <v>299</v>
      </c>
      <c r="E14" s="496" t="s">
        <v>699</v>
      </c>
      <c r="F14" s="496" t="s">
        <v>667</v>
      </c>
      <c r="G14" s="496" t="s">
        <v>668</v>
      </c>
      <c r="H14" s="496" t="s">
        <v>299</v>
      </c>
      <c r="I14" s="496" t="s">
        <v>669</v>
      </c>
      <c r="J14" s="496" t="s">
        <v>667</v>
      </c>
      <c r="K14" s="496" t="s">
        <v>670</v>
      </c>
      <c r="L14" s="596" t="s">
        <v>670</v>
      </c>
    </row>
    <row r="15" spans="1:13" ht="15" customHeight="1" thickBot="1">
      <c r="A15" s="499"/>
      <c r="B15" s="500"/>
      <c r="C15" s="501"/>
      <c r="D15" s="502"/>
      <c r="E15" s="503" t="s">
        <v>700</v>
      </c>
      <c r="F15" s="503"/>
      <c r="G15" s="503" t="s">
        <v>752</v>
      </c>
      <c r="H15" s="502"/>
      <c r="I15" s="503" t="s">
        <v>671</v>
      </c>
      <c r="J15" s="502"/>
      <c r="K15" s="503" t="s">
        <v>31</v>
      </c>
      <c r="L15" s="597" t="s">
        <v>31</v>
      </c>
    </row>
    <row r="16" spans="1:13" ht="15" customHeight="1" thickTop="1" thickBot="1">
      <c r="A16" s="509" t="s">
        <v>701</v>
      </c>
      <c r="B16" s="541"/>
      <c r="C16" s="542"/>
      <c r="D16" s="179"/>
      <c r="E16" s="598"/>
      <c r="F16" s="179"/>
      <c r="G16" s="179"/>
      <c r="H16" s="179"/>
      <c r="I16" s="179"/>
      <c r="J16" s="179"/>
      <c r="K16" s="179"/>
      <c r="L16" s="278"/>
      <c r="M16" s="115"/>
    </row>
    <row r="17" spans="1:13" ht="15" customHeight="1" thickTop="1">
      <c r="A17" s="599" t="s">
        <v>702</v>
      </c>
      <c r="B17" s="600">
        <f>'[1]Unit Costs'!$C$23</f>
        <v>4.2999999999999997E-2</v>
      </c>
      <c r="C17" s="601" t="s">
        <v>674</v>
      </c>
      <c r="D17" s="533" t="s">
        <v>299</v>
      </c>
      <c r="E17" s="534">
        <v>6.84</v>
      </c>
      <c r="F17" s="533" t="s">
        <v>667</v>
      </c>
      <c r="G17" s="602">
        <f>B17*E17</f>
        <v>0.29411999999999999</v>
      </c>
      <c r="H17" s="536" t="s">
        <v>299</v>
      </c>
      <c r="I17" s="603">
        <f>($L$9)*1.43</f>
        <v>120.28342857142854</v>
      </c>
      <c r="J17" s="536" t="s">
        <v>667</v>
      </c>
      <c r="K17" s="604">
        <f>G17*I17</f>
        <v>35.377762011428565</v>
      </c>
      <c r="L17" s="278"/>
      <c r="M17" s="115"/>
    </row>
    <row r="18" spans="1:13" ht="15" customHeight="1" thickBot="1">
      <c r="A18" s="599" t="s">
        <v>703</v>
      </c>
      <c r="B18" s="515">
        <f>'[1]Unit Costs'!$C$25</f>
        <v>2.36</v>
      </c>
      <c r="C18" s="566" t="s">
        <v>674</v>
      </c>
      <c r="D18" s="533" t="s">
        <v>299</v>
      </c>
      <c r="E18" s="534">
        <v>3.8</v>
      </c>
      <c r="F18" s="533" t="s">
        <v>667</v>
      </c>
      <c r="G18" s="602">
        <f>B18*E18</f>
        <v>8.968</v>
      </c>
      <c r="H18" s="536" t="s">
        <v>299</v>
      </c>
      <c r="I18" s="605">
        <f>$L$9*1.43</f>
        <v>120.28342857142854</v>
      </c>
      <c r="J18" s="536" t="s">
        <v>667</v>
      </c>
      <c r="K18" s="606">
        <f>G18*I18</f>
        <v>1078.7017874285712</v>
      </c>
      <c r="L18" s="278"/>
      <c r="M18" s="115"/>
    </row>
    <row r="19" spans="1:13" ht="15" customHeight="1" thickTop="1" thickBot="1">
      <c r="A19" s="607"/>
      <c r="B19" s="541"/>
      <c r="C19" s="542"/>
      <c r="D19" s="179"/>
      <c r="E19" s="598"/>
      <c r="F19" s="179"/>
      <c r="G19" s="608" t="s">
        <v>704</v>
      </c>
      <c r="H19" s="609"/>
      <c r="I19" s="609"/>
      <c r="J19" s="610"/>
      <c r="K19" s="611">
        <f>SUM(K17:K18)</f>
        <v>1114.0795494399997</v>
      </c>
      <c r="L19" s="611">
        <f>K19</f>
        <v>1114.0795494399997</v>
      </c>
    </row>
    <row r="20" spans="1:13" ht="15" customHeight="1" thickTop="1" thickBot="1">
      <c r="A20" s="509" t="s">
        <v>705</v>
      </c>
      <c r="B20" s="278"/>
      <c r="C20" s="179"/>
      <c r="D20" s="179"/>
      <c r="E20" s="179"/>
      <c r="F20" s="179"/>
      <c r="G20" s="179"/>
      <c r="H20" s="179"/>
      <c r="I20" s="179"/>
      <c r="J20" s="179"/>
      <c r="K20" s="179"/>
      <c r="L20" s="278"/>
      <c r="M20" s="115"/>
    </row>
    <row r="21" spans="1:13" ht="15" customHeight="1" thickTop="1">
      <c r="A21" s="599" t="s">
        <v>706</v>
      </c>
      <c r="B21" s="600">
        <f>'[1]Unit Costs'!$C$13</f>
        <v>0.03</v>
      </c>
      <c r="C21" s="601" t="s">
        <v>679</v>
      </c>
      <c r="D21" s="533" t="s">
        <v>299</v>
      </c>
      <c r="E21" s="612"/>
      <c r="F21" s="536" t="s">
        <v>667</v>
      </c>
      <c r="G21" s="613" t="s">
        <v>680</v>
      </c>
      <c r="H21" s="536" t="s">
        <v>299</v>
      </c>
      <c r="I21" s="603">
        <f>($L$9)*1.43</f>
        <v>120.28342857142854</v>
      </c>
      <c r="J21" s="536" t="s">
        <v>667</v>
      </c>
      <c r="K21" s="614" t="s">
        <v>680</v>
      </c>
      <c r="L21" s="615" t="s">
        <v>981</v>
      </c>
      <c r="M21" s="115"/>
    </row>
    <row r="22" spans="1:13" ht="15" customHeight="1">
      <c r="A22" s="599" t="s">
        <v>707</v>
      </c>
      <c r="B22" s="616">
        <f>'[1]Unit Costs'!$C$44</f>
        <v>2</v>
      </c>
      <c r="C22" s="617" t="s">
        <v>708</v>
      </c>
      <c r="D22" s="533" t="s">
        <v>299</v>
      </c>
      <c r="E22" s="618">
        <v>1.85</v>
      </c>
      <c r="F22" s="536" t="s">
        <v>667</v>
      </c>
      <c r="G22" s="602">
        <f>B22*E22</f>
        <v>3.7</v>
      </c>
      <c r="H22" s="536" t="s">
        <v>299</v>
      </c>
      <c r="I22" s="603">
        <f>($L$9)*1.43</f>
        <v>120.28342857142854</v>
      </c>
      <c r="J22" s="536" t="s">
        <v>667</v>
      </c>
      <c r="K22" s="604">
        <f>G22*I22</f>
        <v>445.04868571428563</v>
      </c>
      <c r="L22" s="615"/>
      <c r="M22" s="115"/>
    </row>
    <row r="23" spans="1:13" ht="15" customHeight="1">
      <c r="A23" s="599" t="s">
        <v>709</v>
      </c>
      <c r="B23" s="619">
        <f>'[1]Unit Costs'!$C$42</f>
        <v>700</v>
      </c>
      <c r="C23" s="617" t="s">
        <v>710</v>
      </c>
      <c r="D23" s="620" t="s">
        <v>299</v>
      </c>
      <c r="E23" s="621">
        <f>$G$9*(1/500)*(1/3)*(1/3.5)*(1.1)</f>
        <v>11.014965986394559</v>
      </c>
      <c r="F23" s="622" t="s">
        <v>711</v>
      </c>
      <c r="G23" s="622"/>
      <c r="H23" s="622"/>
      <c r="I23" s="566"/>
      <c r="J23" s="533" t="s">
        <v>667</v>
      </c>
      <c r="K23" s="604">
        <f>B23*E23</f>
        <v>7710.4761904761917</v>
      </c>
      <c r="L23" s="615"/>
      <c r="M23" s="115"/>
    </row>
    <row r="24" spans="1:13" ht="15" customHeight="1" thickBot="1">
      <c r="A24" s="599" t="s">
        <v>712</v>
      </c>
      <c r="B24" s="600">
        <f>'[1]Unit Costs'!$C$43</f>
        <v>127</v>
      </c>
      <c r="C24" s="601" t="s">
        <v>713</v>
      </c>
      <c r="D24" s="533" t="s">
        <v>299</v>
      </c>
      <c r="E24" s="623">
        <f>E23*3</f>
        <v>33.044897959183679</v>
      </c>
      <c r="F24" s="624" t="s">
        <v>714</v>
      </c>
      <c r="G24" s="592"/>
      <c r="H24" s="592"/>
      <c r="I24" s="625"/>
      <c r="J24" s="536" t="s">
        <v>667</v>
      </c>
      <c r="K24" s="626">
        <f>E24*B24</f>
        <v>4196.7020408163271</v>
      </c>
      <c r="L24" s="627"/>
      <c r="M24" s="115"/>
    </row>
    <row r="25" spans="1:13" ht="15" customHeight="1" thickTop="1" thickBot="1">
      <c r="A25" s="607"/>
      <c r="B25" s="278"/>
      <c r="C25" s="179"/>
      <c r="D25" s="179"/>
      <c r="E25" s="179"/>
      <c r="F25" s="179"/>
      <c r="G25" s="628" t="s">
        <v>715</v>
      </c>
      <c r="H25" s="629"/>
      <c r="I25" s="629"/>
      <c r="J25" s="630"/>
      <c r="K25" s="631">
        <f>SUM(K21:K24)</f>
        <v>12352.226917006805</v>
      </c>
      <c r="L25" s="611">
        <f>K25</f>
        <v>12352.226917006805</v>
      </c>
    </row>
    <row r="26" spans="1:13" ht="15" customHeight="1" thickTop="1">
      <c r="A26" s="632" t="s">
        <v>716</v>
      </c>
      <c r="B26" s="541"/>
      <c r="C26" s="542"/>
      <c r="D26" s="179"/>
      <c r="E26" s="598"/>
      <c r="F26" s="179"/>
      <c r="G26" s="179"/>
      <c r="H26" s="179"/>
      <c r="I26" s="179"/>
      <c r="J26" s="179"/>
      <c r="K26" s="179"/>
      <c r="L26" s="278"/>
      <c r="M26" s="115"/>
    </row>
    <row r="27" spans="1:13" ht="15" customHeight="1" thickBot="1">
      <c r="A27" s="633" t="s">
        <v>717</v>
      </c>
      <c r="B27" s="541"/>
      <c r="C27" s="542"/>
      <c r="D27" s="179"/>
      <c r="E27" s="598"/>
      <c r="F27" s="179"/>
      <c r="G27" s="179"/>
      <c r="H27" s="179"/>
      <c r="I27" s="179"/>
      <c r="J27" s="179"/>
      <c r="K27" s="179"/>
      <c r="L27" s="278"/>
      <c r="M27" s="115"/>
    </row>
    <row r="28" spans="1:13" ht="15" customHeight="1" thickTop="1">
      <c r="A28" s="599" t="s">
        <v>702</v>
      </c>
      <c r="B28" s="600">
        <f>'[1]Unit Costs'!$C$23</f>
        <v>4.2999999999999997E-2</v>
      </c>
      <c r="C28" s="601" t="s">
        <v>674</v>
      </c>
      <c r="D28" s="533" t="s">
        <v>299</v>
      </c>
      <c r="E28" s="534">
        <f>((0.585)*(5)*(1/12))*1000000*(1/8340)</f>
        <v>29.226618705035968</v>
      </c>
      <c r="F28" s="533" t="s">
        <v>667</v>
      </c>
      <c r="G28" s="634">
        <f>B28*E28</f>
        <v>1.2567446043165464</v>
      </c>
      <c r="H28" s="533" t="s">
        <v>299</v>
      </c>
      <c r="I28" s="605">
        <f>($L$9)*1.1</f>
        <v>92.525714285714272</v>
      </c>
      <c r="J28" s="533" t="s">
        <v>667</v>
      </c>
      <c r="K28" s="635">
        <f>G28*I28</f>
        <v>116.28119218910581</v>
      </c>
      <c r="L28" s="278"/>
      <c r="M28" s="115"/>
    </row>
    <row r="29" spans="1:13" ht="15" customHeight="1">
      <c r="A29" s="599" t="s">
        <v>718</v>
      </c>
      <c r="B29" s="636">
        <f>'[1]Unit Costs'!$C$17</f>
        <v>0.18</v>
      </c>
      <c r="C29" s="637" t="s">
        <v>674</v>
      </c>
      <c r="D29" s="533" t="s">
        <v>299</v>
      </c>
      <c r="E29" s="534">
        <f>((0.585)*(5)*(1/11))*1000000*(1/8340)</f>
        <v>31.883584041857421</v>
      </c>
      <c r="F29" s="517" t="s">
        <v>667</v>
      </c>
      <c r="G29" s="638">
        <f>B29*E29</f>
        <v>5.7390451275343359</v>
      </c>
      <c r="H29" s="517" t="s">
        <v>299</v>
      </c>
      <c r="I29" s="605">
        <f>($L$9)*1.1</f>
        <v>92.525714285714272</v>
      </c>
      <c r="J29" s="517" t="s">
        <v>667</v>
      </c>
      <c r="K29" s="639">
        <f>G29*I29</f>
        <v>531.00924974306258</v>
      </c>
      <c r="L29" s="640"/>
      <c r="M29" s="115"/>
    </row>
    <row r="30" spans="1:13" ht="15" customHeight="1">
      <c r="A30" s="641" t="s">
        <v>719</v>
      </c>
      <c r="B30" s="552">
        <f>'[1]Unit Costs'!$C$38</f>
        <v>75</v>
      </c>
      <c r="C30" s="601" t="s">
        <v>720</v>
      </c>
      <c r="D30" s="533" t="s">
        <v>299</v>
      </c>
      <c r="E30" s="518">
        <f>($G$9/500)*(60*24)*(1/1000)*(1.17)*(1/8)*(1/4)</f>
        <v>5.5357714285714277</v>
      </c>
      <c r="F30" s="517" t="s">
        <v>667</v>
      </c>
      <c r="G30" s="642" t="s">
        <v>721</v>
      </c>
      <c r="H30" s="517" t="s">
        <v>299</v>
      </c>
      <c r="I30" s="642" t="s">
        <v>721</v>
      </c>
      <c r="J30" s="517" t="s">
        <v>667</v>
      </c>
      <c r="K30" s="643">
        <f>B30*E30</f>
        <v>415.18285714285707</v>
      </c>
      <c r="L30" s="640"/>
      <c r="M30" s="115"/>
    </row>
    <row r="31" spans="1:13" ht="15" customHeight="1" thickBot="1">
      <c r="A31" s="644" t="s">
        <v>722</v>
      </c>
      <c r="B31" s="645">
        <f>'[1]Unit Costs'!$C$39</f>
        <v>165</v>
      </c>
      <c r="C31" s="601" t="s">
        <v>720</v>
      </c>
      <c r="D31" s="646" t="s">
        <v>299</v>
      </c>
      <c r="E31" s="518">
        <f>($G$9/500)*(60*24)*(1/1000)*(1.17)*(1/8)*(1/4)</f>
        <v>5.5357714285714277</v>
      </c>
      <c r="F31" s="647" t="s">
        <v>667</v>
      </c>
      <c r="G31" s="648" t="s">
        <v>721</v>
      </c>
      <c r="H31" s="649" t="s">
        <v>299</v>
      </c>
      <c r="I31" s="648" t="s">
        <v>721</v>
      </c>
      <c r="J31" s="649" t="s">
        <v>667</v>
      </c>
      <c r="K31" s="650">
        <f>B31*E31</f>
        <v>913.40228571428554</v>
      </c>
      <c r="L31" s="651"/>
      <c r="M31" s="115"/>
    </row>
    <row r="32" spans="1:13" ht="15" customHeight="1" thickTop="1" thickBot="1">
      <c r="A32" s="278"/>
      <c r="B32" s="652"/>
      <c r="C32" s="542"/>
      <c r="D32" s="179"/>
      <c r="E32" s="598"/>
      <c r="F32" s="179"/>
      <c r="G32" s="628" t="s">
        <v>723</v>
      </c>
      <c r="H32" s="629"/>
      <c r="I32" s="629"/>
      <c r="J32" s="630"/>
      <c r="K32" s="631">
        <f>SUM(K28:K31)</f>
        <v>1975.8755847893108</v>
      </c>
      <c r="L32" s="611">
        <f>K32</f>
        <v>1975.8755847893108</v>
      </c>
    </row>
    <row r="33" spans="1:12" ht="15" customHeight="1" thickTop="1" thickBot="1">
      <c r="A33" s="509" t="s">
        <v>724</v>
      </c>
      <c r="B33" s="653"/>
      <c r="C33" s="654"/>
      <c r="D33" s="587"/>
      <c r="E33" s="598"/>
      <c r="F33" s="587"/>
      <c r="G33" s="655"/>
      <c r="H33" s="656"/>
      <c r="J33" s="12"/>
      <c r="K33" s="584"/>
      <c r="L33" s="12"/>
    </row>
    <row r="34" spans="1:12" ht="15" customHeight="1" thickTop="1">
      <c r="A34" s="657" t="s">
        <v>725</v>
      </c>
      <c r="B34" s="658">
        <f>'[1]Unit Costs'!$C$27</f>
        <v>1.3</v>
      </c>
      <c r="C34" s="601" t="s">
        <v>674</v>
      </c>
      <c r="D34" s="519" t="s">
        <v>299</v>
      </c>
      <c r="E34" s="537">
        <v>10</v>
      </c>
      <c r="F34" s="538" t="s">
        <v>667</v>
      </c>
      <c r="G34" s="659">
        <f>B34*E34</f>
        <v>13</v>
      </c>
      <c r="H34" s="660" t="s">
        <v>299</v>
      </c>
      <c r="I34" s="661">
        <f>$L$7</f>
        <v>0</v>
      </c>
      <c r="J34" s="662" t="s">
        <v>667</v>
      </c>
      <c r="K34" s="663">
        <f>G34*I34</f>
        <v>0</v>
      </c>
      <c r="L34" s="664"/>
    </row>
    <row r="35" spans="1:12" ht="15" customHeight="1">
      <c r="A35" s="180" t="s">
        <v>726</v>
      </c>
      <c r="B35" s="658">
        <f>'[1]Unit Costs'!$C$28</f>
        <v>2.7</v>
      </c>
      <c r="C35" s="601" t="s">
        <v>674</v>
      </c>
      <c r="D35" s="519" t="s">
        <v>299</v>
      </c>
      <c r="E35" s="537">
        <v>1</v>
      </c>
      <c r="F35" s="538" t="s">
        <v>667</v>
      </c>
      <c r="G35" s="659">
        <f>B35*E35</f>
        <v>2.7</v>
      </c>
      <c r="H35" s="665" t="s">
        <v>299</v>
      </c>
      <c r="I35" s="666">
        <f>$L$5</f>
        <v>0</v>
      </c>
      <c r="J35" s="667" t="s">
        <v>667</v>
      </c>
      <c r="K35" s="663">
        <f>G35*I35</f>
        <v>0</v>
      </c>
      <c r="L35" s="12"/>
    </row>
    <row r="36" spans="1:12" ht="15" customHeight="1" thickBot="1">
      <c r="A36" s="180" t="s">
        <v>727</v>
      </c>
      <c r="B36" s="668">
        <f>'[1]Unit Costs'!$C$29</f>
        <v>2.7</v>
      </c>
      <c r="C36" s="601" t="s">
        <v>674</v>
      </c>
      <c r="D36" s="519" t="s">
        <v>299</v>
      </c>
      <c r="E36" s="537">
        <v>0.5</v>
      </c>
      <c r="F36" s="538" t="s">
        <v>667</v>
      </c>
      <c r="G36" s="669">
        <f>B36*E36</f>
        <v>1.35</v>
      </c>
      <c r="H36" s="670" t="s">
        <v>299</v>
      </c>
      <c r="I36" s="666">
        <f>$L$5</f>
        <v>0</v>
      </c>
      <c r="J36" s="535" t="s">
        <v>667</v>
      </c>
      <c r="K36" s="663">
        <f>G36*I36</f>
        <v>0</v>
      </c>
      <c r="L36" s="587"/>
    </row>
    <row r="37" spans="1:12" ht="15" customHeight="1" thickTop="1" thickBot="1">
      <c r="B37" s="576"/>
      <c r="C37" s="577"/>
      <c r="D37" s="12"/>
      <c r="F37" s="12"/>
      <c r="G37" s="671" t="s">
        <v>728</v>
      </c>
      <c r="H37" s="672"/>
      <c r="I37" s="673"/>
      <c r="J37" s="674"/>
      <c r="K37" s="675">
        <f>SUM(K34:K36)</f>
        <v>0</v>
      </c>
      <c r="L37" s="676">
        <f>K37</f>
        <v>0</v>
      </c>
    </row>
    <row r="38" spans="1:12" ht="15" customHeight="1" thickTop="1" thickBot="1">
      <c r="B38" s="576"/>
      <c r="C38" s="577"/>
      <c r="D38" s="12"/>
      <c r="F38" s="12"/>
      <c r="G38" s="677"/>
      <c r="H38" s="678"/>
      <c r="I38" s="679"/>
      <c r="J38" s="678"/>
      <c r="K38" s="680"/>
      <c r="L38" s="664"/>
    </row>
    <row r="39" spans="1:12" ht="15" customHeight="1" thickTop="1" thickBot="1">
      <c r="E39" s="572" t="s">
        <v>690</v>
      </c>
      <c r="F39" s="573"/>
      <c r="G39" s="573"/>
      <c r="H39" s="573"/>
      <c r="I39" s="573"/>
      <c r="J39" s="573"/>
      <c r="K39" s="574"/>
      <c r="L39" s="681">
        <f>SUM(L19:L37)</f>
        <v>15442.182051236116</v>
      </c>
    </row>
    <row r="40" spans="1:12" ht="15" customHeight="1" thickTop="1">
      <c r="I40" s="677"/>
      <c r="J40" s="682"/>
      <c r="K40" s="682"/>
      <c r="L40" s="683"/>
    </row>
    <row r="41" spans="1:12" ht="15" customHeight="1">
      <c r="A41" s="181" t="s">
        <v>729</v>
      </c>
      <c r="B41" s="684" t="s">
        <v>730</v>
      </c>
      <c r="C41" s="461"/>
    </row>
    <row r="42" spans="1:12" ht="15" customHeight="1">
      <c r="B42" s="684" t="s">
        <v>731</v>
      </c>
      <c r="C42" s="461"/>
    </row>
    <row r="43" spans="1:12" ht="15" customHeight="1">
      <c r="B43" s="684" t="s">
        <v>732</v>
      </c>
      <c r="C43" s="461"/>
    </row>
    <row r="44" spans="1:12" ht="15" customHeight="1">
      <c r="B44" s="684" t="s">
        <v>733</v>
      </c>
      <c r="C44" s="461"/>
      <c r="G44" s="685"/>
    </row>
    <row r="45" spans="1:12" ht="15" customHeight="1">
      <c r="B45" s="684" t="s">
        <v>734</v>
      </c>
      <c r="C45" s="461"/>
    </row>
  </sheetData>
  <mergeCells count="2">
    <mergeCell ref="A1:L1"/>
    <mergeCell ref="A2:L2"/>
  </mergeCells>
  <pageMargins left="0.75" right="0.75" top="1" bottom="1" header="0.5" footer="0.5"/>
  <pageSetup scale="69" orientation="portrait" horizontalDpi="300" verticalDpi="300" r:id="rId1"/>
  <headerFooter alignWithMargins="0">
    <oddFooter>&amp;LScot Chambers
&amp;D&amp;CPage _____&amp;R&amp;F
&amp;A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70"/>
  <sheetViews>
    <sheetView zoomScale="75" workbookViewId="0">
      <selection sqref="A1:W1"/>
    </sheetView>
  </sheetViews>
  <sheetFormatPr defaultRowHeight="12.75"/>
  <cols>
    <col min="1" max="1" width="32.85546875" customWidth="1"/>
    <col min="2" max="2" width="11.140625" customWidth="1"/>
    <col min="3" max="3" width="12.28515625" customWidth="1"/>
    <col min="4" max="4" width="14" customWidth="1"/>
    <col min="5" max="6" width="11.140625" customWidth="1"/>
    <col min="7" max="7" width="13.7109375" customWidth="1"/>
    <col min="8" max="8" width="15.28515625" customWidth="1"/>
    <col min="9" max="9" width="11.140625" customWidth="1"/>
    <col min="10" max="10" width="11.7109375" customWidth="1"/>
    <col min="11" max="11" width="20.42578125" customWidth="1"/>
    <col min="12" max="12" width="11.140625" customWidth="1"/>
    <col min="13" max="13" width="13.7109375" customWidth="1"/>
    <col min="14" max="22" width="11.140625" customWidth="1"/>
    <col min="23" max="23" width="12.140625" bestFit="1" customWidth="1"/>
    <col min="24" max="24" width="10.140625" customWidth="1"/>
  </cols>
  <sheetData>
    <row r="1" spans="1:23" ht="20.25">
      <c r="A1" s="702" t="str">
        <f>'Table of Contents'!A1</f>
        <v>St Peter, Illinois (Ameren) Power Project, Rev 0</v>
      </c>
      <c r="B1" s="702"/>
      <c r="C1" s="702"/>
      <c r="D1" s="702"/>
      <c r="E1" s="702"/>
      <c r="F1" s="702"/>
      <c r="G1" s="702"/>
      <c r="H1" s="702"/>
      <c r="I1" s="702"/>
      <c r="J1" s="702"/>
      <c r="K1" s="702"/>
      <c r="L1" s="702"/>
      <c r="M1" s="702"/>
      <c r="N1" s="702"/>
      <c r="O1" s="702"/>
      <c r="P1" s="702"/>
      <c r="Q1" s="702"/>
      <c r="R1" s="702"/>
      <c r="S1" s="702"/>
      <c r="T1" s="702"/>
      <c r="U1" s="702"/>
      <c r="V1" s="702"/>
      <c r="W1" s="702"/>
    </row>
    <row r="2" spans="1:23" ht="20.25">
      <c r="A2" s="702" t="s">
        <v>2</v>
      </c>
      <c r="B2" s="702"/>
      <c r="C2" s="702"/>
      <c r="D2" s="702"/>
      <c r="E2" s="702"/>
      <c r="F2" s="702"/>
      <c r="G2" s="702"/>
      <c r="H2" s="702"/>
      <c r="I2" s="702"/>
      <c r="J2" s="702"/>
      <c r="K2" s="702"/>
      <c r="L2" s="702"/>
      <c r="M2" s="702"/>
      <c r="N2" s="702"/>
      <c r="O2" s="702"/>
      <c r="P2" s="702"/>
      <c r="Q2" s="702"/>
      <c r="R2" s="702"/>
      <c r="S2" s="702"/>
      <c r="T2" s="702"/>
      <c r="U2" s="702"/>
      <c r="V2" s="702"/>
      <c r="W2" s="702"/>
    </row>
    <row r="3" spans="1:23" ht="20.25">
      <c r="A3" s="367"/>
      <c r="B3" s="367"/>
      <c r="C3" s="367"/>
      <c r="D3" s="367"/>
      <c r="E3" s="367"/>
      <c r="F3" s="367"/>
      <c r="G3" s="367"/>
      <c r="H3" s="367"/>
      <c r="I3" s="367"/>
      <c r="J3" s="367"/>
      <c r="K3" s="367"/>
      <c r="L3" s="367"/>
      <c r="M3" s="367"/>
      <c r="N3" s="367"/>
      <c r="O3" s="367"/>
      <c r="P3" s="367"/>
      <c r="Q3" s="367"/>
      <c r="R3" s="367"/>
      <c r="S3" s="367"/>
      <c r="T3" s="367"/>
      <c r="U3" s="367"/>
      <c r="V3" s="367"/>
      <c r="W3" s="367"/>
    </row>
    <row r="4" spans="1:23" ht="18.75" thickBot="1">
      <c r="A4" s="704"/>
      <c r="B4" s="704"/>
      <c r="C4" s="704"/>
      <c r="D4" s="704"/>
      <c r="E4" s="704"/>
      <c r="F4" s="704"/>
      <c r="G4" s="704"/>
      <c r="H4" s="704"/>
      <c r="I4" s="704"/>
      <c r="J4" s="704"/>
      <c r="K4" s="704"/>
      <c r="L4" s="704"/>
      <c r="M4" s="704"/>
      <c r="N4" s="368"/>
      <c r="O4" s="368"/>
      <c r="P4" s="368"/>
      <c r="Q4" s="368"/>
      <c r="R4" s="368"/>
      <c r="S4" s="368"/>
      <c r="T4" s="368"/>
      <c r="U4" s="368"/>
      <c r="V4" s="368"/>
      <c r="W4" s="368"/>
    </row>
    <row r="5" spans="1:23" ht="18.75" thickBot="1">
      <c r="A5" s="369" t="s">
        <v>3</v>
      </c>
      <c r="B5" s="370"/>
      <c r="C5" s="370"/>
      <c r="D5" s="370"/>
      <c r="E5" s="370"/>
      <c r="F5" s="705" t="s">
        <v>4</v>
      </c>
      <c r="G5" s="705"/>
      <c r="H5" s="371">
        <v>20</v>
      </c>
      <c r="I5" s="372" t="s">
        <v>5</v>
      </c>
      <c r="J5" s="370"/>
      <c r="K5" s="373"/>
    </row>
    <row r="6" spans="1:23" ht="18">
      <c r="A6" s="374" t="s">
        <v>6</v>
      </c>
      <c r="B6" s="115"/>
      <c r="C6" s="115"/>
      <c r="D6" s="115"/>
      <c r="E6" s="115"/>
      <c r="F6" s="115"/>
      <c r="G6" s="115"/>
      <c r="H6" s="375">
        <f>W29</f>
        <v>2826000</v>
      </c>
      <c r="I6" s="376" t="s">
        <v>7</v>
      </c>
      <c r="J6" s="115"/>
      <c r="K6" s="377"/>
    </row>
    <row r="7" spans="1:23" ht="18.75" thickBot="1">
      <c r="A7" s="378"/>
      <c r="B7" s="115"/>
      <c r="C7" s="115"/>
      <c r="D7" s="115"/>
      <c r="E7" s="115"/>
      <c r="F7" s="115"/>
      <c r="G7" s="115"/>
      <c r="H7" s="375">
        <f>H6/$D$8</f>
        <v>1413000</v>
      </c>
      <c r="I7" s="376" t="s">
        <v>8</v>
      </c>
      <c r="J7" s="115"/>
      <c r="K7" s="377"/>
    </row>
    <row r="8" spans="1:23" ht="18.75" thickBot="1">
      <c r="A8" s="374" t="s">
        <v>9</v>
      </c>
      <c r="B8" s="379"/>
      <c r="C8" s="379"/>
      <c r="D8" s="371">
        <f>Scope!D15</f>
        <v>2</v>
      </c>
      <c r="E8" s="115"/>
      <c r="F8" s="115"/>
      <c r="G8" s="115"/>
      <c r="H8" s="380">
        <f>H7/H5</f>
        <v>70650</v>
      </c>
      <c r="I8" s="376" t="s">
        <v>101</v>
      </c>
      <c r="J8" s="115"/>
      <c r="K8" s="377"/>
    </row>
    <row r="9" spans="1:23" ht="18.75" thickBot="1">
      <c r="A9" s="378"/>
      <c r="B9" s="115"/>
      <c r="C9" s="115"/>
      <c r="D9" s="115"/>
      <c r="E9" s="115"/>
      <c r="F9" s="115"/>
      <c r="G9" s="115"/>
      <c r="H9" s="381">
        <f>H8/C20</f>
        <v>44.15625</v>
      </c>
      <c r="I9" s="376" t="s">
        <v>102</v>
      </c>
      <c r="J9" s="115"/>
      <c r="K9" s="377"/>
    </row>
    <row r="10" spans="1:23" ht="13.5" thickBot="1">
      <c r="A10" s="382"/>
      <c r="B10" s="383"/>
      <c r="C10" s="383"/>
      <c r="D10" s="383"/>
      <c r="E10" s="383"/>
      <c r="F10" s="383"/>
      <c r="G10" s="383"/>
      <c r="H10" s="383"/>
      <c r="I10" s="383"/>
      <c r="J10" s="383"/>
      <c r="K10" s="384"/>
    </row>
    <row r="11" spans="1:23" ht="15.75">
      <c r="A11" s="385"/>
      <c r="B11" s="386"/>
      <c r="C11" s="386"/>
      <c r="D11" s="387" t="s">
        <v>12</v>
      </c>
      <c r="E11" s="386"/>
      <c r="F11" s="386"/>
      <c r="G11" s="386"/>
      <c r="H11" s="386"/>
      <c r="I11" s="386"/>
      <c r="J11" s="386"/>
      <c r="K11" s="386"/>
      <c r="L11" s="370"/>
      <c r="M11" s="388"/>
      <c r="N11" s="388"/>
      <c r="O11" s="388"/>
      <c r="P11" s="388"/>
      <c r="Q11" s="388"/>
      <c r="R11" s="388"/>
      <c r="S11" s="388"/>
      <c r="T11" s="388"/>
      <c r="U11" s="388"/>
      <c r="V11" s="370"/>
      <c r="W11" s="373"/>
    </row>
    <row r="12" spans="1:23">
      <c r="A12" s="389" t="s">
        <v>13</v>
      </c>
      <c r="B12" s="390"/>
      <c r="C12" s="391"/>
      <c r="D12" s="392">
        <v>0</v>
      </c>
      <c r="E12" s="393" t="s">
        <v>14</v>
      </c>
      <c r="F12" s="386"/>
      <c r="G12" s="386"/>
      <c r="H12" s="394" t="s">
        <v>15</v>
      </c>
      <c r="I12" s="394"/>
      <c r="J12" s="386"/>
      <c r="K12" s="386"/>
      <c r="L12" s="115"/>
      <c r="M12" s="386"/>
      <c r="N12" s="386"/>
      <c r="O12" s="386"/>
      <c r="P12" s="386"/>
      <c r="Q12" s="386"/>
      <c r="R12" s="386"/>
      <c r="S12" s="386"/>
      <c r="T12" s="386"/>
      <c r="U12" s="386"/>
      <c r="V12" s="115"/>
      <c r="W12" s="377"/>
    </row>
    <row r="13" spans="1:23">
      <c r="A13" s="389" t="s">
        <v>16</v>
      </c>
      <c r="B13" s="390"/>
      <c r="C13" s="391"/>
      <c r="D13" s="392">
        <f>3.5*23900</f>
        <v>83650</v>
      </c>
      <c r="E13" s="395" t="s">
        <v>17</v>
      </c>
      <c r="F13" s="386"/>
      <c r="G13" s="386"/>
      <c r="H13" s="394" t="s">
        <v>104</v>
      </c>
      <c r="I13" s="115"/>
      <c r="J13" s="386"/>
      <c r="K13" s="386"/>
      <c r="L13" s="115"/>
      <c r="M13" s="386"/>
      <c r="N13" s="386"/>
      <c r="O13" s="386"/>
      <c r="P13" s="386"/>
      <c r="Q13" s="386"/>
      <c r="R13" s="386"/>
      <c r="S13" s="386"/>
      <c r="T13" s="386"/>
      <c r="U13" s="386"/>
      <c r="V13" s="115"/>
      <c r="W13" s="377"/>
    </row>
    <row r="14" spans="1:23">
      <c r="A14" s="389" t="s">
        <v>18</v>
      </c>
      <c r="B14" s="390"/>
      <c r="C14" s="391"/>
      <c r="D14" s="392">
        <v>0</v>
      </c>
      <c r="E14" s="395" t="s">
        <v>19</v>
      </c>
      <c r="F14" s="386"/>
      <c r="G14" s="386"/>
      <c r="H14" s="394" t="s">
        <v>96</v>
      </c>
      <c r="I14" s="394"/>
      <c r="J14" s="386"/>
      <c r="K14" s="386"/>
      <c r="L14" s="115"/>
      <c r="M14" s="386"/>
      <c r="N14" s="386"/>
      <c r="O14" s="386"/>
      <c r="P14" s="386"/>
      <c r="Q14" s="386"/>
      <c r="R14" s="386"/>
      <c r="S14" s="386"/>
      <c r="T14" s="386"/>
      <c r="U14" s="386"/>
      <c r="V14" s="115"/>
      <c r="W14" s="377"/>
    </row>
    <row r="15" spans="1:23">
      <c r="A15" s="389" t="s">
        <v>21</v>
      </c>
      <c r="B15" s="390"/>
      <c r="C15" s="391"/>
      <c r="D15" s="392">
        <v>1403000</v>
      </c>
      <c r="E15" s="395" t="s">
        <v>22</v>
      </c>
      <c r="G15" s="386"/>
      <c r="H15" s="394" t="s">
        <v>99</v>
      </c>
      <c r="I15" s="115"/>
      <c r="J15" s="386"/>
      <c r="K15" s="386"/>
      <c r="L15" s="115"/>
      <c r="M15" s="386"/>
      <c r="N15" s="386"/>
      <c r="O15" s="386"/>
      <c r="P15" s="386"/>
      <c r="Q15" s="386"/>
      <c r="R15" s="386"/>
      <c r="S15" s="386"/>
      <c r="T15" s="386"/>
      <c r="U15" s="386"/>
      <c r="V15" s="115"/>
      <c r="W15" s="377"/>
    </row>
    <row r="16" spans="1:23">
      <c r="A16" s="389" t="s">
        <v>98</v>
      </c>
      <c r="B16" s="390"/>
      <c r="C16" s="391"/>
      <c r="D16" s="392">
        <v>3000000</v>
      </c>
      <c r="E16" s="395" t="s">
        <v>22</v>
      </c>
      <c r="F16" s="386"/>
      <c r="G16" s="386"/>
      <c r="H16" s="394" t="s">
        <v>100</v>
      </c>
      <c r="I16" s="115"/>
      <c r="J16" s="386"/>
      <c r="K16" s="386"/>
      <c r="L16" s="115"/>
      <c r="M16" s="386"/>
      <c r="N16" s="386"/>
      <c r="O16" s="386"/>
      <c r="P16" s="386"/>
      <c r="Q16" s="386"/>
      <c r="R16" s="386"/>
      <c r="S16" s="386"/>
      <c r="T16" s="386"/>
      <c r="U16" s="386"/>
      <c r="V16" s="115"/>
      <c r="W16" s="377"/>
    </row>
    <row r="17" spans="1:23">
      <c r="A17" s="389" t="s">
        <v>26</v>
      </c>
      <c r="B17" s="390"/>
      <c r="C17" s="391"/>
      <c r="D17" s="396">
        <v>10000</v>
      </c>
      <c r="E17" s="397"/>
      <c r="F17" s="386"/>
      <c r="G17" s="386"/>
      <c r="H17" s="394" t="s">
        <v>97</v>
      </c>
      <c r="I17" s="386"/>
      <c r="J17" s="386"/>
      <c r="K17" s="386"/>
      <c r="L17" s="115"/>
      <c r="M17" s="386"/>
      <c r="N17" s="386"/>
      <c r="O17" s="386"/>
      <c r="P17" s="386"/>
      <c r="Q17" s="386"/>
      <c r="R17" s="386"/>
      <c r="S17" s="386"/>
      <c r="T17" s="386"/>
      <c r="U17" s="386"/>
      <c r="V17" s="115"/>
      <c r="W17" s="377"/>
    </row>
    <row r="18" spans="1:23">
      <c r="A18" s="389" t="s">
        <v>28</v>
      </c>
      <c r="B18" s="390"/>
      <c r="C18" s="391"/>
      <c r="D18" s="396">
        <v>25000</v>
      </c>
      <c r="E18" s="397"/>
      <c r="F18" s="386"/>
      <c r="G18" s="386"/>
      <c r="H18" s="394" t="s">
        <v>97</v>
      </c>
      <c r="I18" s="386"/>
      <c r="J18" s="386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377"/>
    </row>
    <row r="19" spans="1:23">
      <c r="A19" s="378"/>
      <c r="B19" s="386"/>
      <c r="C19" s="386"/>
      <c r="D19" s="386"/>
      <c r="E19" s="386"/>
      <c r="F19" s="386"/>
      <c r="G19" s="386"/>
      <c r="H19" s="386"/>
      <c r="I19" s="386"/>
      <c r="J19" s="386"/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377"/>
    </row>
    <row r="20" spans="1:23">
      <c r="A20" s="398" t="s">
        <v>29</v>
      </c>
      <c r="B20" s="399"/>
      <c r="C20" s="471">
        <f>Scope!F40</f>
        <v>1600</v>
      </c>
      <c r="D20" s="401" t="s">
        <v>30</v>
      </c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377"/>
    </row>
    <row r="21" spans="1:23">
      <c r="A21" s="378" t="s">
        <v>31</v>
      </c>
      <c r="B21" s="177">
        <v>0</v>
      </c>
      <c r="C21" s="177">
        <v>1</v>
      </c>
      <c r="D21" s="177">
        <v>2</v>
      </c>
      <c r="E21" s="177">
        <v>3</v>
      </c>
      <c r="F21" s="177">
        <v>4</v>
      </c>
      <c r="G21" s="177">
        <v>5</v>
      </c>
      <c r="H21" s="177">
        <v>6</v>
      </c>
      <c r="I21" s="177">
        <v>7</v>
      </c>
      <c r="J21" s="177">
        <v>8</v>
      </c>
      <c r="K21" s="177">
        <v>9</v>
      </c>
      <c r="L21" s="177">
        <v>10</v>
      </c>
      <c r="M21" s="177">
        <v>11</v>
      </c>
      <c r="N21" s="177">
        <v>12</v>
      </c>
      <c r="O21" s="177">
        <v>13</v>
      </c>
      <c r="P21" s="177">
        <v>14</v>
      </c>
      <c r="Q21" s="177">
        <v>15</v>
      </c>
      <c r="R21" s="177">
        <v>16</v>
      </c>
      <c r="S21" s="177">
        <v>17</v>
      </c>
      <c r="T21" s="177">
        <v>18</v>
      </c>
      <c r="U21" s="177">
        <v>19</v>
      </c>
      <c r="V21" s="177">
        <v>20</v>
      </c>
      <c r="W21" s="377"/>
    </row>
    <row r="22" spans="1:23">
      <c r="A22" s="378" t="s">
        <v>32</v>
      </c>
      <c r="B22" s="402"/>
      <c r="C22" s="402">
        <f>$C20</f>
        <v>1600</v>
      </c>
      <c r="D22" s="402">
        <f t="shared" ref="D22:V22" si="0">C22+$C20</f>
        <v>3200</v>
      </c>
      <c r="E22" s="402">
        <f t="shared" si="0"/>
        <v>4800</v>
      </c>
      <c r="F22" s="402">
        <f t="shared" si="0"/>
        <v>6400</v>
      </c>
      <c r="G22" s="402">
        <f t="shared" si="0"/>
        <v>8000</v>
      </c>
      <c r="H22" s="402">
        <f t="shared" si="0"/>
        <v>9600</v>
      </c>
      <c r="I22" s="402">
        <f t="shared" si="0"/>
        <v>11200</v>
      </c>
      <c r="J22" s="402">
        <f t="shared" si="0"/>
        <v>12800</v>
      </c>
      <c r="K22" s="402">
        <f t="shared" si="0"/>
        <v>14400</v>
      </c>
      <c r="L22" s="402">
        <f t="shared" si="0"/>
        <v>16000</v>
      </c>
      <c r="M22" s="402">
        <f t="shared" si="0"/>
        <v>17600</v>
      </c>
      <c r="N22" s="402">
        <f t="shared" si="0"/>
        <v>19200</v>
      </c>
      <c r="O22" s="402">
        <f t="shared" si="0"/>
        <v>20800</v>
      </c>
      <c r="P22" s="402">
        <f t="shared" si="0"/>
        <v>22400</v>
      </c>
      <c r="Q22" s="402">
        <f t="shared" si="0"/>
        <v>24000</v>
      </c>
      <c r="R22" s="402">
        <f t="shared" si="0"/>
        <v>25600</v>
      </c>
      <c r="S22" s="402">
        <f t="shared" si="0"/>
        <v>27200</v>
      </c>
      <c r="T22" s="402">
        <f t="shared" si="0"/>
        <v>28800</v>
      </c>
      <c r="U22" s="402">
        <f t="shared" si="0"/>
        <v>30400</v>
      </c>
      <c r="V22" s="402">
        <f t="shared" si="0"/>
        <v>32000</v>
      </c>
      <c r="W22" s="377"/>
    </row>
    <row r="23" spans="1:23">
      <c r="A23" s="378" t="s">
        <v>33</v>
      </c>
      <c r="B23" s="177"/>
      <c r="C23" s="177"/>
      <c r="D23" s="177"/>
      <c r="E23" s="177"/>
      <c r="F23" s="177"/>
      <c r="G23" s="177"/>
      <c r="H23" s="177"/>
      <c r="I23" s="177"/>
      <c r="J23" s="177"/>
      <c r="K23" s="177"/>
      <c r="L23" s="177"/>
      <c r="M23" s="177"/>
      <c r="N23" s="177"/>
      <c r="O23" s="177"/>
      <c r="P23" s="177"/>
      <c r="Q23" s="177" t="s">
        <v>619</v>
      </c>
      <c r="R23" s="177"/>
      <c r="S23" s="177"/>
      <c r="T23" s="177"/>
      <c r="U23" s="177"/>
      <c r="V23" s="177"/>
      <c r="W23" s="377"/>
    </row>
    <row r="24" spans="1:23">
      <c r="A24" s="378" t="s">
        <v>34</v>
      </c>
      <c r="B24" s="403">
        <f t="shared" ref="B24:V24" si="1">IF(B23="H",$D$8*$D15,IF(B23="M",$D$8*$D16,0))</f>
        <v>0</v>
      </c>
      <c r="C24" s="403">
        <f t="shared" si="1"/>
        <v>0</v>
      </c>
      <c r="D24" s="403">
        <f t="shared" si="1"/>
        <v>0</v>
      </c>
      <c r="E24" s="403">
        <f t="shared" si="1"/>
        <v>0</v>
      </c>
      <c r="F24" s="403">
        <f t="shared" si="1"/>
        <v>0</v>
      </c>
      <c r="G24" s="403">
        <f t="shared" si="1"/>
        <v>0</v>
      </c>
      <c r="H24" s="403">
        <f t="shared" si="1"/>
        <v>0</v>
      </c>
      <c r="I24" s="403">
        <f t="shared" si="1"/>
        <v>0</v>
      </c>
      <c r="J24" s="403">
        <f t="shared" si="1"/>
        <v>0</v>
      </c>
      <c r="K24" s="403">
        <f t="shared" si="1"/>
        <v>0</v>
      </c>
      <c r="L24" s="403">
        <f t="shared" si="1"/>
        <v>0</v>
      </c>
      <c r="M24" s="403">
        <f t="shared" si="1"/>
        <v>0</v>
      </c>
      <c r="N24" s="403">
        <f t="shared" si="1"/>
        <v>0</v>
      </c>
      <c r="O24" s="403">
        <f t="shared" si="1"/>
        <v>0</v>
      </c>
      <c r="P24" s="403">
        <f t="shared" si="1"/>
        <v>0</v>
      </c>
      <c r="Q24" s="403">
        <f t="shared" si="1"/>
        <v>2806000</v>
      </c>
      <c r="R24" s="403">
        <f t="shared" si="1"/>
        <v>0</v>
      </c>
      <c r="S24" s="403">
        <f t="shared" si="1"/>
        <v>0</v>
      </c>
      <c r="T24" s="403">
        <f t="shared" si="1"/>
        <v>0</v>
      </c>
      <c r="U24" s="403">
        <f t="shared" si="1"/>
        <v>0</v>
      </c>
      <c r="V24" s="403">
        <f t="shared" si="1"/>
        <v>0</v>
      </c>
      <c r="W24" s="377"/>
    </row>
    <row r="25" spans="1:23">
      <c r="A25" s="378" t="s">
        <v>35</v>
      </c>
      <c r="B25" s="403"/>
      <c r="C25" s="403">
        <f t="shared" ref="C25:V25" si="2">$D$14*$D$8</f>
        <v>0</v>
      </c>
      <c r="D25" s="403">
        <f t="shared" si="2"/>
        <v>0</v>
      </c>
      <c r="E25" s="403">
        <f t="shared" si="2"/>
        <v>0</v>
      </c>
      <c r="F25" s="403">
        <f t="shared" si="2"/>
        <v>0</v>
      </c>
      <c r="G25" s="403">
        <f t="shared" si="2"/>
        <v>0</v>
      </c>
      <c r="H25" s="403">
        <f t="shared" si="2"/>
        <v>0</v>
      </c>
      <c r="I25" s="403">
        <f t="shared" si="2"/>
        <v>0</v>
      </c>
      <c r="J25" s="403">
        <f t="shared" si="2"/>
        <v>0</v>
      </c>
      <c r="K25" s="403">
        <f t="shared" si="2"/>
        <v>0</v>
      </c>
      <c r="L25" s="403">
        <f t="shared" si="2"/>
        <v>0</v>
      </c>
      <c r="M25" s="403">
        <f t="shared" si="2"/>
        <v>0</v>
      </c>
      <c r="N25" s="403">
        <f t="shared" si="2"/>
        <v>0</v>
      </c>
      <c r="O25" s="403">
        <f t="shared" si="2"/>
        <v>0</v>
      </c>
      <c r="P25" s="403">
        <f t="shared" si="2"/>
        <v>0</v>
      </c>
      <c r="Q25" s="403">
        <f t="shared" si="2"/>
        <v>0</v>
      </c>
      <c r="R25" s="403">
        <f t="shared" si="2"/>
        <v>0</v>
      </c>
      <c r="S25" s="403">
        <f t="shared" si="2"/>
        <v>0</v>
      </c>
      <c r="T25" s="403">
        <f t="shared" si="2"/>
        <v>0</v>
      </c>
      <c r="U25" s="403">
        <f t="shared" si="2"/>
        <v>0</v>
      </c>
      <c r="V25" s="403">
        <f t="shared" si="2"/>
        <v>0</v>
      </c>
      <c r="W25" s="377"/>
    </row>
    <row r="26" spans="1:23">
      <c r="A26" s="378" t="s">
        <v>36</v>
      </c>
      <c r="B26" s="403">
        <f t="shared" ref="B26:V26" si="3">IF(B23="H",$D17*$D$8,IF(B23="M",$D18*$D$8,0))</f>
        <v>0</v>
      </c>
      <c r="C26" s="403">
        <f t="shared" si="3"/>
        <v>0</v>
      </c>
      <c r="D26" s="403">
        <f t="shared" si="3"/>
        <v>0</v>
      </c>
      <c r="E26" s="403">
        <f t="shared" si="3"/>
        <v>0</v>
      </c>
      <c r="F26" s="403">
        <f t="shared" si="3"/>
        <v>0</v>
      </c>
      <c r="G26" s="403">
        <f t="shared" si="3"/>
        <v>0</v>
      </c>
      <c r="H26" s="403">
        <f t="shared" si="3"/>
        <v>0</v>
      </c>
      <c r="I26" s="403">
        <f t="shared" si="3"/>
        <v>0</v>
      </c>
      <c r="J26" s="403">
        <f t="shared" si="3"/>
        <v>0</v>
      </c>
      <c r="K26" s="403">
        <f t="shared" si="3"/>
        <v>0</v>
      </c>
      <c r="L26" s="403">
        <f t="shared" si="3"/>
        <v>0</v>
      </c>
      <c r="M26" s="403">
        <f t="shared" si="3"/>
        <v>0</v>
      </c>
      <c r="N26" s="403">
        <f t="shared" si="3"/>
        <v>0</v>
      </c>
      <c r="O26" s="403">
        <f t="shared" si="3"/>
        <v>0</v>
      </c>
      <c r="P26" s="403">
        <f t="shared" si="3"/>
        <v>0</v>
      </c>
      <c r="Q26" s="403">
        <f t="shared" si="3"/>
        <v>20000</v>
      </c>
      <c r="R26" s="403">
        <f t="shared" si="3"/>
        <v>0</v>
      </c>
      <c r="S26" s="403">
        <f t="shared" si="3"/>
        <v>0</v>
      </c>
      <c r="T26" s="403">
        <f t="shared" si="3"/>
        <v>0</v>
      </c>
      <c r="U26" s="403">
        <f t="shared" si="3"/>
        <v>0</v>
      </c>
      <c r="V26" s="403">
        <f t="shared" si="3"/>
        <v>0</v>
      </c>
      <c r="W26" s="377"/>
    </row>
    <row r="27" spans="1:23">
      <c r="A27" s="378" t="s">
        <v>37</v>
      </c>
      <c r="B27" s="177"/>
      <c r="C27" s="403">
        <f t="shared" ref="C27:V27" si="4">$D12*$D$8</f>
        <v>0</v>
      </c>
      <c r="D27" s="403">
        <f t="shared" si="4"/>
        <v>0</v>
      </c>
      <c r="E27" s="403">
        <f t="shared" si="4"/>
        <v>0</v>
      </c>
      <c r="F27" s="403">
        <f t="shared" si="4"/>
        <v>0</v>
      </c>
      <c r="G27" s="403">
        <f t="shared" si="4"/>
        <v>0</v>
      </c>
      <c r="H27" s="403">
        <f t="shared" si="4"/>
        <v>0</v>
      </c>
      <c r="I27" s="403">
        <f t="shared" si="4"/>
        <v>0</v>
      </c>
      <c r="J27" s="403">
        <f t="shared" si="4"/>
        <v>0</v>
      </c>
      <c r="K27" s="403">
        <f t="shared" si="4"/>
        <v>0</v>
      </c>
      <c r="L27" s="403">
        <f t="shared" si="4"/>
        <v>0</v>
      </c>
      <c r="M27" s="403">
        <f t="shared" si="4"/>
        <v>0</v>
      </c>
      <c r="N27" s="403">
        <f t="shared" si="4"/>
        <v>0</v>
      </c>
      <c r="O27" s="403">
        <f t="shared" si="4"/>
        <v>0</v>
      </c>
      <c r="P27" s="403">
        <f t="shared" si="4"/>
        <v>0</v>
      </c>
      <c r="Q27" s="403">
        <f t="shared" si="4"/>
        <v>0</v>
      </c>
      <c r="R27" s="403">
        <f t="shared" si="4"/>
        <v>0</v>
      </c>
      <c r="S27" s="403">
        <f t="shared" si="4"/>
        <v>0</v>
      </c>
      <c r="T27" s="403">
        <f t="shared" si="4"/>
        <v>0</v>
      </c>
      <c r="U27" s="403">
        <f t="shared" si="4"/>
        <v>0</v>
      </c>
      <c r="V27" s="403">
        <f t="shared" si="4"/>
        <v>0</v>
      </c>
      <c r="W27" s="377"/>
    </row>
    <row r="28" spans="1:23" ht="13.5" thickBot="1">
      <c r="A28" s="378" t="s">
        <v>38</v>
      </c>
      <c r="B28" s="403">
        <f>IF(B23="M",$D$8*($D13*16),0)</f>
        <v>0</v>
      </c>
      <c r="C28" s="403">
        <f t="shared" ref="C28:V28" si="5">IF(C23="M",$D$8*($D13*16),0)</f>
        <v>0</v>
      </c>
      <c r="D28" s="403">
        <f t="shared" si="5"/>
        <v>0</v>
      </c>
      <c r="E28" s="403">
        <f t="shared" si="5"/>
        <v>0</v>
      </c>
      <c r="F28" s="403">
        <f t="shared" si="5"/>
        <v>0</v>
      </c>
      <c r="G28" s="403">
        <f t="shared" si="5"/>
        <v>0</v>
      </c>
      <c r="H28" s="403">
        <f t="shared" si="5"/>
        <v>0</v>
      </c>
      <c r="I28" s="403">
        <f t="shared" si="5"/>
        <v>0</v>
      </c>
      <c r="J28" s="403">
        <f t="shared" si="5"/>
        <v>0</v>
      </c>
      <c r="K28" s="403">
        <f t="shared" si="5"/>
        <v>0</v>
      </c>
      <c r="L28" s="403">
        <f t="shared" si="5"/>
        <v>0</v>
      </c>
      <c r="M28" s="403">
        <f t="shared" si="5"/>
        <v>0</v>
      </c>
      <c r="N28" s="403">
        <f t="shared" si="5"/>
        <v>0</v>
      </c>
      <c r="O28" s="403">
        <f t="shared" si="5"/>
        <v>0</v>
      </c>
      <c r="P28" s="403">
        <f t="shared" si="5"/>
        <v>0</v>
      </c>
      <c r="Q28" s="403">
        <f t="shared" si="5"/>
        <v>0</v>
      </c>
      <c r="R28" s="403">
        <f t="shared" si="5"/>
        <v>0</v>
      </c>
      <c r="S28" s="403">
        <f t="shared" si="5"/>
        <v>0</v>
      </c>
      <c r="T28" s="403">
        <f t="shared" si="5"/>
        <v>0</v>
      </c>
      <c r="U28" s="403">
        <f t="shared" si="5"/>
        <v>0</v>
      </c>
      <c r="V28" s="403">
        <f t="shared" si="5"/>
        <v>0</v>
      </c>
      <c r="W28" s="377"/>
    </row>
    <row r="29" spans="1:23" ht="16.5" thickBot="1">
      <c r="A29" s="404" t="s">
        <v>39</v>
      </c>
      <c r="B29" s="405">
        <f t="shared" ref="B29:V29" si="6">SUM(B24:B28)</f>
        <v>0</v>
      </c>
      <c r="C29" s="405">
        <f t="shared" si="6"/>
        <v>0</v>
      </c>
      <c r="D29" s="405">
        <f t="shared" si="6"/>
        <v>0</v>
      </c>
      <c r="E29" s="405">
        <f t="shared" si="6"/>
        <v>0</v>
      </c>
      <c r="F29" s="405">
        <f t="shared" si="6"/>
        <v>0</v>
      </c>
      <c r="G29" s="405">
        <f t="shared" si="6"/>
        <v>0</v>
      </c>
      <c r="H29" s="405">
        <f t="shared" si="6"/>
        <v>0</v>
      </c>
      <c r="I29" s="405">
        <f t="shared" si="6"/>
        <v>0</v>
      </c>
      <c r="J29" s="405">
        <f t="shared" si="6"/>
        <v>0</v>
      </c>
      <c r="K29" s="405">
        <f t="shared" si="6"/>
        <v>0</v>
      </c>
      <c r="L29" s="405">
        <f t="shared" si="6"/>
        <v>0</v>
      </c>
      <c r="M29" s="405">
        <f t="shared" si="6"/>
        <v>0</v>
      </c>
      <c r="N29" s="405">
        <f t="shared" si="6"/>
        <v>0</v>
      </c>
      <c r="O29" s="405">
        <f t="shared" si="6"/>
        <v>0</v>
      </c>
      <c r="P29" s="405">
        <f t="shared" si="6"/>
        <v>0</v>
      </c>
      <c r="Q29" s="405">
        <f t="shared" si="6"/>
        <v>2826000</v>
      </c>
      <c r="R29" s="405">
        <f t="shared" si="6"/>
        <v>0</v>
      </c>
      <c r="S29" s="405">
        <f t="shared" si="6"/>
        <v>0</v>
      </c>
      <c r="T29" s="405">
        <f t="shared" si="6"/>
        <v>0</v>
      </c>
      <c r="U29" s="405">
        <f t="shared" si="6"/>
        <v>0</v>
      </c>
      <c r="V29" s="405">
        <f t="shared" si="6"/>
        <v>0</v>
      </c>
      <c r="W29" s="406">
        <f>SUM(B29:V29)</f>
        <v>2826000</v>
      </c>
    </row>
    <row r="30" spans="1:23" ht="15.75">
      <c r="A30" s="407"/>
      <c r="B30" s="405"/>
      <c r="C30" s="405"/>
      <c r="D30" s="405"/>
      <c r="E30" s="405"/>
      <c r="F30" s="405"/>
      <c r="G30" s="405"/>
      <c r="H30" s="405"/>
      <c r="I30" s="405"/>
      <c r="J30" s="405"/>
      <c r="K30" s="405"/>
      <c r="L30" s="405"/>
      <c r="M30" s="405"/>
      <c r="N30" s="405"/>
      <c r="O30" s="405"/>
      <c r="P30" s="405"/>
      <c r="Q30" s="405"/>
      <c r="R30" s="405"/>
      <c r="S30" s="405"/>
      <c r="T30" s="405"/>
      <c r="U30" s="405"/>
      <c r="V30" s="405"/>
      <c r="W30" s="408"/>
    </row>
    <row r="31" spans="1:23">
      <c r="A31" s="378" t="s">
        <v>40</v>
      </c>
      <c r="B31" s="115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377"/>
    </row>
    <row r="32" spans="1:23">
      <c r="A32" s="378" t="s">
        <v>41</v>
      </c>
      <c r="B32" s="115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377"/>
    </row>
    <row r="33" spans="1:26">
      <c r="A33" s="378" t="s">
        <v>103</v>
      </c>
      <c r="B33" s="115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377"/>
    </row>
    <row r="34" spans="1:26">
      <c r="A34" s="378" t="s">
        <v>105</v>
      </c>
      <c r="B34" s="115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377"/>
    </row>
    <row r="35" spans="1:26" ht="13.5" thickBot="1">
      <c r="A35" s="382" t="s">
        <v>106</v>
      </c>
      <c r="B35" s="383"/>
      <c r="C35" s="383"/>
      <c r="D35" s="383"/>
      <c r="E35" s="383"/>
      <c r="F35" s="383"/>
      <c r="G35" s="383"/>
      <c r="H35" s="383"/>
      <c r="I35" s="383"/>
      <c r="J35" s="383"/>
      <c r="K35" s="383"/>
      <c r="L35" s="383"/>
      <c r="M35" s="383"/>
      <c r="N35" s="383"/>
      <c r="O35" s="383"/>
      <c r="P35" s="383"/>
      <c r="Q35" s="383"/>
      <c r="R35" s="383"/>
      <c r="S35" s="383"/>
      <c r="T35" s="383"/>
      <c r="U35" s="383"/>
      <c r="V35" s="383"/>
      <c r="W35" s="384"/>
    </row>
    <row r="36" spans="1:26">
      <c r="A36" s="115"/>
      <c r="B36" s="115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</row>
    <row r="37" spans="1:26" ht="13.5" hidden="1" thickBot="1">
      <c r="A37" s="115"/>
      <c r="B37" s="115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</row>
    <row r="38" spans="1:26" ht="18.75" hidden="1" thickBot="1">
      <c r="A38" s="706" t="s">
        <v>43</v>
      </c>
      <c r="B38" s="707"/>
      <c r="C38" s="707"/>
      <c r="D38" s="707"/>
      <c r="E38" s="707"/>
      <c r="F38" s="707"/>
      <c r="G38" s="707"/>
      <c r="H38" s="707"/>
      <c r="I38" s="707"/>
      <c r="J38" s="707"/>
      <c r="K38" s="708"/>
      <c r="L38" s="115"/>
      <c r="M38" s="115"/>
    </row>
    <row r="39" spans="1:26" ht="18.75" hidden="1" thickBot="1">
      <c r="A39" s="374" t="s">
        <v>3</v>
      </c>
      <c r="B39" s="115"/>
      <c r="C39" s="115"/>
      <c r="D39" s="115"/>
      <c r="E39" s="115"/>
      <c r="F39" s="703" t="s">
        <v>4</v>
      </c>
      <c r="G39" s="703"/>
      <c r="H39" s="409">
        <v>20</v>
      </c>
      <c r="I39" s="410" t="s">
        <v>5</v>
      </c>
      <c r="J39" s="115"/>
      <c r="K39" s="377"/>
    </row>
    <row r="40" spans="1:26" ht="18" hidden="1">
      <c r="A40" s="374" t="s">
        <v>44</v>
      </c>
      <c r="B40" s="115"/>
      <c r="C40" s="115"/>
      <c r="D40" s="115"/>
      <c r="E40" s="115"/>
      <c r="F40" s="115"/>
      <c r="G40" s="115"/>
      <c r="H40" s="375">
        <f>V64</f>
        <v>28438800</v>
      </c>
      <c r="I40" s="376" t="s">
        <v>7</v>
      </c>
      <c r="J40" s="115"/>
      <c r="K40" s="377"/>
    </row>
    <row r="41" spans="1:26" ht="18.75" hidden="1" thickBot="1">
      <c r="A41" s="378"/>
      <c r="B41" s="115"/>
      <c r="C41" s="115"/>
      <c r="D41" s="115"/>
      <c r="E41" s="115"/>
      <c r="F41" s="115"/>
      <c r="G41" s="115"/>
      <c r="H41" s="375">
        <f>H40/$D$8</f>
        <v>14219400</v>
      </c>
      <c r="I41" s="376" t="s">
        <v>8</v>
      </c>
      <c r="J41" s="115"/>
      <c r="K41" s="377"/>
    </row>
    <row r="42" spans="1:26" ht="18.75" hidden="1" thickBot="1">
      <c r="A42" s="374" t="s">
        <v>9</v>
      </c>
      <c r="B42" s="379"/>
      <c r="C42" s="379"/>
      <c r="D42" s="371">
        <v>1</v>
      </c>
      <c r="E42" s="115"/>
      <c r="F42" s="115"/>
      <c r="G42" s="115"/>
      <c r="H42" s="375">
        <f>H41/H39</f>
        <v>710970</v>
      </c>
      <c r="I42" s="376" t="s">
        <v>10</v>
      </c>
      <c r="J42" s="115"/>
      <c r="K42" s="377"/>
    </row>
    <row r="43" spans="1:26" ht="18.75" hidden="1" thickBot="1">
      <c r="A43" s="378"/>
      <c r="B43" s="115"/>
      <c r="C43" s="115"/>
      <c r="D43" s="115"/>
      <c r="E43" s="115"/>
      <c r="F43" s="115"/>
      <c r="G43" s="115"/>
      <c r="H43" s="411">
        <f>H42/C54</f>
        <v>88.871250000000003</v>
      </c>
      <c r="I43" s="376" t="s">
        <v>11</v>
      </c>
      <c r="J43" s="115"/>
      <c r="K43" s="377"/>
    </row>
    <row r="44" spans="1:26" ht="13.5" hidden="1" thickBot="1">
      <c r="A44" s="378"/>
      <c r="B44" s="115"/>
      <c r="C44" s="115"/>
      <c r="D44" s="115"/>
      <c r="E44" s="115"/>
      <c r="F44" s="115"/>
      <c r="G44" s="115"/>
      <c r="H44" s="115"/>
      <c r="I44" s="115"/>
      <c r="J44" s="115"/>
      <c r="K44" s="377"/>
    </row>
    <row r="45" spans="1:26" ht="15.75" hidden="1">
      <c r="A45" s="412"/>
      <c r="B45" s="388"/>
      <c r="C45" s="388"/>
      <c r="D45" s="413" t="s">
        <v>12</v>
      </c>
      <c r="E45" s="388"/>
      <c r="F45" s="388"/>
      <c r="G45" s="388"/>
      <c r="H45" s="388"/>
      <c r="I45" s="388"/>
      <c r="J45" s="388"/>
      <c r="K45" s="388"/>
      <c r="L45" s="370"/>
      <c r="M45" s="388"/>
      <c r="N45" s="388"/>
      <c r="O45" s="388"/>
      <c r="P45" s="388"/>
      <c r="Q45" s="388"/>
      <c r="R45" s="388"/>
      <c r="S45" s="388"/>
      <c r="T45" s="388"/>
      <c r="U45" s="388"/>
      <c r="V45" s="370"/>
      <c r="W45" s="373"/>
    </row>
    <row r="46" spans="1:26" hidden="1">
      <c r="A46" s="389" t="s">
        <v>13</v>
      </c>
      <c r="B46" s="390"/>
      <c r="C46" s="391"/>
      <c r="D46" s="392">
        <v>0</v>
      </c>
      <c r="E46" s="393" t="s">
        <v>14</v>
      </c>
      <c r="F46" s="386"/>
      <c r="G46" s="386"/>
      <c r="H46" s="394" t="s">
        <v>15</v>
      </c>
      <c r="I46" s="394"/>
      <c r="J46" s="386"/>
      <c r="K46" s="386"/>
      <c r="L46" s="115"/>
      <c r="M46" s="386"/>
      <c r="N46" s="386"/>
      <c r="O46" s="386"/>
      <c r="P46" s="386"/>
      <c r="Q46" s="386"/>
      <c r="R46" s="386"/>
      <c r="S46" s="386"/>
      <c r="T46" s="386"/>
      <c r="U46" s="386"/>
      <c r="V46" s="115"/>
      <c r="W46" s="377"/>
    </row>
    <row r="47" spans="1:26" hidden="1">
      <c r="A47" s="389" t="s">
        <v>16</v>
      </c>
      <c r="B47" s="390"/>
      <c r="C47" s="391"/>
      <c r="D47" s="392">
        <v>23900</v>
      </c>
      <c r="E47" s="395" t="s">
        <v>17</v>
      </c>
      <c r="F47" s="386"/>
      <c r="G47" s="386"/>
      <c r="H47" s="394" t="s">
        <v>45</v>
      </c>
      <c r="I47" s="115"/>
      <c r="J47" s="386"/>
      <c r="K47" s="386"/>
      <c r="L47" s="115"/>
      <c r="M47" s="386"/>
      <c r="N47" s="386"/>
      <c r="O47" s="386"/>
      <c r="P47" s="386"/>
      <c r="Q47" s="386"/>
      <c r="R47" s="386"/>
      <c r="S47" s="386"/>
      <c r="T47" s="386"/>
      <c r="U47" s="386"/>
      <c r="V47" s="115"/>
      <c r="W47" s="377"/>
    </row>
    <row r="48" spans="1:26" hidden="1">
      <c r="A48" s="389" t="s">
        <v>18</v>
      </c>
      <c r="B48" s="390"/>
      <c r="C48" s="391"/>
      <c r="D48" s="392">
        <v>0</v>
      </c>
      <c r="E48" s="395" t="s">
        <v>19</v>
      </c>
      <c r="F48" s="386"/>
      <c r="G48" s="386"/>
      <c r="H48" s="394" t="s">
        <v>20</v>
      </c>
      <c r="I48" s="394"/>
      <c r="J48" s="386"/>
      <c r="K48" s="386"/>
      <c r="L48" s="115"/>
      <c r="M48" s="386"/>
      <c r="N48" s="386"/>
      <c r="O48" s="386"/>
      <c r="P48" s="386"/>
      <c r="Q48" s="386"/>
      <c r="R48" s="386"/>
      <c r="S48" s="386"/>
      <c r="T48" s="386"/>
      <c r="U48" s="386"/>
      <c r="V48" s="115"/>
      <c r="W48" s="377"/>
    </row>
    <row r="49" spans="1:23" hidden="1">
      <c r="A49" s="389" t="s">
        <v>21</v>
      </c>
      <c r="B49" s="390"/>
      <c r="C49" s="391"/>
      <c r="D49" s="392">
        <v>1403000</v>
      </c>
      <c r="E49" s="395" t="s">
        <v>22</v>
      </c>
      <c r="F49" s="394" t="s">
        <v>46</v>
      </c>
      <c r="G49" s="386"/>
      <c r="H49" s="394" t="s">
        <v>23</v>
      </c>
      <c r="I49" s="115"/>
      <c r="J49" s="386"/>
      <c r="K49" s="386"/>
      <c r="L49" s="115"/>
      <c r="M49" s="386"/>
      <c r="N49" s="386"/>
      <c r="O49" s="386"/>
      <c r="P49" s="386"/>
      <c r="Q49" s="386"/>
      <c r="R49" s="386"/>
      <c r="S49" s="386"/>
      <c r="T49" s="386"/>
      <c r="U49" s="386"/>
      <c r="V49" s="115"/>
      <c r="W49" s="377"/>
    </row>
    <row r="50" spans="1:23" hidden="1">
      <c r="A50" s="389" t="s">
        <v>24</v>
      </c>
      <c r="B50" s="390"/>
      <c r="C50" s="391"/>
      <c r="D50" s="392">
        <v>3000000</v>
      </c>
      <c r="E50" s="395" t="s">
        <v>22</v>
      </c>
      <c r="F50" s="386"/>
      <c r="G50" s="386"/>
      <c r="H50" s="394" t="s">
        <v>25</v>
      </c>
      <c r="I50" s="115"/>
      <c r="J50" s="386"/>
      <c r="K50" s="386"/>
      <c r="L50" s="115"/>
      <c r="M50" s="386"/>
      <c r="N50" s="386"/>
      <c r="O50" s="386"/>
      <c r="P50" s="386"/>
      <c r="Q50" s="386"/>
      <c r="R50" s="386"/>
      <c r="S50" s="386"/>
      <c r="T50" s="386"/>
      <c r="U50" s="386"/>
      <c r="V50" s="115"/>
      <c r="W50" s="377"/>
    </row>
    <row r="51" spans="1:23" hidden="1">
      <c r="A51" s="389" t="s">
        <v>26</v>
      </c>
      <c r="B51" s="390"/>
      <c r="C51" s="391"/>
      <c r="D51" s="396">
        <v>25000</v>
      </c>
      <c r="E51" s="397"/>
      <c r="F51" s="386"/>
      <c r="G51" s="386"/>
      <c r="H51" s="394" t="s">
        <v>27</v>
      </c>
      <c r="I51" s="386"/>
      <c r="J51" s="386"/>
      <c r="K51" s="386"/>
      <c r="L51" s="115"/>
      <c r="M51" s="386"/>
      <c r="N51" s="386"/>
      <c r="O51" s="386"/>
      <c r="P51" s="386"/>
      <c r="Q51" s="386"/>
      <c r="R51" s="386"/>
      <c r="S51" s="386"/>
      <c r="T51" s="386"/>
      <c r="U51" s="386"/>
      <c r="V51" s="115"/>
      <c r="W51" s="377"/>
    </row>
    <row r="52" spans="1:23" hidden="1">
      <c r="A52" s="389" t="s">
        <v>28</v>
      </c>
      <c r="B52" s="390"/>
      <c r="C52" s="391"/>
      <c r="D52" s="396">
        <v>25000</v>
      </c>
      <c r="E52" s="397"/>
      <c r="F52" s="386"/>
      <c r="G52" s="386"/>
      <c r="H52" s="394" t="s">
        <v>27</v>
      </c>
      <c r="I52" s="386"/>
      <c r="J52" s="386"/>
      <c r="K52" s="115"/>
      <c r="L52" s="115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377"/>
    </row>
    <row r="53" spans="1:23" hidden="1">
      <c r="A53" s="378"/>
      <c r="B53" s="386"/>
      <c r="C53" s="386"/>
      <c r="D53" s="386"/>
      <c r="E53" s="386"/>
      <c r="F53" s="386"/>
      <c r="G53" s="386"/>
      <c r="H53" s="386"/>
      <c r="I53" s="386"/>
      <c r="J53" s="386"/>
      <c r="K53" s="115"/>
      <c r="L53" s="115"/>
      <c r="M53" s="115"/>
      <c r="N53" s="115"/>
      <c r="O53" s="115"/>
      <c r="P53" s="115"/>
      <c r="Q53" s="115"/>
      <c r="R53" s="115"/>
      <c r="S53" s="115"/>
      <c r="T53" s="115"/>
      <c r="U53" s="115"/>
      <c r="V53" s="115"/>
      <c r="W53" s="377"/>
    </row>
    <row r="54" spans="1:23" hidden="1">
      <c r="A54" s="398" t="s">
        <v>29</v>
      </c>
      <c r="B54" s="399"/>
      <c r="C54" s="400">
        <v>8000</v>
      </c>
      <c r="D54" s="401" t="s">
        <v>30</v>
      </c>
      <c r="E54" s="115"/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5"/>
      <c r="Q54" s="115"/>
      <c r="R54" s="115"/>
      <c r="S54" s="115"/>
      <c r="T54" s="115"/>
      <c r="U54" s="115"/>
      <c r="V54" s="115"/>
      <c r="W54" s="377"/>
    </row>
    <row r="55" spans="1:23" hidden="1">
      <c r="A55" s="378" t="s">
        <v>31</v>
      </c>
      <c r="B55" s="177">
        <v>0</v>
      </c>
      <c r="C55" s="177">
        <v>1</v>
      </c>
      <c r="D55" s="177">
        <v>2</v>
      </c>
      <c r="E55" s="177">
        <v>3</v>
      </c>
      <c r="F55" s="177">
        <v>4</v>
      </c>
      <c r="G55" s="177">
        <v>5</v>
      </c>
      <c r="H55" s="177">
        <v>6</v>
      </c>
      <c r="I55" s="177">
        <v>7</v>
      </c>
      <c r="J55" s="177">
        <v>8</v>
      </c>
      <c r="K55" s="177">
        <v>9</v>
      </c>
      <c r="L55" s="177">
        <v>10</v>
      </c>
      <c r="M55" s="177">
        <v>11</v>
      </c>
      <c r="N55" s="177">
        <v>12</v>
      </c>
      <c r="O55" s="177">
        <v>13</v>
      </c>
      <c r="P55" s="177">
        <v>14</v>
      </c>
      <c r="Q55" s="177">
        <v>15</v>
      </c>
      <c r="R55" s="177">
        <v>16</v>
      </c>
      <c r="S55" s="177">
        <v>17</v>
      </c>
      <c r="T55" s="177">
        <v>18</v>
      </c>
      <c r="U55" s="177">
        <v>19</v>
      </c>
      <c r="V55" s="177">
        <v>20</v>
      </c>
      <c r="W55" s="377"/>
    </row>
    <row r="56" spans="1:23" hidden="1">
      <c r="A56" s="378" t="s">
        <v>32</v>
      </c>
      <c r="B56" s="402"/>
      <c r="C56" s="402">
        <f>$C54</f>
        <v>8000</v>
      </c>
      <c r="D56" s="402">
        <f t="shared" ref="D56:V56" si="7">C56+$C54</f>
        <v>16000</v>
      </c>
      <c r="E56" s="402">
        <f t="shared" si="7"/>
        <v>24000</v>
      </c>
      <c r="F56" s="402">
        <f t="shared" si="7"/>
        <v>32000</v>
      </c>
      <c r="G56" s="402">
        <f t="shared" si="7"/>
        <v>40000</v>
      </c>
      <c r="H56" s="402">
        <f t="shared" si="7"/>
        <v>48000</v>
      </c>
      <c r="I56" s="402">
        <f t="shared" si="7"/>
        <v>56000</v>
      </c>
      <c r="J56" s="402">
        <f t="shared" si="7"/>
        <v>64000</v>
      </c>
      <c r="K56" s="402">
        <f t="shared" si="7"/>
        <v>72000</v>
      </c>
      <c r="L56" s="402">
        <f t="shared" si="7"/>
        <v>80000</v>
      </c>
      <c r="M56" s="402">
        <f t="shared" si="7"/>
        <v>88000</v>
      </c>
      <c r="N56" s="402">
        <f t="shared" si="7"/>
        <v>96000</v>
      </c>
      <c r="O56" s="402">
        <f t="shared" si="7"/>
        <v>104000</v>
      </c>
      <c r="P56" s="402">
        <f t="shared" si="7"/>
        <v>112000</v>
      </c>
      <c r="Q56" s="402">
        <f t="shared" si="7"/>
        <v>120000</v>
      </c>
      <c r="R56" s="402">
        <f t="shared" si="7"/>
        <v>128000</v>
      </c>
      <c r="S56" s="402">
        <f t="shared" si="7"/>
        <v>136000</v>
      </c>
      <c r="T56" s="402">
        <f t="shared" si="7"/>
        <v>144000</v>
      </c>
      <c r="U56" s="402">
        <f t="shared" si="7"/>
        <v>152000</v>
      </c>
      <c r="V56" s="402">
        <f t="shared" si="7"/>
        <v>160000</v>
      </c>
      <c r="W56" s="377"/>
    </row>
    <row r="57" spans="1:23" hidden="1">
      <c r="A57" s="378" t="s">
        <v>47</v>
      </c>
      <c r="B57" s="177"/>
      <c r="C57" s="177"/>
      <c r="D57" s="177"/>
      <c r="E57" s="177" t="s">
        <v>48</v>
      </c>
      <c r="F57" s="177"/>
      <c r="G57" s="177"/>
      <c r="H57" s="177" t="s">
        <v>261</v>
      </c>
      <c r="I57" s="177"/>
      <c r="J57" s="177"/>
      <c r="K57" s="177"/>
      <c r="L57" s="177" t="s">
        <v>48</v>
      </c>
      <c r="M57" s="177"/>
      <c r="N57" s="177" t="s">
        <v>261</v>
      </c>
      <c r="O57" s="177"/>
      <c r="P57" s="177"/>
      <c r="Q57" s="177" t="s">
        <v>48</v>
      </c>
      <c r="R57" s="177"/>
      <c r="S57" s="177"/>
      <c r="T57" s="177" t="s">
        <v>261</v>
      </c>
      <c r="U57" s="177"/>
      <c r="V57" s="177"/>
      <c r="W57" s="377"/>
    </row>
    <row r="58" spans="1:23" hidden="1">
      <c r="A58" s="378" t="s">
        <v>49</v>
      </c>
      <c r="B58" s="403">
        <f t="shared" ref="B58:V58" si="8">IF(B57="H",$D$8*$D49,IF(B57="M",$D$8*$D50,0))</f>
        <v>0</v>
      </c>
      <c r="C58" s="403">
        <f t="shared" si="8"/>
        <v>0</v>
      </c>
      <c r="D58" s="403">
        <f t="shared" si="8"/>
        <v>0</v>
      </c>
      <c r="E58" s="403">
        <f t="shared" si="8"/>
        <v>2806000</v>
      </c>
      <c r="F58" s="403">
        <f t="shared" si="8"/>
        <v>0</v>
      </c>
      <c r="G58" s="403">
        <f t="shared" si="8"/>
        <v>0</v>
      </c>
      <c r="H58" s="403">
        <f t="shared" si="8"/>
        <v>6000000</v>
      </c>
      <c r="I58" s="403">
        <f t="shared" si="8"/>
        <v>0</v>
      </c>
      <c r="J58" s="403">
        <f t="shared" si="8"/>
        <v>0</v>
      </c>
      <c r="K58" s="403">
        <f t="shared" si="8"/>
        <v>0</v>
      </c>
      <c r="L58" s="403">
        <f t="shared" si="8"/>
        <v>2806000</v>
      </c>
      <c r="M58" s="403">
        <f t="shared" si="8"/>
        <v>0</v>
      </c>
      <c r="N58" s="403">
        <f t="shared" si="8"/>
        <v>6000000</v>
      </c>
      <c r="O58" s="403">
        <f t="shared" si="8"/>
        <v>0</v>
      </c>
      <c r="P58" s="403">
        <f t="shared" si="8"/>
        <v>0</v>
      </c>
      <c r="Q58" s="403">
        <f t="shared" si="8"/>
        <v>2806000</v>
      </c>
      <c r="R58" s="403">
        <f t="shared" si="8"/>
        <v>0</v>
      </c>
      <c r="S58" s="403">
        <f t="shared" si="8"/>
        <v>0</v>
      </c>
      <c r="T58" s="403">
        <f t="shared" si="8"/>
        <v>6000000</v>
      </c>
      <c r="U58" s="403">
        <f t="shared" si="8"/>
        <v>0</v>
      </c>
      <c r="V58" s="403">
        <f t="shared" si="8"/>
        <v>0</v>
      </c>
      <c r="W58" s="377"/>
    </row>
    <row r="59" spans="1:23" hidden="1">
      <c r="A59" s="378" t="s">
        <v>35</v>
      </c>
      <c r="B59" s="403"/>
      <c r="C59" s="403">
        <f t="shared" ref="C59:V59" si="9">$D48*$D$8</f>
        <v>0</v>
      </c>
      <c r="D59" s="403">
        <f t="shared" si="9"/>
        <v>0</v>
      </c>
      <c r="E59" s="403">
        <f t="shared" si="9"/>
        <v>0</v>
      </c>
      <c r="F59" s="403">
        <f t="shared" si="9"/>
        <v>0</v>
      </c>
      <c r="G59" s="403">
        <f t="shared" si="9"/>
        <v>0</v>
      </c>
      <c r="H59" s="403">
        <f t="shared" si="9"/>
        <v>0</v>
      </c>
      <c r="I59" s="403">
        <f t="shared" si="9"/>
        <v>0</v>
      </c>
      <c r="J59" s="403">
        <f t="shared" si="9"/>
        <v>0</v>
      </c>
      <c r="K59" s="403">
        <f t="shared" si="9"/>
        <v>0</v>
      </c>
      <c r="L59" s="403">
        <f t="shared" si="9"/>
        <v>0</v>
      </c>
      <c r="M59" s="403">
        <f t="shared" si="9"/>
        <v>0</v>
      </c>
      <c r="N59" s="403">
        <f t="shared" si="9"/>
        <v>0</v>
      </c>
      <c r="O59" s="403">
        <f t="shared" si="9"/>
        <v>0</v>
      </c>
      <c r="P59" s="403">
        <f t="shared" si="9"/>
        <v>0</v>
      </c>
      <c r="Q59" s="403">
        <f t="shared" si="9"/>
        <v>0</v>
      </c>
      <c r="R59" s="403">
        <f t="shared" si="9"/>
        <v>0</v>
      </c>
      <c r="S59" s="403">
        <f t="shared" si="9"/>
        <v>0</v>
      </c>
      <c r="T59" s="403">
        <f t="shared" si="9"/>
        <v>0</v>
      </c>
      <c r="U59" s="403">
        <f t="shared" si="9"/>
        <v>0</v>
      </c>
      <c r="V59" s="403">
        <f t="shared" si="9"/>
        <v>0</v>
      </c>
      <c r="W59" s="377"/>
    </row>
    <row r="60" spans="1:23" hidden="1">
      <c r="A60" s="378" t="s">
        <v>36</v>
      </c>
      <c r="B60" s="403">
        <f t="shared" ref="B60:V60" si="10">IF(B57="H",$D51*$D$8,IF(B57="M",$D52*$D$8,0))</f>
        <v>0</v>
      </c>
      <c r="C60" s="403">
        <f t="shared" si="10"/>
        <v>0</v>
      </c>
      <c r="D60" s="403">
        <f t="shared" si="10"/>
        <v>0</v>
      </c>
      <c r="E60" s="403">
        <f t="shared" si="10"/>
        <v>50000</v>
      </c>
      <c r="F60" s="403">
        <f t="shared" si="10"/>
        <v>0</v>
      </c>
      <c r="G60" s="403">
        <f t="shared" si="10"/>
        <v>0</v>
      </c>
      <c r="H60" s="403">
        <f t="shared" si="10"/>
        <v>50000</v>
      </c>
      <c r="I60" s="403">
        <f t="shared" si="10"/>
        <v>0</v>
      </c>
      <c r="J60" s="403">
        <f t="shared" si="10"/>
        <v>0</v>
      </c>
      <c r="K60" s="403">
        <f t="shared" si="10"/>
        <v>0</v>
      </c>
      <c r="L60" s="403">
        <f t="shared" si="10"/>
        <v>50000</v>
      </c>
      <c r="M60" s="403">
        <f t="shared" si="10"/>
        <v>0</v>
      </c>
      <c r="N60" s="403">
        <f t="shared" si="10"/>
        <v>50000</v>
      </c>
      <c r="O60" s="403">
        <f t="shared" si="10"/>
        <v>0</v>
      </c>
      <c r="P60" s="403">
        <f t="shared" si="10"/>
        <v>0</v>
      </c>
      <c r="Q60" s="403">
        <f t="shared" si="10"/>
        <v>50000</v>
      </c>
      <c r="R60" s="403">
        <f t="shared" si="10"/>
        <v>0</v>
      </c>
      <c r="S60" s="403">
        <f t="shared" si="10"/>
        <v>0</v>
      </c>
      <c r="T60" s="403">
        <f t="shared" si="10"/>
        <v>50000</v>
      </c>
      <c r="U60" s="403">
        <f t="shared" si="10"/>
        <v>0</v>
      </c>
      <c r="V60" s="403">
        <f t="shared" si="10"/>
        <v>0</v>
      </c>
      <c r="W60" s="377"/>
    </row>
    <row r="61" spans="1:23" hidden="1">
      <c r="A61" s="378" t="s">
        <v>37</v>
      </c>
      <c r="B61" s="177"/>
      <c r="C61" s="403">
        <f t="shared" ref="C61:V61" si="11">$D46*$D$8</f>
        <v>0</v>
      </c>
      <c r="D61" s="403">
        <f t="shared" si="11"/>
        <v>0</v>
      </c>
      <c r="E61" s="403">
        <f t="shared" si="11"/>
        <v>0</v>
      </c>
      <c r="F61" s="403">
        <f t="shared" si="11"/>
        <v>0</v>
      </c>
      <c r="G61" s="403">
        <f t="shared" si="11"/>
        <v>0</v>
      </c>
      <c r="H61" s="403">
        <f t="shared" si="11"/>
        <v>0</v>
      </c>
      <c r="I61" s="403">
        <f t="shared" si="11"/>
        <v>0</v>
      </c>
      <c r="J61" s="403">
        <f t="shared" si="11"/>
        <v>0</v>
      </c>
      <c r="K61" s="403">
        <f t="shared" si="11"/>
        <v>0</v>
      </c>
      <c r="L61" s="403">
        <f t="shared" si="11"/>
        <v>0</v>
      </c>
      <c r="M61" s="403">
        <f t="shared" si="11"/>
        <v>0</v>
      </c>
      <c r="N61" s="403">
        <f t="shared" si="11"/>
        <v>0</v>
      </c>
      <c r="O61" s="403">
        <f t="shared" si="11"/>
        <v>0</v>
      </c>
      <c r="P61" s="403">
        <f t="shared" si="11"/>
        <v>0</v>
      </c>
      <c r="Q61" s="403">
        <f t="shared" si="11"/>
        <v>0</v>
      </c>
      <c r="R61" s="403">
        <f t="shared" si="11"/>
        <v>0</v>
      </c>
      <c r="S61" s="403">
        <f t="shared" si="11"/>
        <v>0</v>
      </c>
      <c r="T61" s="403">
        <f t="shared" si="11"/>
        <v>0</v>
      </c>
      <c r="U61" s="403">
        <f t="shared" si="11"/>
        <v>0</v>
      </c>
      <c r="V61" s="403">
        <f t="shared" si="11"/>
        <v>0</v>
      </c>
      <c r="W61" s="377"/>
    </row>
    <row r="62" spans="1:23" hidden="1">
      <c r="A62" s="378" t="s">
        <v>38</v>
      </c>
      <c r="B62" s="403">
        <f t="shared" ref="B62:V62" si="12">IF(B57="M",$D$8*($D47*12),0)</f>
        <v>0</v>
      </c>
      <c r="C62" s="403">
        <f t="shared" si="12"/>
        <v>0</v>
      </c>
      <c r="D62" s="403">
        <f t="shared" si="12"/>
        <v>0</v>
      </c>
      <c r="E62" s="403">
        <f t="shared" si="12"/>
        <v>0</v>
      </c>
      <c r="F62" s="403">
        <f t="shared" si="12"/>
        <v>0</v>
      </c>
      <c r="G62" s="403">
        <f t="shared" si="12"/>
        <v>0</v>
      </c>
      <c r="H62" s="403">
        <f t="shared" si="12"/>
        <v>573600</v>
      </c>
      <c r="I62" s="403">
        <f t="shared" si="12"/>
        <v>0</v>
      </c>
      <c r="J62" s="403">
        <f t="shared" si="12"/>
        <v>0</v>
      </c>
      <c r="K62" s="403">
        <f t="shared" si="12"/>
        <v>0</v>
      </c>
      <c r="L62" s="403">
        <f t="shared" si="12"/>
        <v>0</v>
      </c>
      <c r="M62" s="403">
        <f t="shared" si="12"/>
        <v>0</v>
      </c>
      <c r="N62" s="403">
        <f t="shared" si="12"/>
        <v>573600</v>
      </c>
      <c r="O62" s="403">
        <f t="shared" si="12"/>
        <v>0</v>
      </c>
      <c r="P62" s="403">
        <f t="shared" si="12"/>
        <v>0</v>
      </c>
      <c r="Q62" s="403">
        <f t="shared" si="12"/>
        <v>0</v>
      </c>
      <c r="R62" s="403">
        <f t="shared" si="12"/>
        <v>0</v>
      </c>
      <c r="S62" s="403">
        <f t="shared" si="12"/>
        <v>0</v>
      </c>
      <c r="T62" s="403">
        <f t="shared" si="12"/>
        <v>573600</v>
      </c>
      <c r="U62" s="403">
        <f t="shared" si="12"/>
        <v>0</v>
      </c>
      <c r="V62" s="403">
        <f t="shared" si="12"/>
        <v>0</v>
      </c>
      <c r="W62" s="377"/>
    </row>
    <row r="63" spans="1:23" ht="15.75" hidden="1">
      <c r="A63" s="378"/>
      <c r="B63" s="405">
        <f t="shared" ref="B63:V63" si="13">SUM(B58:B62)</f>
        <v>0</v>
      </c>
      <c r="C63" s="405">
        <f t="shared" si="13"/>
        <v>0</v>
      </c>
      <c r="D63" s="405">
        <f t="shared" si="13"/>
        <v>0</v>
      </c>
      <c r="E63" s="405">
        <f t="shared" si="13"/>
        <v>2856000</v>
      </c>
      <c r="F63" s="405">
        <f t="shared" si="13"/>
        <v>0</v>
      </c>
      <c r="G63" s="405">
        <f t="shared" si="13"/>
        <v>0</v>
      </c>
      <c r="H63" s="405">
        <f t="shared" si="13"/>
        <v>6623600</v>
      </c>
      <c r="I63" s="405">
        <f t="shared" si="13"/>
        <v>0</v>
      </c>
      <c r="J63" s="405">
        <f t="shared" si="13"/>
        <v>0</v>
      </c>
      <c r="K63" s="405">
        <f t="shared" si="13"/>
        <v>0</v>
      </c>
      <c r="L63" s="405">
        <f t="shared" si="13"/>
        <v>2856000</v>
      </c>
      <c r="M63" s="405">
        <f t="shared" si="13"/>
        <v>0</v>
      </c>
      <c r="N63" s="405">
        <f t="shared" si="13"/>
        <v>6623600</v>
      </c>
      <c r="O63" s="405">
        <f t="shared" si="13"/>
        <v>0</v>
      </c>
      <c r="P63" s="405">
        <f t="shared" si="13"/>
        <v>0</v>
      </c>
      <c r="Q63" s="405">
        <f t="shared" si="13"/>
        <v>2856000</v>
      </c>
      <c r="R63" s="405">
        <f t="shared" si="13"/>
        <v>0</v>
      </c>
      <c r="S63" s="405">
        <f t="shared" si="13"/>
        <v>0</v>
      </c>
      <c r="T63" s="405">
        <f t="shared" si="13"/>
        <v>6623600</v>
      </c>
      <c r="U63" s="405">
        <f t="shared" si="13"/>
        <v>0</v>
      </c>
      <c r="V63" s="405">
        <f t="shared" si="13"/>
        <v>0</v>
      </c>
      <c r="W63" s="377"/>
    </row>
    <row r="64" spans="1:23" ht="15.75" hidden="1">
      <c r="A64" s="378"/>
      <c r="B64" s="405"/>
      <c r="C64" s="405">
        <f t="shared" ref="C64:V64" si="14">B64+C63</f>
        <v>0</v>
      </c>
      <c r="D64" s="405">
        <f t="shared" si="14"/>
        <v>0</v>
      </c>
      <c r="E64" s="405">
        <f t="shared" si="14"/>
        <v>2856000</v>
      </c>
      <c r="F64" s="405">
        <f t="shared" si="14"/>
        <v>2856000</v>
      </c>
      <c r="G64" s="405">
        <f t="shared" si="14"/>
        <v>2856000</v>
      </c>
      <c r="H64" s="405">
        <f t="shared" si="14"/>
        <v>9479600</v>
      </c>
      <c r="I64" s="405">
        <f t="shared" si="14"/>
        <v>9479600</v>
      </c>
      <c r="J64" s="405">
        <f t="shared" si="14"/>
        <v>9479600</v>
      </c>
      <c r="K64" s="405">
        <f t="shared" si="14"/>
        <v>9479600</v>
      </c>
      <c r="L64" s="405">
        <f t="shared" si="14"/>
        <v>12335600</v>
      </c>
      <c r="M64" s="405">
        <f t="shared" si="14"/>
        <v>12335600</v>
      </c>
      <c r="N64" s="405">
        <f t="shared" si="14"/>
        <v>18959200</v>
      </c>
      <c r="O64" s="405">
        <f t="shared" si="14"/>
        <v>18959200</v>
      </c>
      <c r="P64" s="405">
        <f t="shared" si="14"/>
        <v>18959200</v>
      </c>
      <c r="Q64" s="405">
        <f t="shared" si="14"/>
        <v>21815200</v>
      </c>
      <c r="R64" s="405">
        <f t="shared" si="14"/>
        <v>21815200</v>
      </c>
      <c r="S64" s="405">
        <f t="shared" si="14"/>
        <v>21815200</v>
      </c>
      <c r="T64" s="405">
        <f t="shared" si="14"/>
        <v>28438800</v>
      </c>
      <c r="U64" s="405">
        <f t="shared" si="14"/>
        <v>28438800</v>
      </c>
      <c r="V64" s="405">
        <f t="shared" si="14"/>
        <v>28438800</v>
      </c>
      <c r="W64" s="377"/>
    </row>
    <row r="65" spans="1:23" hidden="1">
      <c r="A65" s="378" t="s">
        <v>40</v>
      </c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5"/>
      <c r="P65" s="115"/>
      <c r="Q65" s="115"/>
      <c r="R65" s="115"/>
      <c r="S65" s="115"/>
      <c r="T65" s="115"/>
      <c r="U65" s="115"/>
      <c r="V65" s="115"/>
      <c r="W65" s="377"/>
    </row>
    <row r="66" spans="1:23" hidden="1">
      <c r="A66" s="378" t="s">
        <v>50</v>
      </c>
      <c r="B66" s="115"/>
      <c r="C66" s="115"/>
      <c r="D66" s="115"/>
      <c r="E66" s="115"/>
      <c r="F66" s="115"/>
      <c r="G66" s="115"/>
      <c r="H66" s="115"/>
      <c r="I66" s="115"/>
      <c r="J66" s="115"/>
      <c r="K66" s="115"/>
      <c r="L66" s="115"/>
      <c r="M66" s="115"/>
      <c r="N66" s="115"/>
      <c r="O66" s="115"/>
      <c r="P66" s="115"/>
      <c r="Q66" s="115"/>
      <c r="R66" s="115"/>
      <c r="S66" s="115"/>
      <c r="T66" s="115"/>
      <c r="U66" s="115"/>
      <c r="V66" s="115"/>
      <c r="W66" s="377"/>
    </row>
    <row r="67" spans="1:23" hidden="1">
      <c r="A67" s="378" t="s">
        <v>51</v>
      </c>
      <c r="B67" s="115"/>
      <c r="C67" s="115"/>
      <c r="D67" s="115"/>
      <c r="E67" s="115"/>
      <c r="F67" s="115"/>
      <c r="G67" s="115"/>
      <c r="H67" s="115"/>
      <c r="I67" s="115"/>
      <c r="J67" s="115"/>
      <c r="K67" s="115"/>
      <c r="L67" s="115"/>
      <c r="M67" s="115"/>
      <c r="N67" s="115"/>
      <c r="O67" s="115"/>
      <c r="P67" s="115"/>
      <c r="Q67" s="115"/>
      <c r="R67" s="115"/>
      <c r="S67" s="115"/>
      <c r="T67" s="115"/>
      <c r="U67" s="115"/>
      <c r="V67" s="115"/>
      <c r="W67" s="377"/>
    </row>
    <row r="68" spans="1:23" ht="13.5" hidden="1" thickBot="1">
      <c r="A68" s="382" t="s">
        <v>42</v>
      </c>
      <c r="B68" s="383"/>
      <c r="C68" s="383"/>
      <c r="D68" s="383"/>
      <c r="E68" s="383"/>
      <c r="F68" s="383"/>
      <c r="G68" s="383"/>
      <c r="H68" s="383"/>
      <c r="I68" s="383"/>
      <c r="J68" s="383"/>
      <c r="K68" s="383"/>
      <c r="L68" s="383"/>
      <c r="M68" s="383"/>
      <c r="N68" s="383"/>
      <c r="O68" s="383"/>
      <c r="P68" s="383"/>
      <c r="Q68" s="383"/>
      <c r="R68" s="383"/>
      <c r="S68" s="383"/>
      <c r="T68" s="383"/>
      <c r="U68" s="383"/>
      <c r="V68" s="383"/>
      <c r="W68" s="384"/>
    </row>
    <row r="69" spans="1:23" hidden="1"/>
    <row r="70" spans="1:23" hidden="1"/>
  </sheetData>
  <mergeCells count="6">
    <mergeCell ref="A1:W1"/>
    <mergeCell ref="F39:G39"/>
    <mergeCell ref="A2:W2"/>
    <mergeCell ref="A4:M4"/>
    <mergeCell ref="F5:G5"/>
    <mergeCell ref="A38:K38"/>
  </mergeCells>
  <printOptions horizontalCentered="1"/>
  <pageMargins left="0.75" right="0.75" top="1" bottom="1" header="0.5" footer="0.5"/>
  <pageSetup scale="40" orientation="landscape" horizontalDpi="4294967292" verticalDpi="4294967292" r:id="rId1"/>
  <headerFooter alignWithMargins="0">
    <oddFooter>&amp;LScot Chambers
&amp;D&amp;CPage _____&amp;R&amp;F
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3"/>
  <sheetViews>
    <sheetView showGridLines="0" zoomScale="75" workbookViewId="0"/>
  </sheetViews>
  <sheetFormatPr defaultRowHeight="12.75"/>
  <cols>
    <col min="7" max="7" width="14.140625" bestFit="1" customWidth="1"/>
  </cols>
  <sheetData>
    <row r="1" spans="1:12" ht="15.75">
      <c r="A1" s="4" t="s">
        <v>591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.75">
      <c r="A2" s="10" t="s">
        <v>110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</row>
    <row r="5" spans="1:12">
      <c r="A5" s="11" t="s">
        <v>129</v>
      </c>
      <c r="D5" t="s">
        <v>584</v>
      </c>
    </row>
    <row r="6" spans="1:12">
      <c r="D6" t="s">
        <v>583</v>
      </c>
    </row>
    <row r="8" spans="1:12">
      <c r="A8" s="8" t="s">
        <v>130</v>
      </c>
      <c r="D8" t="s">
        <v>592</v>
      </c>
    </row>
    <row r="9" spans="1:12">
      <c r="A9" s="8"/>
      <c r="D9" t="s">
        <v>593</v>
      </c>
    </row>
    <row r="10" spans="1:12">
      <c r="A10" s="8"/>
    </row>
    <row r="11" spans="1:12">
      <c r="A11" s="11" t="s">
        <v>131</v>
      </c>
      <c r="D11" t="s">
        <v>594</v>
      </c>
    </row>
    <row r="13" spans="1:12">
      <c r="A13" s="8" t="s">
        <v>132</v>
      </c>
      <c r="D13" s="453">
        <f>D15*46.7</f>
        <v>93.4</v>
      </c>
      <c r="E13" t="s">
        <v>133</v>
      </c>
    </row>
    <row r="15" spans="1:12">
      <c r="A15" s="8" t="s">
        <v>134</v>
      </c>
      <c r="D15" s="462">
        <v>2</v>
      </c>
      <c r="E15" t="s">
        <v>595</v>
      </c>
    </row>
    <row r="16" spans="1:12">
      <c r="A16" s="8"/>
      <c r="D16" t="s">
        <v>135</v>
      </c>
    </row>
    <row r="17" spans="1:9">
      <c r="D17" t="s">
        <v>585</v>
      </c>
    </row>
    <row r="18" spans="1:9">
      <c r="D18" t="s">
        <v>136</v>
      </c>
    </row>
    <row r="19" spans="1:9" ht="15" customHeight="1">
      <c r="D19" t="s">
        <v>1018</v>
      </c>
    </row>
    <row r="20" spans="1:9" ht="15" customHeight="1">
      <c r="D20" t="s">
        <v>1017</v>
      </c>
    </row>
    <row r="21" spans="1:9" ht="15" customHeight="1">
      <c r="D21" t="s">
        <v>603</v>
      </c>
      <c r="I21" s="463" t="s">
        <v>604</v>
      </c>
    </row>
    <row r="22" spans="1:9">
      <c r="D22" t="s">
        <v>137</v>
      </c>
    </row>
    <row r="23" spans="1:9">
      <c r="D23" t="s">
        <v>602</v>
      </c>
      <c r="H23" s="463" t="s">
        <v>600</v>
      </c>
    </row>
    <row r="24" spans="1:9">
      <c r="D24" t="s">
        <v>586</v>
      </c>
    </row>
    <row r="25" spans="1:9">
      <c r="D25" t="s">
        <v>1019</v>
      </c>
    </row>
    <row r="26" spans="1:9">
      <c r="D26" s="462">
        <v>0</v>
      </c>
      <c r="E26" t="s">
        <v>599</v>
      </c>
    </row>
    <row r="27" spans="1:9">
      <c r="D27" t="s">
        <v>1023</v>
      </c>
    </row>
    <row r="28" spans="1:9">
      <c r="D28" t="s">
        <v>601</v>
      </c>
      <c r="F28" s="463" t="s">
        <v>600</v>
      </c>
    </row>
    <row r="29" spans="1:9">
      <c r="D29" t="s">
        <v>138</v>
      </c>
    </row>
    <row r="31" spans="1:9">
      <c r="A31" s="11" t="s">
        <v>139</v>
      </c>
      <c r="D31" t="s">
        <v>1022</v>
      </c>
    </row>
    <row r="32" spans="1:9">
      <c r="A32" s="11"/>
      <c r="D32" t="s">
        <v>140</v>
      </c>
    </row>
    <row r="33" spans="1:7">
      <c r="A33" s="11"/>
      <c r="D33" t="s">
        <v>1020</v>
      </c>
    </row>
    <row r="34" spans="1:7">
      <c r="D34" t="s">
        <v>1021</v>
      </c>
    </row>
    <row r="35" spans="1:7">
      <c r="D35" t="s">
        <v>141</v>
      </c>
    </row>
    <row r="37" spans="1:7">
      <c r="A37" s="8" t="s">
        <v>142</v>
      </c>
      <c r="D37" s="13" t="s">
        <v>605</v>
      </c>
      <c r="E37" s="464" t="s">
        <v>606</v>
      </c>
      <c r="F37" s="465"/>
      <c r="G37" s="466"/>
    </row>
    <row r="38" spans="1:7">
      <c r="D38" t="s">
        <v>143</v>
      </c>
    </row>
    <row r="40" spans="1:7">
      <c r="A40" s="8" t="s">
        <v>144</v>
      </c>
      <c r="D40" s="13" t="s">
        <v>596</v>
      </c>
      <c r="F40" s="458">
        <v>1600</v>
      </c>
    </row>
    <row r="41" spans="1:7">
      <c r="D41" t="s">
        <v>598</v>
      </c>
    </row>
    <row r="42" spans="1:7">
      <c r="D42" t="s">
        <v>597</v>
      </c>
    </row>
    <row r="44" spans="1:7">
      <c r="A44" s="8" t="s">
        <v>145</v>
      </c>
      <c r="D44" t="s">
        <v>1099</v>
      </c>
    </row>
    <row r="45" spans="1:7">
      <c r="D45" t="s">
        <v>1100</v>
      </c>
    </row>
    <row r="47" spans="1:7">
      <c r="A47" s="8" t="s">
        <v>146</v>
      </c>
      <c r="D47" t="s">
        <v>1046</v>
      </c>
      <c r="G47" s="14">
        <v>36770</v>
      </c>
    </row>
    <row r="48" spans="1:7">
      <c r="D48" t="s">
        <v>147</v>
      </c>
      <c r="G48" s="14">
        <v>37043</v>
      </c>
    </row>
    <row r="49" spans="1:4" hidden="1">
      <c r="A49" s="8" t="s">
        <v>148</v>
      </c>
      <c r="D49" t="s">
        <v>149</v>
      </c>
    </row>
    <row r="50" spans="1:4" hidden="1"/>
    <row r="51" spans="1:4" ht="12" hidden="1" customHeight="1">
      <c r="A51" s="8" t="s">
        <v>150</v>
      </c>
      <c r="D51" t="s">
        <v>151</v>
      </c>
    </row>
    <row r="52" spans="1:4" hidden="1">
      <c r="A52" s="11" t="s">
        <v>152</v>
      </c>
      <c r="D52" t="s">
        <v>149</v>
      </c>
    </row>
    <row r="53" spans="1:4" hidden="1"/>
  </sheetData>
  <printOptions horizontalCentered="1"/>
  <pageMargins left="0.75" right="0.75" top="1" bottom="1" header="0.5" footer="0.5"/>
  <pageSetup scale="79" orientation="portrait" horizontalDpi="4294967292" verticalDpi="4294967292" r:id="rId1"/>
  <headerFooter alignWithMargins="0">
    <oddFooter>&amp;LScot Chambers
&amp;D&amp;CPage _____&amp;R&amp;F
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336"/>
  <sheetViews>
    <sheetView showGridLines="0" zoomScale="75" workbookViewId="0">
      <selection activeCell="D21" sqref="D21"/>
    </sheetView>
  </sheetViews>
  <sheetFormatPr defaultRowHeight="12.75"/>
  <cols>
    <col min="1" max="1" width="3.5703125" style="29" customWidth="1"/>
    <col min="2" max="2" width="9.140625" style="29"/>
    <col min="3" max="3" width="11.85546875" style="29" customWidth="1"/>
    <col min="4" max="16384" width="9.140625" style="29"/>
  </cols>
  <sheetData>
    <row r="1" spans="1:44" s="16" customFormat="1" ht="15.75">
      <c r="A1" s="15" t="str">
        <f>Scope!A1</f>
        <v>St Peter, Illinois (Ameren) Power Project, Rev 0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44" s="16" customFormat="1" ht="15.75">
      <c r="A2" s="15" t="s">
        <v>153</v>
      </c>
      <c r="B2" s="15"/>
      <c r="C2" s="15"/>
      <c r="D2" s="15"/>
      <c r="E2" s="15"/>
      <c r="F2" s="15"/>
      <c r="G2" s="15"/>
      <c r="H2" s="15"/>
      <c r="I2" s="15"/>
      <c r="J2" s="15"/>
      <c r="K2" s="15"/>
    </row>
    <row r="3" spans="1:44" s="16" customFormat="1" ht="15.75">
      <c r="A3" s="15"/>
      <c r="B3" s="15"/>
      <c r="C3" s="15"/>
      <c r="D3" s="15"/>
      <c r="E3" s="15"/>
      <c r="F3" s="15"/>
      <c r="G3" s="15"/>
      <c r="H3" s="15"/>
      <c r="I3" s="17"/>
      <c r="J3" s="17"/>
      <c r="K3" s="17"/>
    </row>
    <row r="4" spans="1:44" s="23" customFormat="1">
      <c r="A4" s="18" t="s">
        <v>154</v>
      </c>
      <c r="B4" s="19"/>
      <c r="C4" s="20"/>
      <c r="D4" s="21"/>
      <c r="E4" s="21"/>
      <c r="F4" s="21"/>
      <c r="G4" s="21"/>
      <c r="H4" s="21"/>
      <c r="I4" s="21"/>
      <c r="J4" s="21"/>
      <c r="K4" s="21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</row>
    <row r="5" spans="1:44" s="23" customFormat="1">
      <c r="A5" s="687" t="s">
        <v>607</v>
      </c>
      <c r="B5" s="688"/>
      <c r="C5" s="688"/>
      <c r="D5" s="688"/>
      <c r="E5" s="688"/>
      <c r="F5" s="688"/>
      <c r="G5" s="688"/>
      <c r="H5" s="688"/>
      <c r="I5" s="688"/>
      <c r="J5" s="688"/>
      <c r="K5" s="21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</row>
    <row r="6" spans="1:44" s="23" customFormat="1">
      <c r="A6" s="688"/>
      <c r="B6" s="688"/>
      <c r="C6" s="688"/>
      <c r="D6" s="688"/>
      <c r="E6" s="688"/>
      <c r="F6" s="688"/>
      <c r="G6" s="688"/>
      <c r="H6" s="688"/>
      <c r="I6" s="688"/>
      <c r="J6" s="688"/>
      <c r="K6" s="21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</row>
    <row r="7" spans="1:44" s="23" customFormat="1">
      <c r="A7" s="24" t="s">
        <v>587</v>
      </c>
      <c r="B7" s="25"/>
      <c r="C7" s="20"/>
      <c r="D7" s="21"/>
      <c r="E7" s="21"/>
      <c r="F7" s="21"/>
      <c r="G7" s="21"/>
      <c r="H7" s="21"/>
      <c r="I7" s="21"/>
      <c r="J7" s="21"/>
      <c r="K7" s="21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</row>
    <row r="8" spans="1:44" s="23" customFormat="1">
      <c r="A8" s="24" t="s">
        <v>588</v>
      </c>
      <c r="B8" s="25"/>
      <c r="C8" s="20"/>
      <c r="D8" s="21"/>
      <c r="E8" s="21"/>
      <c r="F8" s="21"/>
      <c r="G8" s="21"/>
      <c r="H8" s="21"/>
      <c r="I8" s="21"/>
      <c r="J8" s="21"/>
      <c r="K8" s="21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</row>
    <row r="9" spans="1:44" s="23" customFormat="1">
      <c r="A9" s="24" t="s">
        <v>1045</v>
      </c>
      <c r="B9" s="25"/>
      <c r="C9" s="20"/>
      <c r="D9" s="21"/>
      <c r="E9" s="21"/>
      <c r="F9" s="21"/>
      <c r="G9" s="21"/>
      <c r="H9" s="21"/>
      <c r="I9" s="21"/>
      <c r="J9" s="21"/>
      <c r="K9" s="21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</row>
    <row r="10" spans="1:44" s="23" customFormat="1">
      <c r="A10" s="24" t="s">
        <v>608</v>
      </c>
      <c r="B10" s="25"/>
      <c r="C10" s="20"/>
      <c r="D10" s="467">
        <f>Scope!F40</f>
        <v>1600</v>
      </c>
      <c r="E10" s="21"/>
      <c r="F10" s="21"/>
      <c r="G10" s="21"/>
      <c r="H10" s="21"/>
      <c r="I10" s="21"/>
      <c r="J10" s="21"/>
      <c r="K10" s="21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</row>
    <row r="11" spans="1:44" s="23" customFormat="1">
      <c r="A11" s="24" t="s">
        <v>609</v>
      </c>
      <c r="B11" s="25"/>
      <c r="C11" s="20"/>
      <c r="D11" s="21"/>
      <c r="E11" s="21"/>
      <c r="F11" s="21"/>
      <c r="G11" s="21"/>
      <c r="H11" s="21"/>
      <c r="I11" s="21"/>
      <c r="J11" s="21"/>
      <c r="K11" s="21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</row>
    <row r="12" spans="1:44" s="23" customFormat="1">
      <c r="A12" s="24" t="s">
        <v>155</v>
      </c>
      <c r="B12" s="25"/>
      <c r="C12" s="20"/>
      <c r="D12" s="21"/>
      <c r="E12" s="21"/>
      <c r="F12" s="21"/>
      <c r="G12" s="21"/>
      <c r="H12" s="21"/>
      <c r="I12" s="21"/>
      <c r="J12" s="21"/>
      <c r="K12" s="21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</row>
    <row r="13" spans="1:44" s="23" customFormat="1">
      <c r="A13" s="24" t="s">
        <v>156</v>
      </c>
      <c r="B13" s="13"/>
      <c r="C13" s="20"/>
      <c r="D13" s="21"/>
      <c r="E13" s="21"/>
      <c r="F13" s="21"/>
      <c r="G13" s="21"/>
      <c r="H13" s="21"/>
      <c r="I13" s="21"/>
      <c r="J13" s="21"/>
      <c r="K13" s="21"/>
      <c r="L13" s="26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</row>
    <row r="14" spans="1:44" s="23" customFormat="1">
      <c r="A14" s="24" t="s">
        <v>157</v>
      </c>
      <c r="B14" s="13"/>
      <c r="C14" s="20"/>
      <c r="D14" s="21"/>
      <c r="E14" s="21"/>
      <c r="F14" s="21"/>
      <c r="G14" s="21"/>
      <c r="H14" s="21"/>
      <c r="I14" s="21"/>
      <c r="J14" s="21"/>
      <c r="K14" s="21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</row>
    <row r="15" spans="1:44" s="23" customFormat="1">
      <c r="A15" s="24" t="s">
        <v>741</v>
      </c>
      <c r="B15" s="13"/>
      <c r="C15" s="20"/>
      <c r="D15" s="21"/>
      <c r="E15" s="21"/>
      <c r="F15" s="21"/>
      <c r="G15" s="21"/>
      <c r="H15" s="21"/>
      <c r="I15" s="21"/>
      <c r="J15" s="21"/>
      <c r="K15" s="21"/>
      <c r="L15" s="27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</row>
    <row r="16" spans="1:44" s="23" customFormat="1">
      <c r="A16" s="687" t="s">
        <v>1090</v>
      </c>
      <c r="B16" s="688"/>
      <c r="C16" s="688"/>
      <c r="D16" s="688"/>
      <c r="E16" s="688"/>
      <c r="F16" s="688"/>
      <c r="G16" s="688"/>
      <c r="H16" s="688"/>
      <c r="I16" s="688"/>
      <c r="J16" s="688"/>
      <c r="K16" s="21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</row>
    <row r="17" spans="1:44" s="23" customFormat="1">
      <c r="A17" s="688"/>
      <c r="B17" s="688"/>
      <c r="C17" s="688"/>
      <c r="D17" s="688"/>
      <c r="E17" s="688"/>
      <c r="F17" s="688"/>
      <c r="G17" s="688"/>
      <c r="H17" s="688"/>
      <c r="I17" s="688"/>
      <c r="J17" s="688"/>
      <c r="K17" s="21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</row>
    <row r="18" spans="1:44" s="23" customFormat="1">
      <c r="A18" s="687" t="s">
        <v>158</v>
      </c>
      <c r="B18" s="688"/>
      <c r="C18" s="688"/>
      <c r="D18" s="688"/>
      <c r="E18" s="688"/>
      <c r="F18" s="688"/>
      <c r="G18" s="688"/>
      <c r="H18" s="688"/>
      <c r="I18" s="688"/>
      <c r="J18" s="688"/>
      <c r="K18" s="21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</row>
    <row r="19" spans="1:44" s="23" customFormat="1">
      <c r="A19" s="688"/>
      <c r="B19" s="688"/>
      <c r="C19" s="688"/>
      <c r="D19" s="688"/>
      <c r="E19" s="688"/>
      <c r="F19" s="688"/>
      <c r="G19" s="688"/>
      <c r="H19" s="688"/>
      <c r="I19" s="688"/>
      <c r="J19" s="688"/>
      <c r="K19" s="21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</row>
    <row r="20" spans="1:44" s="23" customFormat="1">
      <c r="A20" s="13" t="s">
        <v>1024</v>
      </c>
      <c r="B20" s="25"/>
      <c r="C20" s="21"/>
      <c r="D20" s="21"/>
      <c r="E20" s="21"/>
      <c r="F20" s="21"/>
      <c r="G20" s="21"/>
      <c r="H20" s="21"/>
      <c r="I20" s="21"/>
      <c r="J20" s="21"/>
      <c r="K20" s="21"/>
      <c r="L20" s="22"/>
      <c r="M20" s="454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</row>
    <row r="21" spans="1:44" s="23" customFormat="1">
      <c r="A21" s="28" t="s">
        <v>610</v>
      </c>
      <c r="B21" s="25"/>
      <c r="C21" s="21"/>
      <c r="D21" s="21"/>
      <c r="E21" s="21"/>
      <c r="F21" s="21"/>
      <c r="G21" s="468">
        <f>D10/8760*100%</f>
        <v>0.18264840182648401</v>
      </c>
      <c r="H21" s="21"/>
      <c r="I21" s="21"/>
      <c r="J21" s="21"/>
      <c r="K21" s="21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</row>
    <row r="22" spans="1:44" s="23" customFormat="1">
      <c r="A22" s="13" t="s">
        <v>740</v>
      </c>
      <c r="B22" s="13"/>
      <c r="C22" s="20"/>
      <c r="D22" s="21"/>
      <c r="E22" s="21"/>
      <c r="F22" s="21"/>
      <c r="G22" s="21"/>
      <c r="H22" s="21"/>
      <c r="I22" s="21"/>
      <c r="J22" s="21"/>
      <c r="K22" s="21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</row>
    <row r="23" spans="1:44" s="23" customFormat="1">
      <c r="A23" s="687" t="s">
        <v>159</v>
      </c>
      <c r="B23" s="688"/>
      <c r="C23" s="688"/>
      <c r="D23" s="688"/>
      <c r="E23" s="688"/>
      <c r="F23" s="688"/>
      <c r="G23" s="688"/>
      <c r="H23" s="688"/>
      <c r="I23" s="688"/>
      <c r="J23" s="688"/>
      <c r="K23" s="21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</row>
    <row r="24" spans="1:44" s="23" customFormat="1">
      <c r="A24" s="688"/>
      <c r="B24" s="688"/>
      <c r="C24" s="688"/>
      <c r="D24" s="688"/>
      <c r="E24" s="688"/>
      <c r="F24" s="688"/>
      <c r="G24" s="688"/>
      <c r="H24" s="688"/>
      <c r="I24" s="688"/>
      <c r="J24" s="688"/>
      <c r="K24" s="21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</row>
    <row r="25" spans="1:44" s="23" customFormat="1">
      <c r="A25" s="687" t="s">
        <v>611</v>
      </c>
      <c r="B25" s="688"/>
      <c r="C25" s="688"/>
      <c r="D25" s="688"/>
      <c r="E25" s="688"/>
      <c r="F25" s="688"/>
      <c r="G25" s="688"/>
      <c r="H25" s="688"/>
      <c r="I25" s="688"/>
      <c r="J25" s="688"/>
      <c r="K25" s="21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</row>
    <row r="26" spans="1:44" s="23" customFormat="1">
      <c r="A26" s="688"/>
      <c r="B26" s="688"/>
      <c r="C26" s="688"/>
      <c r="D26" s="688"/>
      <c r="E26" s="688"/>
      <c r="F26" s="688"/>
      <c r="G26" s="688"/>
      <c r="H26" s="688"/>
      <c r="I26" s="688"/>
      <c r="J26" s="688"/>
      <c r="K26" s="21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</row>
    <row r="27" spans="1:44" s="23" customFormat="1">
      <c r="A27" s="688"/>
      <c r="B27" s="688"/>
      <c r="C27" s="688"/>
      <c r="D27" s="688"/>
      <c r="E27" s="688"/>
      <c r="F27" s="688"/>
      <c r="G27" s="688"/>
      <c r="H27" s="688"/>
      <c r="I27" s="688"/>
      <c r="J27" s="688"/>
      <c r="K27" s="21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</row>
    <row r="28" spans="1:44" s="23" customFormat="1">
      <c r="A28" s="24" t="s">
        <v>160</v>
      </c>
      <c r="B28" s="21"/>
      <c r="C28" s="20"/>
      <c r="D28" s="21"/>
      <c r="E28" s="21"/>
      <c r="F28" s="21"/>
      <c r="G28" s="21"/>
      <c r="H28" s="21"/>
      <c r="I28" s="21"/>
      <c r="J28" s="21"/>
      <c r="K28" s="21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</row>
    <row r="29" spans="1:44" s="23" customFormat="1">
      <c r="A29" s="21" t="s">
        <v>612</v>
      </c>
      <c r="B29" s="20"/>
      <c r="C29" s="20"/>
      <c r="D29" s="21"/>
      <c r="E29" s="21"/>
      <c r="F29" s="21"/>
      <c r="G29" s="21"/>
      <c r="H29" s="21"/>
      <c r="I29" s="21"/>
      <c r="J29" s="21"/>
      <c r="K29" s="21"/>
      <c r="L29" s="22"/>
      <c r="M29" s="26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</row>
    <row r="30" spans="1:44">
      <c r="A30" s="29" t="s">
        <v>161</v>
      </c>
      <c r="B30" s="20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</row>
    <row r="31" spans="1:44">
      <c r="A31" s="687" t="s">
        <v>162</v>
      </c>
      <c r="B31" s="688"/>
      <c r="C31" s="688"/>
      <c r="D31" s="688"/>
      <c r="E31" s="688"/>
      <c r="F31" s="688"/>
      <c r="G31" s="688"/>
      <c r="H31" s="688"/>
      <c r="I31" s="688"/>
      <c r="J31" s="688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</row>
    <row r="32" spans="1:44">
      <c r="A32" s="688"/>
      <c r="B32" s="688"/>
      <c r="C32" s="688"/>
      <c r="D32" s="688"/>
      <c r="E32" s="688"/>
      <c r="F32" s="688"/>
      <c r="G32" s="688"/>
      <c r="H32" s="688"/>
      <c r="I32" s="688"/>
      <c r="J32" s="688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</row>
    <row r="33" spans="1:44">
      <c r="A33" s="24" t="s">
        <v>613</v>
      </c>
      <c r="B33" s="20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</row>
    <row r="34" spans="1:44">
      <c r="A34" s="24" t="s">
        <v>614</v>
      </c>
      <c r="B34" s="20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</row>
    <row r="35" spans="1:44">
      <c r="A35" s="24" t="s">
        <v>163</v>
      </c>
      <c r="B35" s="20" t="s">
        <v>164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</row>
    <row r="36" spans="1:44">
      <c r="A36" s="24"/>
      <c r="B36" s="20" t="s">
        <v>165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</row>
    <row r="37" spans="1:44">
      <c r="A37" s="24"/>
      <c r="B37" s="20" t="s">
        <v>166</v>
      </c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</row>
    <row r="38" spans="1:44">
      <c r="A38" s="24"/>
      <c r="B38" s="20" t="s">
        <v>167</v>
      </c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</row>
    <row r="39" spans="1:44">
      <c r="A39" s="24"/>
      <c r="B39" s="20" t="s">
        <v>168</v>
      </c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</row>
    <row r="40" spans="1:44">
      <c r="A40" s="24"/>
      <c r="B40" s="20" t="s">
        <v>169</v>
      </c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</row>
    <row r="41" spans="1:44">
      <c r="A41" s="24"/>
      <c r="B41" s="20" t="s">
        <v>170</v>
      </c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</row>
    <row r="42" spans="1:44">
      <c r="A42" s="24"/>
      <c r="B42" s="20" t="s">
        <v>171</v>
      </c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</row>
    <row r="43" spans="1:44">
      <c r="A43" s="24"/>
      <c r="B43" s="20" t="s">
        <v>172</v>
      </c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</row>
    <row r="44" spans="1:44">
      <c r="A44" s="24"/>
      <c r="B44" s="20" t="s">
        <v>173</v>
      </c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</row>
    <row r="45" spans="1:44">
      <c r="A45" s="24"/>
      <c r="B45" s="20" t="s">
        <v>174</v>
      </c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</row>
    <row r="46" spans="1:44">
      <c r="A46" s="18" t="s">
        <v>53</v>
      </c>
      <c r="B46" s="25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</row>
    <row r="47" spans="1:44">
      <c r="A47" s="24"/>
      <c r="B47" s="30" t="s">
        <v>590</v>
      </c>
      <c r="C47" s="20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</row>
    <row r="48" spans="1:44">
      <c r="A48" s="24"/>
      <c r="B48" s="30" t="s">
        <v>175</v>
      </c>
      <c r="C48" s="20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</row>
    <row r="49" spans="1:44">
      <c r="A49" s="24"/>
      <c r="B49" s="30" t="s">
        <v>176</v>
      </c>
      <c r="C49" s="20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</row>
    <row r="50" spans="1:44">
      <c r="A50" s="24"/>
      <c r="B50" s="30" t="s">
        <v>1025</v>
      </c>
      <c r="C50" s="20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</row>
    <row r="51" spans="1:44">
      <c r="A51" s="24"/>
      <c r="B51" s="30" t="s">
        <v>177</v>
      </c>
      <c r="C51" s="20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</row>
    <row r="52" spans="1:44">
      <c r="A52" s="24"/>
      <c r="B52" s="30" t="s">
        <v>178</v>
      </c>
      <c r="C52" s="20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</row>
    <row r="53" spans="1:44">
      <c r="A53" s="13"/>
      <c r="B53" s="11" t="s">
        <v>179</v>
      </c>
      <c r="C53" s="20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</row>
    <row r="54" spans="1:44" s="13" customFormat="1">
      <c r="B54" s="11" t="s">
        <v>1026</v>
      </c>
      <c r="C54" s="20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</row>
    <row r="55" spans="1:44">
      <c r="A55" s="13"/>
      <c r="B55" s="11" t="s">
        <v>1027</v>
      </c>
      <c r="C55" s="20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</row>
    <row r="56" spans="1:44">
      <c r="A56" s="21"/>
      <c r="B56" s="31" t="s">
        <v>1029</v>
      </c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</row>
    <row r="57" spans="1:44">
      <c r="A57" s="21"/>
      <c r="B57" s="31" t="s">
        <v>180</v>
      </c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</row>
    <row r="58" spans="1:44">
      <c r="A58" s="21"/>
      <c r="B58" s="31" t="s">
        <v>1028</v>
      </c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</row>
    <row r="59" spans="1:44" ht="13.5" customHeight="1">
      <c r="A59" s="3" t="s">
        <v>615</v>
      </c>
      <c r="B59" s="21" t="str">
        <f>IF(Scope!D26&gt;0,"SCR Accrual shown assumes a 40,000 hour lifespan.","No SCR units are assumed for this project.")</f>
        <v>No SCR units are assumed for this project.</v>
      </c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</row>
    <row r="60" spans="1:44">
      <c r="A60" s="469" t="s">
        <v>617</v>
      </c>
      <c r="B60" s="469"/>
      <c r="C60" s="469"/>
      <c r="D60" s="469"/>
      <c r="E60" s="469"/>
      <c r="F60" s="469"/>
      <c r="G60" s="469"/>
      <c r="H60" s="469"/>
      <c r="I60" s="469"/>
      <c r="J60" s="470">
        <f>LM6000PC_MMR_Gas!H9</f>
        <v>44.15625</v>
      </c>
      <c r="K60" s="469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</row>
    <row r="61" spans="1:44">
      <c r="A61" s="469"/>
      <c r="B61" s="469" t="s">
        <v>618</v>
      </c>
      <c r="C61" s="469"/>
      <c r="D61" s="469"/>
      <c r="E61" s="469"/>
      <c r="F61" s="469"/>
      <c r="G61" s="469"/>
      <c r="H61" s="469"/>
      <c r="I61" s="469"/>
      <c r="J61" s="469"/>
      <c r="K61" s="470">
        <f>LM6000PC_MMR_Gas!H6/25000/Scope!D15</f>
        <v>56.52</v>
      </c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</row>
    <row r="62" spans="1:44">
      <c r="A62" s="686" t="s">
        <v>345</v>
      </c>
      <c r="B62" s="686"/>
      <c r="C62" s="686"/>
      <c r="D62" s="686"/>
      <c r="E62" s="686"/>
      <c r="F62" s="686"/>
      <c r="G62" s="686"/>
      <c r="H62" s="686"/>
      <c r="I62" s="686"/>
      <c r="J62" s="686"/>
      <c r="K62" s="686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</row>
    <row r="63" spans="1:44">
      <c r="A63" s="686"/>
      <c r="B63" s="686"/>
      <c r="C63" s="686"/>
      <c r="D63" s="686"/>
      <c r="E63" s="686"/>
      <c r="F63" s="686"/>
      <c r="G63" s="686"/>
      <c r="H63" s="686"/>
      <c r="I63" s="686"/>
      <c r="J63" s="686"/>
      <c r="K63" s="686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</row>
    <row r="64" spans="1:44">
      <c r="A64" s="469" t="s">
        <v>616</v>
      </c>
      <c r="B64" s="469"/>
      <c r="C64" s="469"/>
      <c r="D64" s="469"/>
      <c r="E64" s="469"/>
      <c r="F64" s="469"/>
      <c r="G64" s="469"/>
      <c r="H64" s="469"/>
      <c r="I64" s="469"/>
      <c r="J64" s="469"/>
      <c r="K64" s="469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</row>
    <row r="65" spans="1:44" hidden="1">
      <c r="A65" s="469" t="s">
        <v>1143</v>
      </c>
      <c r="B65" s="469"/>
      <c r="C65" s="469"/>
      <c r="D65" s="469"/>
      <c r="E65" s="469"/>
      <c r="F65" s="469"/>
      <c r="G65" s="469"/>
      <c r="H65" s="469"/>
      <c r="I65" s="469"/>
      <c r="J65" s="469"/>
      <c r="K65" s="469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</row>
    <row r="66" spans="1:44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</row>
    <row r="67" spans="1:44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</row>
    <row r="68" spans="1:44">
      <c r="A68" s="32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</row>
    <row r="69" spans="1:44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</row>
    <row r="70" spans="1:44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</row>
    <row r="71" spans="1:44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</row>
    <row r="72" spans="1:44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</row>
    <row r="73" spans="1:44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</row>
    <row r="74" spans="1:4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</row>
    <row r="75" spans="1:44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</row>
    <row r="76" spans="1:44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</row>
    <row r="77" spans="1:44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</row>
    <row r="78" spans="1:44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</row>
    <row r="79" spans="1:44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</row>
    <row r="80" spans="1:44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</row>
    <row r="81" spans="1:44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</row>
    <row r="82" spans="1:44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</row>
    <row r="83" spans="1:44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</row>
    <row r="84" spans="1:4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</row>
    <row r="85" spans="1:44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</row>
    <row r="86" spans="1:44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</row>
    <row r="87" spans="1:44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</row>
    <row r="88" spans="1:44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</row>
    <row r="89" spans="1:44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</row>
    <row r="90" spans="1:44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</row>
    <row r="91" spans="1:44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</row>
    <row r="92" spans="1:44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</row>
    <row r="93" spans="1:44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</row>
    <row r="94" spans="1:4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</row>
    <row r="95" spans="1:44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</row>
    <row r="96" spans="1:44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</row>
    <row r="97" spans="1:44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</row>
    <row r="98" spans="1:44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</row>
    <row r="99" spans="1:44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</row>
    <row r="100" spans="1:44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</row>
    <row r="101" spans="1:44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</row>
    <row r="102" spans="1:44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</row>
    <row r="103" spans="1:44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</row>
    <row r="104" spans="1:4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</row>
    <row r="105" spans="1:44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</row>
    <row r="106" spans="1:44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</row>
    <row r="107" spans="1:44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</row>
    <row r="108" spans="1:44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</row>
    <row r="109" spans="1:44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</row>
    <row r="110" spans="1:44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</row>
    <row r="111" spans="1:44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</row>
    <row r="112" spans="1:44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</row>
    <row r="113" spans="1:44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</row>
    <row r="114" spans="1:4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</row>
    <row r="115" spans="1:44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</row>
    <row r="116" spans="1:44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</row>
    <row r="117" spans="1:44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</row>
    <row r="118" spans="1:44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</row>
    <row r="119" spans="1:44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</row>
    <row r="120" spans="1:44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</row>
    <row r="121" spans="1:44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</row>
    <row r="122" spans="1:44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</row>
    <row r="123" spans="1:44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</row>
    <row r="124" spans="1:4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</row>
    <row r="125" spans="1:44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</row>
    <row r="126" spans="1:44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</row>
    <row r="127" spans="1:44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</row>
    <row r="128" spans="1:44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</row>
    <row r="129" spans="1:44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</row>
    <row r="130" spans="1:44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</row>
    <row r="131" spans="1:44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</row>
    <row r="132" spans="1:44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</row>
    <row r="133" spans="1:44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</row>
    <row r="134" spans="1:4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</row>
    <row r="135" spans="1:44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</row>
    <row r="136" spans="1:44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</row>
    <row r="137" spans="1:44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</row>
    <row r="138" spans="1:44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</row>
    <row r="139" spans="1:44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</row>
    <row r="140" spans="1:44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</row>
    <row r="141" spans="1:44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</row>
    <row r="142" spans="1:44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</row>
    <row r="143" spans="1:44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</row>
    <row r="144" spans="1: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</row>
    <row r="145" spans="1:44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</row>
    <row r="146" spans="1:44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</row>
    <row r="147" spans="1:44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</row>
    <row r="148" spans="1:44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</row>
    <row r="149" spans="1:44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</row>
    <row r="150" spans="1:44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</row>
    <row r="151" spans="1:44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</row>
    <row r="152" spans="1:44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</row>
    <row r="153" spans="1:44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</row>
    <row r="154" spans="1:4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</row>
    <row r="155" spans="1:44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</row>
    <row r="156" spans="1:44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</row>
    <row r="157" spans="1:44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</row>
    <row r="158" spans="1:44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</row>
    <row r="159" spans="1:44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</row>
    <row r="160" spans="1:44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</row>
    <row r="161" spans="1:44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</row>
    <row r="162" spans="1:44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</row>
    <row r="163" spans="1:44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</row>
    <row r="164" spans="1:4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</row>
    <row r="165" spans="1:44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</row>
    <row r="166" spans="1:44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</row>
    <row r="167" spans="1:44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</row>
    <row r="168" spans="1:44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</row>
    <row r="169" spans="1:44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</row>
    <row r="170" spans="1:44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</row>
    <row r="171" spans="1:44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</row>
    <row r="172" spans="1:44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</row>
    <row r="173" spans="1:44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</row>
    <row r="174" spans="1:4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</row>
    <row r="175" spans="1:44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</row>
    <row r="176" spans="1:44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</row>
    <row r="177" spans="1:44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</row>
    <row r="178" spans="1:44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</row>
    <row r="179" spans="1:44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</row>
    <row r="180" spans="1:44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</row>
    <row r="181" spans="1:44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</row>
    <row r="182" spans="1:44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</row>
    <row r="183" spans="1:44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</row>
    <row r="184" spans="1:4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</row>
    <row r="185" spans="1:44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</row>
    <row r="186" spans="1:44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</row>
    <row r="187" spans="1:44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</row>
    <row r="188" spans="1:44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</row>
    <row r="189" spans="1:44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</row>
    <row r="190" spans="1:44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</row>
    <row r="191" spans="1:44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</row>
    <row r="192" spans="1:44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</row>
    <row r="193" spans="1:44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</row>
    <row r="194" spans="1:4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</row>
    <row r="195" spans="1:44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</row>
    <row r="196" spans="1:44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</row>
    <row r="197" spans="1:44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</row>
    <row r="198" spans="1:44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</row>
    <row r="199" spans="1:44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</row>
    <row r="200" spans="1:44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</row>
    <row r="201" spans="1:44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</row>
    <row r="202" spans="1:44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</row>
    <row r="203" spans="1:44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</row>
    <row r="204" spans="1:4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</row>
    <row r="205" spans="1:44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</row>
    <row r="206" spans="1:44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</row>
    <row r="207" spans="1:44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</row>
    <row r="208" spans="1:44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</row>
    <row r="209" spans="1:44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</row>
    <row r="210" spans="1:44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</row>
    <row r="211" spans="1:44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</row>
    <row r="212" spans="1:44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</row>
    <row r="213" spans="1:44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</row>
    <row r="214" spans="1:4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</row>
    <row r="215" spans="1:44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</row>
    <row r="216" spans="1:44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</row>
    <row r="217" spans="1:44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</row>
    <row r="218" spans="1:44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</row>
    <row r="219" spans="1:44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</row>
    <row r="220" spans="1:44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</row>
    <row r="221" spans="1:44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</row>
    <row r="222" spans="1:44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</row>
    <row r="223" spans="1:44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</row>
    <row r="224" spans="1:4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</row>
    <row r="225" spans="1:44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</row>
    <row r="226" spans="1:44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</row>
    <row r="227" spans="1:44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</row>
    <row r="228" spans="1:44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</row>
    <row r="229" spans="1:44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</row>
    <row r="230" spans="1:44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</row>
    <row r="231" spans="1:44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</row>
    <row r="232" spans="1:44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</row>
    <row r="233" spans="1:44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</row>
    <row r="234" spans="1:4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</row>
    <row r="235" spans="1:44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</row>
    <row r="236" spans="1:44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</row>
    <row r="237" spans="1:44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</row>
    <row r="238" spans="1:44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</row>
    <row r="239" spans="1:44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</row>
    <row r="240" spans="1:44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</row>
    <row r="241" spans="1:44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</row>
    <row r="242" spans="1:44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</row>
    <row r="243" spans="1:44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</row>
    <row r="244" spans="1: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</row>
    <row r="245" spans="1:44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R245" s="21"/>
    </row>
    <row r="246" spans="1:44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R246" s="21"/>
    </row>
    <row r="247" spans="1:44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  <c r="AP247" s="21"/>
      <c r="AQ247" s="21"/>
      <c r="AR247" s="21"/>
    </row>
    <row r="248" spans="1:44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  <c r="AR248" s="21"/>
    </row>
    <row r="249" spans="1:44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</row>
    <row r="250" spans="1:44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</row>
    <row r="251" spans="1:44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  <c r="AR251" s="21"/>
    </row>
    <row r="252" spans="1:44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  <c r="AR252" s="21"/>
    </row>
    <row r="253" spans="1:44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</row>
    <row r="254" spans="1:4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  <c r="AR254" s="21"/>
    </row>
    <row r="255" spans="1:44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  <c r="AR255" s="21"/>
    </row>
    <row r="256" spans="1:44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  <c r="AP256" s="21"/>
      <c r="AQ256" s="21"/>
      <c r="AR256" s="21"/>
    </row>
    <row r="257" spans="1:44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  <c r="AP257" s="21"/>
      <c r="AQ257" s="21"/>
      <c r="AR257" s="21"/>
    </row>
    <row r="258" spans="1:44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  <c r="AR258" s="21"/>
    </row>
    <row r="259" spans="1:44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1"/>
      <c r="AN259" s="21"/>
      <c r="AO259" s="21"/>
      <c r="AP259" s="21"/>
      <c r="AQ259" s="21"/>
      <c r="AR259" s="21"/>
    </row>
    <row r="260" spans="1:44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  <c r="AP260" s="21"/>
      <c r="AQ260" s="21"/>
      <c r="AR260" s="21"/>
    </row>
    <row r="261" spans="1:44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  <c r="AP261" s="21"/>
      <c r="AQ261" s="21"/>
      <c r="AR261" s="21"/>
    </row>
    <row r="262" spans="1:44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  <c r="AP262" s="21"/>
      <c r="AQ262" s="21"/>
      <c r="AR262" s="21"/>
    </row>
    <row r="263" spans="1:44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  <c r="AQ263" s="21"/>
      <c r="AR263" s="21"/>
    </row>
    <row r="264" spans="1:4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  <c r="AP264" s="21"/>
      <c r="AQ264" s="21"/>
      <c r="AR264" s="21"/>
    </row>
    <row r="265" spans="1:44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P265" s="21"/>
      <c r="AQ265" s="21"/>
      <c r="AR265" s="21"/>
    </row>
    <row r="266" spans="1:44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  <c r="AP266" s="21"/>
      <c r="AQ266" s="21"/>
      <c r="AR266" s="21"/>
    </row>
    <row r="267" spans="1:44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  <c r="AR267" s="21"/>
    </row>
    <row r="268" spans="1:44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  <c r="AP268" s="21"/>
      <c r="AQ268" s="21"/>
      <c r="AR268" s="21"/>
    </row>
    <row r="269" spans="1:44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  <c r="AP269" s="21"/>
      <c r="AQ269" s="21"/>
      <c r="AR269" s="21"/>
    </row>
    <row r="270" spans="1:44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  <c r="AP270" s="21"/>
      <c r="AQ270" s="21"/>
      <c r="AR270" s="21"/>
    </row>
    <row r="271" spans="1:44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  <c r="AP271" s="21"/>
      <c r="AQ271" s="21"/>
      <c r="AR271" s="21"/>
    </row>
    <row r="272" spans="1:44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  <c r="AP272" s="21"/>
      <c r="AQ272" s="21"/>
      <c r="AR272" s="21"/>
    </row>
    <row r="273" spans="1:44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  <c r="AR273" s="21"/>
    </row>
    <row r="274" spans="1:4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AP274" s="21"/>
      <c r="AQ274" s="21"/>
      <c r="AR274" s="21"/>
    </row>
    <row r="275" spans="1:44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  <c r="AQ275" s="21"/>
      <c r="AR275" s="21"/>
    </row>
    <row r="276" spans="1:44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R276" s="21"/>
    </row>
    <row r="277" spans="1:44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  <c r="AQ277" s="21"/>
      <c r="AR277" s="21"/>
    </row>
    <row r="278" spans="1:44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  <c r="AP278" s="21"/>
      <c r="AQ278" s="21"/>
      <c r="AR278" s="21"/>
    </row>
    <row r="279" spans="1:44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  <c r="AP279" s="21"/>
      <c r="AQ279" s="21"/>
      <c r="AR279" s="21"/>
    </row>
    <row r="280" spans="1:44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  <c r="AO280" s="21"/>
      <c r="AP280" s="21"/>
      <c r="AQ280" s="21"/>
      <c r="AR280" s="21"/>
    </row>
    <row r="281" spans="1:44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  <c r="AO281" s="21"/>
      <c r="AP281" s="21"/>
      <c r="AQ281" s="21"/>
      <c r="AR281" s="21"/>
    </row>
    <row r="282" spans="1:44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  <c r="AO282" s="21"/>
      <c r="AP282" s="21"/>
      <c r="AQ282" s="21"/>
      <c r="AR282" s="21"/>
    </row>
    <row r="283" spans="1:44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  <c r="AO283" s="21"/>
      <c r="AP283" s="21"/>
      <c r="AQ283" s="21"/>
      <c r="AR283" s="21"/>
    </row>
    <row r="284" spans="1:4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  <c r="AP284" s="21"/>
      <c r="AQ284" s="21"/>
      <c r="AR284" s="21"/>
    </row>
    <row r="285" spans="1:44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R285" s="21"/>
    </row>
    <row r="286" spans="1:44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  <c r="AP286" s="21"/>
      <c r="AQ286" s="21"/>
      <c r="AR286" s="21"/>
    </row>
    <row r="287" spans="1:44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  <c r="AP287" s="21"/>
      <c r="AQ287" s="21"/>
      <c r="AR287" s="21"/>
    </row>
    <row r="288" spans="1:44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  <c r="AQ288" s="21"/>
      <c r="AR288" s="21"/>
    </row>
    <row r="289" spans="1:44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  <c r="AP289" s="21"/>
      <c r="AQ289" s="21"/>
      <c r="AR289" s="21"/>
    </row>
    <row r="290" spans="1:44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  <c r="AP290" s="21"/>
      <c r="AQ290" s="21"/>
      <c r="AR290" s="21"/>
    </row>
    <row r="291" spans="1:44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21"/>
      <c r="AN291" s="21"/>
      <c r="AO291" s="21"/>
      <c r="AP291" s="21"/>
      <c r="AQ291" s="21"/>
      <c r="AR291" s="21"/>
    </row>
    <row r="292" spans="1:44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  <c r="AO292" s="21"/>
      <c r="AP292" s="21"/>
      <c r="AQ292" s="21"/>
      <c r="AR292" s="21"/>
    </row>
    <row r="293" spans="1:44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1"/>
      <c r="AN293" s="21"/>
      <c r="AO293" s="21"/>
      <c r="AP293" s="21"/>
      <c r="AQ293" s="21"/>
      <c r="AR293" s="21"/>
    </row>
    <row r="294" spans="1:4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  <c r="AR294" s="21"/>
    </row>
    <row r="295" spans="1:44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21"/>
      <c r="AN295" s="21"/>
      <c r="AO295" s="21"/>
      <c r="AP295" s="21"/>
      <c r="AQ295" s="21"/>
      <c r="AR295" s="21"/>
    </row>
    <row r="296" spans="1:44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  <c r="AP296" s="21"/>
      <c r="AQ296" s="21"/>
      <c r="AR296" s="21"/>
    </row>
    <row r="297" spans="1:44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  <c r="AP297" s="21"/>
      <c r="AQ297" s="21"/>
      <c r="AR297" s="21"/>
    </row>
    <row r="298" spans="1:44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  <c r="AP298" s="21"/>
      <c r="AQ298" s="21"/>
      <c r="AR298" s="21"/>
    </row>
    <row r="299" spans="1:44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  <c r="AP299" s="21"/>
      <c r="AQ299" s="21"/>
      <c r="AR299" s="21"/>
    </row>
    <row r="300" spans="1:44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  <c r="AP300" s="21"/>
      <c r="AQ300" s="21"/>
      <c r="AR300" s="21"/>
    </row>
    <row r="301" spans="1:44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  <c r="AP301" s="21"/>
      <c r="AQ301" s="21"/>
      <c r="AR301" s="21"/>
    </row>
    <row r="302" spans="1:44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  <c r="AP302" s="21"/>
      <c r="AQ302" s="21"/>
      <c r="AR302" s="21"/>
    </row>
    <row r="303" spans="1:44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  <c r="AR303" s="21"/>
    </row>
    <row r="304" spans="1:4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  <c r="AP304" s="21"/>
      <c r="AQ304" s="21"/>
      <c r="AR304" s="21"/>
    </row>
    <row r="305" spans="1:44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21"/>
      <c r="AN305" s="21"/>
      <c r="AO305" s="21"/>
      <c r="AP305" s="21"/>
      <c r="AQ305" s="21"/>
      <c r="AR305" s="21"/>
    </row>
    <row r="306" spans="1:44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  <c r="AL306" s="21"/>
      <c r="AM306" s="21"/>
      <c r="AN306" s="21"/>
      <c r="AO306" s="21"/>
      <c r="AP306" s="21"/>
      <c r="AQ306" s="21"/>
      <c r="AR306" s="21"/>
    </row>
    <row r="307" spans="1:44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  <c r="AL307" s="21"/>
      <c r="AM307" s="21"/>
      <c r="AN307" s="21"/>
      <c r="AO307" s="21"/>
      <c r="AP307" s="21"/>
      <c r="AQ307" s="21"/>
      <c r="AR307" s="21"/>
    </row>
    <row r="308" spans="1:44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  <c r="AL308" s="21"/>
      <c r="AM308" s="21"/>
      <c r="AN308" s="21"/>
      <c r="AO308" s="21"/>
      <c r="AP308" s="21"/>
      <c r="AQ308" s="21"/>
      <c r="AR308" s="21"/>
    </row>
    <row r="309" spans="1:44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  <c r="AO309" s="21"/>
      <c r="AP309" s="21"/>
      <c r="AQ309" s="21"/>
      <c r="AR309" s="21"/>
    </row>
    <row r="310" spans="1:44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  <c r="AO310" s="21"/>
      <c r="AP310" s="21"/>
      <c r="AQ310" s="21"/>
      <c r="AR310" s="21"/>
    </row>
    <row r="311" spans="1:44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  <c r="AP311" s="21"/>
      <c r="AQ311" s="21"/>
      <c r="AR311" s="21"/>
    </row>
    <row r="312" spans="1:44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  <c r="AQ312" s="21"/>
      <c r="AR312" s="21"/>
    </row>
    <row r="313" spans="1:44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21"/>
      <c r="AN313" s="21"/>
      <c r="AO313" s="21"/>
      <c r="AP313" s="21"/>
      <c r="AQ313" s="21"/>
      <c r="AR313" s="21"/>
    </row>
    <row r="314" spans="1:4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  <c r="AP314" s="21"/>
      <c r="AQ314" s="21"/>
      <c r="AR314" s="21"/>
    </row>
    <row r="315" spans="1:44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  <c r="AL315" s="21"/>
      <c r="AM315" s="21"/>
      <c r="AN315" s="21"/>
      <c r="AO315" s="21"/>
      <c r="AP315" s="21"/>
      <c r="AQ315" s="21"/>
      <c r="AR315" s="21"/>
    </row>
    <row r="316" spans="1:44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  <c r="AQ316" s="21"/>
      <c r="AR316" s="21"/>
    </row>
    <row r="317" spans="1:44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  <c r="AP317" s="21"/>
      <c r="AQ317" s="21"/>
      <c r="AR317" s="21"/>
    </row>
    <row r="318" spans="1:44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  <c r="AP318" s="21"/>
      <c r="AQ318" s="21"/>
      <c r="AR318" s="21"/>
    </row>
    <row r="319" spans="1:44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  <c r="AP319" s="21"/>
      <c r="AQ319" s="21"/>
      <c r="AR319" s="21"/>
    </row>
    <row r="320" spans="1:44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  <c r="AP320" s="21"/>
      <c r="AQ320" s="21"/>
      <c r="AR320" s="21"/>
    </row>
    <row r="321" spans="1:44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  <c r="AR321" s="21"/>
    </row>
    <row r="322" spans="1:44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  <c r="AM322" s="21"/>
      <c r="AN322" s="21"/>
      <c r="AO322" s="21"/>
      <c r="AP322" s="21"/>
      <c r="AQ322" s="21"/>
      <c r="AR322" s="21"/>
    </row>
    <row r="323" spans="1:44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  <c r="AP323" s="21"/>
      <c r="AQ323" s="21"/>
      <c r="AR323" s="21"/>
    </row>
    <row r="324" spans="1:4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  <c r="AP324" s="21"/>
      <c r="AQ324" s="21"/>
      <c r="AR324" s="21"/>
    </row>
    <row r="325" spans="1:44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1"/>
      <c r="AN325" s="21"/>
      <c r="AO325" s="21"/>
      <c r="AP325" s="21"/>
      <c r="AQ325" s="21"/>
      <c r="AR325" s="21"/>
    </row>
    <row r="326" spans="1:44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  <c r="AO326" s="21"/>
      <c r="AP326" s="21"/>
      <c r="AQ326" s="21"/>
      <c r="AR326" s="21"/>
    </row>
    <row r="327" spans="1:44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  <c r="AM327" s="21"/>
      <c r="AN327" s="21"/>
      <c r="AO327" s="21"/>
      <c r="AP327" s="21"/>
      <c r="AQ327" s="21"/>
      <c r="AR327" s="21"/>
    </row>
    <row r="328" spans="1:44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  <c r="AO328" s="21"/>
      <c r="AP328" s="21"/>
      <c r="AQ328" s="21"/>
      <c r="AR328" s="21"/>
    </row>
    <row r="329" spans="1:44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21"/>
      <c r="AN329" s="21"/>
      <c r="AO329" s="21"/>
      <c r="AP329" s="21"/>
      <c r="AQ329" s="21"/>
      <c r="AR329" s="21"/>
    </row>
    <row r="330" spans="1:44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  <c r="AP330" s="21"/>
      <c r="AQ330" s="21"/>
      <c r="AR330" s="21"/>
    </row>
    <row r="331" spans="1:44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  <c r="AP331" s="21"/>
      <c r="AQ331" s="21"/>
      <c r="AR331" s="21"/>
    </row>
    <row r="332" spans="1:44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  <c r="AO332" s="21"/>
      <c r="AP332" s="21"/>
      <c r="AQ332" s="21"/>
      <c r="AR332" s="21"/>
    </row>
    <row r="333" spans="1:44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  <c r="AP333" s="21"/>
      <c r="AQ333" s="21"/>
      <c r="AR333" s="21"/>
    </row>
    <row r="334" spans="1:4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  <c r="AP334" s="21"/>
      <c r="AQ334" s="21"/>
      <c r="AR334" s="21"/>
    </row>
    <row r="335" spans="1:44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  <c r="AP335" s="21"/>
      <c r="AQ335" s="21"/>
      <c r="AR335" s="21"/>
    </row>
    <row r="336" spans="1:44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  <c r="AP336" s="21"/>
      <c r="AQ336" s="21"/>
      <c r="AR336" s="21"/>
    </row>
  </sheetData>
  <mergeCells count="7">
    <mergeCell ref="A62:K63"/>
    <mergeCell ref="A5:J6"/>
    <mergeCell ref="A18:J19"/>
    <mergeCell ref="A23:J24"/>
    <mergeCell ref="A31:J32"/>
    <mergeCell ref="A16:J17"/>
    <mergeCell ref="A25:J27"/>
  </mergeCells>
  <printOptions horizontalCentered="1"/>
  <pageMargins left="0.75" right="0.75" top="1" bottom="1" header="0.5" footer="0.5"/>
  <pageSetup scale="76" firstPageNumber="2" orientation="portrait" horizontalDpi="4294967292" verticalDpi="4294967292" r:id="rId1"/>
  <headerFooter alignWithMargins="0">
    <oddFooter>&amp;LScot Chambers
&amp;D&amp;CPage _____&amp;R&amp;F
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showGridLines="0" workbookViewId="0">
      <selection activeCell="A3" sqref="A3"/>
    </sheetView>
  </sheetViews>
  <sheetFormatPr defaultRowHeight="12.75"/>
  <sheetData>
    <row r="1" spans="1:1">
      <c r="A1" s="435" t="str">
        <f>'Table of Contents'!A1</f>
        <v>St Peter, Illinois (Ameren) Power Project, Rev 0</v>
      </c>
    </row>
    <row r="2" spans="1:1">
      <c r="A2" s="11" t="s">
        <v>1144</v>
      </c>
    </row>
  </sheetData>
  <pageMargins left="0.75" right="0.75" top="1" bottom="1" header="0.5" footer="0.5"/>
  <pageSetup orientation="portrait" horizontalDpi="300" verticalDpi="300" r:id="rId1"/>
  <headerFooter alignWithMargins="0">
    <oddFooter>&amp;LScot Chambers
&amp;D&amp;R&amp;F
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906"/>
  <sheetViews>
    <sheetView zoomScale="80" workbookViewId="0">
      <selection sqref="A1:I1"/>
    </sheetView>
  </sheetViews>
  <sheetFormatPr defaultRowHeight="12.75"/>
  <cols>
    <col min="1" max="1" width="4.7109375" style="71" customWidth="1"/>
    <col min="2" max="2" width="46.28515625" style="71" customWidth="1"/>
    <col min="3" max="3" width="9.140625" style="71"/>
    <col min="4" max="4" width="3.28515625" style="71" customWidth="1"/>
    <col min="5" max="5" width="11.140625" style="71" customWidth="1"/>
    <col min="6" max="8" width="11.28515625" style="71" customWidth="1"/>
    <col min="9" max="9" width="17.140625" style="71" bestFit="1" customWidth="1"/>
    <col min="10" max="10" width="14.42578125" style="71" bestFit="1" customWidth="1"/>
    <col min="11" max="11" width="14.85546875" style="71" bestFit="1" customWidth="1"/>
    <col min="12" max="12" width="14.42578125" style="71" bestFit="1" customWidth="1"/>
    <col min="13" max="13" width="9.140625" style="71"/>
    <col min="14" max="16384" width="9.140625" style="72"/>
  </cols>
  <sheetData>
    <row r="1" spans="1:13" s="33" customFormat="1" ht="15.75">
      <c r="A1" s="691" t="str">
        <f>Scope!A1</f>
        <v>St Peter, Illinois (Ameren) Power Project, Rev 0</v>
      </c>
      <c r="B1" s="691"/>
      <c r="C1" s="691"/>
      <c r="D1" s="691"/>
      <c r="E1" s="691"/>
      <c r="F1" s="691"/>
      <c r="G1" s="691"/>
      <c r="H1" s="691"/>
      <c r="I1" s="691"/>
    </row>
    <row r="2" spans="1:13" s="33" customFormat="1" ht="15.75">
      <c r="A2" s="691" t="s">
        <v>112</v>
      </c>
      <c r="B2" s="691"/>
      <c r="C2" s="691"/>
      <c r="D2" s="691"/>
      <c r="E2" s="691"/>
      <c r="F2" s="691"/>
      <c r="G2" s="691"/>
      <c r="H2" s="691"/>
      <c r="I2" s="691"/>
    </row>
    <row r="3" spans="1:13" s="33" customFormat="1" ht="15.75">
      <c r="A3" s="691" t="s">
        <v>181</v>
      </c>
      <c r="B3" s="691"/>
      <c r="C3" s="691"/>
      <c r="D3" s="691"/>
      <c r="E3" s="691"/>
      <c r="F3" s="691"/>
      <c r="G3" s="691"/>
      <c r="H3" s="691"/>
      <c r="I3" s="691"/>
    </row>
    <row r="4" spans="1:13" s="33" customFormat="1" ht="15.75">
      <c r="A4" s="4"/>
      <c r="B4" s="4"/>
      <c r="C4" s="4"/>
      <c r="D4" s="4"/>
      <c r="E4" s="4"/>
      <c r="F4" s="4"/>
      <c r="G4" s="4"/>
      <c r="H4" s="4"/>
    </row>
    <row r="5" spans="1:13" s="33" customFormat="1" ht="16.5" thickBot="1">
      <c r="A5" s="34" t="s">
        <v>182</v>
      </c>
      <c r="E5" s="35"/>
    </row>
    <row r="6" spans="1:13" s="33" customFormat="1" ht="13.5" thickBot="1">
      <c r="B6" s="36"/>
      <c r="C6" s="37"/>
      <c r="D6" s="36"/>
      <c r="E6" s="38" t="s">
        <v>183</v>
      </c>
      <c r="F6" s="36"/>
      <c r="G6" s="38" t="s">
        <v>1140</v>
      </c>
    </row>
    <row r="7" spans="1:13" s="33" customFormat="1">
      <c r="A7" s="39" t="s">
        <v>184</v>
      </c>
      <c r="B7" s="40"/>
      <c r="C7" s="41"/>
      <c r="D7" s="40"/>
      <c r="E7" s="42"/>
      <c r="F7" s="3"/>
      <c r="G7" s="42"/>
      <c r="H7" s="3"/>
      <c r="I7" s="3"/>
      <c r="J7" s="3"/>
    </row>
    <row r="8" spans="1:13" s="33" customFormat="1">
      <c r="A8" s="39"/>
      <c r="B8" s="40" t="s">
        <v>185</v>
      </c>
      <c r="C8" s="40"/>
      <c r="D8" s="40"/>
      <c r="E8" s="43">
        <f>Mob_Estimate!D6</f>
        <v>19744.267076923075</v>
      </c>
      <c r="F8" s="44"/>
      <c r="G8" s="43"/>
      <c r="H8" s="3"/>
      <c r="I8" s="3"/>
      <c r="J8" s="3"/>
    </row>
    <row r="9" spans="1:13" s="33" customFormat="1">
      <c r="A9" s="39"/>
      <c r="B9" s="40" t="s">
        <v>186</v>
      </c>
      <c r="C9" s="40"/>
      <c r="D9" s="40"/>
      <c r="E9" s="43">
        <f>Mob_Estimate!D8</f>
        <v>148618.78253846156</v>
      </c>
      <c r="F9" s="44"/>
      <c r="G9" s="43"/>
      <c r="H9" s="3"/>
      <c r="I9" s="3"/>
      <c r="J9" s="3"/>
    </row>
    <row r="10" spans="1:13" s="33" customFormat="1">
      <c r="A10" s="3"/>
      <c r="B10" s="40" t="s">
        <v>187</v>
      </c>
      <c r="C10" s="40"/>
      <c r="D10" s="40"/>
      <c r="E10" s="43">
        <f ca="1">Mob_Estimate!D24</f>
        <v>242695.66335707984</v>
      </c>
      <c r="F10" s="44"/>
      <c r="G10" s="43"/>
      <c r="H10" s="3"/>
      <c r="I10" s="3"/>
      <c r="J10" s="3"/>
    </row>
    <row r="11" spans="1:13" s="33" customFormat="1">
      <c r="A11" s="3"/>
      <c r="B11" s="40" t="s">
        <v>188</v>
      </c>
      <c r="C11" s="40"/>
      <c r="D11" s="40"/>
      <c r="E11" s="43">
        <f>Mob_Estimate!D36</f>
        <v>224790.25</v>
      </c>
      <c r="F11" s="44"/>
      <c r="G11" s="43"/>
      <c r="H11" s="3"/>
      <c r="I11" s="3"/>
      <c r="J11" s="3"/>
    </row>
    <row r="12" spans="1:13" s="33" customFormat="1">
      <c r="A12" s="3"/>
      <c r="B12" s="40"/>
      <c r="C12" s="40"/>
      <c r="D12" s="40"/>
      <c r="E12" s="43"/>
      <c r="F12" s="44"/>
      <c r="G12" s="43"/>
      <c r="H12" s="3"/>
      <c r="I12" s="3"/>
      <c r="J12" s="3"/>
    </row>
    <row r="13" spans="1:13" s="33" customFormat="1" ht="13.5" thickBot="1">
      <c r="A13" s="3"/>
      <c r="B13" s="45" t="s">
        <v>189</v>
      </c>
      <c r="C13" s="40"/>
      <c r="D13" s="40"/>
      <c r="E13" s="46">
        <f ca="1">SUBTOTAL(9,E7:E11)</f>
        <v>635848.96297246451</v>
      </c>
      <c r="F13" s="44"/>
      <c r="G13" s="450">
        <f ca="1">E13/Scope!D13/1000</f>
        <v>6.8078047427458719</v>
      </c>
      <c r="H13" s="3"/>
      <c r="I13" s="3"/>
      <c r="J13" s="3"/>
    </row>
    <row r="14" spans="1:13" s="33" customFormat="1" ht="13.5" thickBot="1">
      <c r="A14" s="3"/>
      <c r="B14" s="45"/>
      <c r="C14" s="45"/>
      <c r="D14" s="45"/>
      <c r="E14" s="47"/>
      <c r="F14" s="48"/>
      <c r="G14" s="47"/>
      <c r="H14" s="36"/>
      <c r="I14" s="3"/>
      <c r="J14" s="3"/>
      <c r="K14" s="3"/>
      <c r="L14" s="3"/>
      <c r="M14" s="3"/>
    </row>
    <row r="15" spans="1:13" s="33" customFormat="1" hidden="1">
      <c r="A15" s="3"/>
      <c r="B15" s="39" t="s">
        <v>190</v>
      </c>
      <c r="C15" s="45"/>
      <c r="D15" s="45"/>
      <c r="E15" s="49" t="s">
        <v>191</v>
      </c>
      <c r="F15" s="48"/>
      <c r="G15" s="49"/>
      <c r="H15" s="36"/>
      <c r="I15" s="3"/>
      <c r="J15" s="3"/>
      <c r="K15" s="3"/>
      <c r="L15" s="3"/>
      <c r="M15" s="3"/>
    </row>
    <row r="16" spans="1:13" s="33" customFormat="1" ht="13.5" hidden="1" thickBot="1">
      <c r="A16" s="3"/>
      <c r="B16" s="39"/>
      <c r="C16" s="45"/>
      <c r="D16" s="45"/>
      <c r="E16" s="50"/>
      <c r="F16" s="48"/>
      <c r="G16" s="50"/>
      <c r="H16" s="36"/>
      <c r="I16" s="3"/>
      <c r="J16" s="3"/>
      <c r="K16" s="3"/>
      <c r="L16" s="3"/>
      <c r="M16" s="3"/>
    </row>
    <row r="17" spans="1:13" s="33" customFormat="1" hidden="1">
      <c r="A17" s="3"/>
      <c r="B17" s="39" t="s">
        <v>1137</v>
      </c>
      <c r="C17" s="45"/>
      <c r="D17" s="45"/>
      <c r="E17" s="49" t="s">
        <v>191</v>
      </c>
      <c r="F17" s="48"/>
      <c r="G17" s="49"/>
      <c r="H17" s="36"/>
      <c r="I17" s="3"/>
      <c r="J17" s="3"/>
      <c r="K17" s="3"/>
      <c r="L17" s="3"/>
      <c r="M17" s="3"/>
    </row>
    <row r="18" spans="1:13" s="33" customFormat="1" ht="13.5" hidden="1" thickBot="1">
      <c r="A18" s="3"/>
      <c r="B18" s="39"/>
      <c r="C18" s="45"/>
      <c r="D18" s="45"/>
      <c r="E18" s="50"/>
      <c r="F18" s="48"/>
      <c r="G18" s="50"/>
      <c r="H18" s="36"/>
      <c r="I18" s="3"/>
      <c r="J18" s="3"/>
      <c r="K18" s="3"/>
      <c r="L18" s="3"/>
      <c r="M18" s="3"/>
    </row>
    <row r="19" spans="1:13" s="33" customFormat="1" ht="13.5" hidden="1" thickBot="1">
      <c r="A19" s="3"/>
      <c r="B19" s="39" t="s">
        <v>1138</v>
      </c>
      <c r="C19" s="45"/>
      <c r="D19" s="45"/>
      <c r="E19" s="457" t="str">
        <f>Mob_Estimate!D45</f>
        <v>NA</v>
      </c>
      <c r="F19" s="48"/>
      <c r="G19" s="457"/>
      <c r="H19" s="36"/>
      <c r="I19" s="3"/>
      <c r="J19" s="3"/>
      <c r="K19" s="3"/>
      <c r="L19" s="3"/>
      <c r="M19" s="3"/>
    </row>
    <row r="20" spans="1:13" s="33" customFormat="1" ht="13.5" hidden="1" thickBot="1">
      <c r="A20" s="3"/>
      <c r="B20" s="39"/>
      <c r="C20" s="45"/>
      <c r="D20" s="45"/>
      <c r="E20" s="51"/>
      <c r="F20" s="48"/>
      <c r="G20" s="51"/>
      <c r="H20" s="36"/>
      <c r="I20" s="3"/>
      <c r="J20" s="3"/>
      <c r="K20" s="3"/>
      <c r="L20" s="3"/>
      <c r="M20" s="3"/>
    </row>
    <row r="21" spans="1:13" s="33" customFormat="1" ht="13.5" thickBot="1">
      <c r="A21" s="3"/>
      <c r="B21" s="45" t="s">
        <v>192</v>
      </c>
      <c r="C21" s="52"/>
      <c r="D21" s="45"/>
      <c r="E21" s="53">
        <f>Mob_Estimate!D47</f>
        <v>913275</v>
      </c>
      <c r="F21" s="48"/>
      <c r="G21" s="449">
        <f>E21/Scope!D13/1000</f>
        <v>9.7781049250535332</v>
      </c>
      <c r="K21" s="3"/>
      <c r="L21" s="3"/>
      <c r="M21" s="3"/>
    </row>
    <row r="22" spans="1:13" s="33" customFormat="1" ht="13.5" thickBot="1">
      <c r="A22" s="3"/>
      <c r="E22" s="35"/>
      <c r="F22" s="48"/>
      <c r="G22" s="35"/>
      <c r="K22" s="3"/>
      <c r="L22" s="3"/>
      <c r="M22" s="3"/>
    </row>
    <row r="23" spans="1:13" s="33" customFormat="1" ht="13.5" thickBot="1">
      <c r="A23" s="3"/>
      <c r="B23" s="39" t="s">
        <v>193</v>
      </c>
      <c r="C23" s="45"/>
      <c r="D23" s="45"/>
      <c r="E23" s="54">
        <f>Mob_Estimate!D50</f>
        <v>125000</v>
      </c>
      <c r="F23" s="48"/>
      <c r="G23" s="460">
        <f>E23/Scope!D13/1000</f>
        <v>1.3383297644539613</v>
      </c>
      <c r="H23" s="36"/>
      <c r="I23" s="3"/>
      <c r="J23" s="3"/>
      <c r="K23" s="3"/>
      <c r="L23" s="3"/>
      <c r="M23" s="3"/>
    </row>
    <row r="24" spans="1:13" s="33" customFormat="1" ht="13.5" hidden="1" thickBot="1">
      <c r="A24" s="3"/>
      <c r="B24" s="45" t="s">
        <v>194</v>
      </c>
      <c r="C24" s="45"/>
      <c r="D24" s="45"/>
      <c r="E24" s="55"/>
      <c r="F24" s="48"/>
      <c r="G24" s="55"/>
      <c r="H24" s="36"/>
      <c r="I24" s="3"/>
      <c r="J24" s="3"/>
      <c r="K24" s="3"/>
      <c r="L24" s="3"/>
      <c r="M24" s="3"/>
    </row>
    <row r="25" spans="1:13" s="33" customFormat="1" ht="13.5" thickBot="1">
      <c r="A25" s="3"/>
      <c r="B25" s="45"/>
      <c r="C25" s="45"/>
      <c r="D25" s="45"/>
      <c r="E25" s="436"/>
      <c r="F25" s="48"/>
      <c r="G25" s="436"/>
      <c r="H25" s="36"/>
      <c r="I25" s="3"/>
      <c r="J25" s="3"/>
      <c r="K25" s="3"/>
      <c r="L25" s="3"/>
      <c r="M25" s="3"/>
    </row>
    <row r="26" spans="1:13" s="33" customFormat="1" ht="13.5" thickBot="1">
      <c r="A26" s="3"/>
      <c r="B26" s="45" t="s">
        <v>976</v>
      </c>
      <c r="C26" s="45"/>
      <c r="D26" s="45"/>
      <c r="E26" s="53">
        <f ca="1">E13+E21+E23</f>
        <v>1674123.9629724645</v>
      </c>
      <c r="F26" s="48"/>
      <c r="G26" s="449">
        <f ca="1">SUM(G13:G23)</f>
        <v>17.924239432253366</v>
      </c>
      <c r="H26" s="437"/>
      <c r="I26" s="3"/>
      <c r="J26" s="3"/>
      <c r="K26" s="3"/>
      <c r="L26" s="3"/>
      <c r="M26" s="3"/>
    </row>
    <row r="27" spans="1:13" s="33" customFormat="1">
      <c r="A27" s="3"/>
      <c r="B27" s="45"/>
      <c r="C27" s="52"/>
      <c r="D27" s="45"/>
      <c r="E27" s="48"/>
      <c r="F27" s="48"/>
      <c r="G27" s="36"/>
      <c r="H27" s="36"/>
      <c r="I27" s="3"/>
      <c r="J27" s="3"/>
      <c r="K27" s="3"/>
      <c r="L27" s="3"/>
      <c r="M27" s="3"/>
    </row>
    <row r="28" spans="1:13" s="33" customFormat="1" ht="16.5" thickBot="1">
      <c r="A28" s="34" t="s">
        <v>195</v>
      </c>
      <c r="B28" s="45"/>
      <c r="C28" s="45"/>
      <c r="D28" s="45"/>
      <c r="E28" s="47"/>
      <c r="F28" s="48"/>
      <c r="G28" s="36"/>
      <c r="H28" s="36"/>
      <c r="I28" s="3"/>
      <c r="J28" s="3"/>
      <c r="K28" s="3"/>
      <c r="L28" s="3"/>
      <c r="M28" s="3"/>
    </row>
    <row r="29" spans="1:13" s="33" customFormat="1">
      <c r="A29" s="3"/>
      <c r="B29" s="40"/>
      <c r="C29" s="40"/>
      <c r="D29" s="40"/>
      <c r="E29" s="56"/>
      <c r="F29" s="57"/>
      <c r="G29" s="434" t="s">
        <v>1130</v>
      </c>
      <c r="H29" s="434" t="s">
        <v>1132</v>
      </c>
      <c r="I29" s="689" t="s">
        <v>1130</v>
      </c>
      <c r="J29" s="690"/>
      <c r="K29" s="689" t="s">
        <v>1132</v>
      </c>
      <c r="L29" s="690"/>
    </row>
    <row r="30" spans="1:13" s="33" customFormat="1" ht="13.5" thickBot="1">
      <c r="A30" s="3"/>
      <c r="B30" s="40"/>
      <c r="C30" s="40"/>
      <c r="D30" s="40"/>
      <c r="E30" s="58" t="s">
        <v>196</v>
      </c>
      <c r="F30" s="59" t="s">
        <v>197</v>
      </c>
      <c r="G30" s="256" t="s">
        <v>1131</v>
      </c>
      <c r="H30" s="256" t="s">
        <v>1131</v>
      </c>
      <c r="I30" s="438" t="s">
        <v>1141</v>
      </c>
      <c r="J30" s="439" t="s">
        <v>1142</v>
      </c>
      <c r="K30" s="438" t="s">
        <v>1141</v>
      </c>
      <c r="L30" s="439" t="s">
        <v>1142</v>
      </c>
    </row>
    <row r="31" spans="1:13" s="33" customFormat="1">
      <c r="A31" s="39" t="s">
        <v>198</v>
      </c>
      <c r="B31" s="40"/>
      <c r="C31" s="41"/>
      <c r="D31" s="40"/>
      <c r="E31" s="57"/>
      <c r="F31" s="57"/>
      <c r="G31" s="57"/>
      <c r="H31" s="56"/>
      <c r="I31" s="440"/>
      <c r="J31" s="257"/>
      <c r="K31" s="440"/>
      <c r="L31" s="257"/>
    </row>
    <row r="32" spans="1:13" s="33" customFormat="1">
      <c r="A32" s="3"/>
      <c r="B32" s="40" t="s">
        <v>199</v>
      </c>
      <c r="C32" s="40"/>
      <c r="D32" s="40"/>
      <c r="E32" s="43">
        <f>'O&amp;M_Estimate'!D8</f>
        <v>519842.88616923074</v>
      </c>
      <c r="F32" s="43">
        <f>'O&amp;M_Estimate'!E8</f>
        <v>519842.88616923074</v>
      </c>
      <c r="G32" s="43">
        <f>'O&amp;M_Estimate'!F8</f>
        <v>519842.88616923074</v>
      </c>
      <c r="H32" s="445">
        <f>'O&amp;M_Estimate'!G8</f>
        <v>519842.88616923074</v>
      </c>
      <c r="I32" s="441">
        <f>G32/Scope!D13/1000</f>
        <v>5.5657696591994723</v>
      </c>
      <c r="J32" s="203"/>
      <c r="K32" s="441">
        <f>H32/Scope!D13/1000</f>
        <v>5.5657696591994723</v>
      </c>
      <c r="L32" s="203"/>
    </row>
    <row r="33" spans="1:12" s="33" customFormat="1">
      <c r="A33" s="3"/>
      <c r="B33" s="40" t="s">
        <v>200</v>
      </c>
      <c r="C33" s="40"/>
      <c r="D33" s="40"/>
      <c r="E33" s="43">
        <f ca="1">'O&amp;M_Estimate'!D22</f>
        <v>213069.64469093518</v>
      </c>
      <c r="F33" s="43">
        <f ca="1">'O&amp;M_Estimate'!E22</f>
        <v>197819.64469093518</v>
      </c>
      <c r="G33" s="43">
        <f ca="1">'O&amp;M_Estimate'!F22</f>
        <v>202902.97802426852</v>
      </c>
      <c r="H33" s="445">
        <f ca="1">'O&amp;M_Estimate'!G22</f>
        <v>198582.14469093518</v>
      </c>
      <c r="I33" s="441">
        <f ca="1">G33/Scope!D13/1000</f>
        <v>2.1724087582898126</v>
      </c>
      <c r="J33" s="203"/>
      <c r="K33" s="441">
        <f ca="1">H33/Scope!D13/1000</f>
        <v>2.126147159431854</v>
      </c>
      <c r="L33" s="203"/>
    </row>
    <row r="34" spans="1:12" s="33" customFormat="1" hidden="1">
      <c r="A34" s="3"/>
      <c r="B34" s="40" t="s">
        <v>752</v>
      </c>
      <c r="C34" s="40"/>
      <c r="D34" s="40"/>
      <c r="E34" s="43">
        <f>'O&amp;M_Estimate'!D24</f>
        <v>0</v>
      </c>
      <c r="F34" s="43">
        <f>'O&amp;M_Estimate'!E24</f>
        <v>0</v>
      </c>
      <c r="G34" s="43">
        <f>'O&amp;M_Estimate'!F24</f>
        <v>0</v>
      </c>
      <c r="H34" s="43">
        <f>'O&amp;M_Estimate'!G24</f>
        <v>0</v>
      </c>
      <c r="I34" s="441"/>
      <c r="J34" s="442">
        <f>G34/180/1300</f>
        <v>0</v>
      </c>
      <c r="K34" s="441"/>
      <c r="L34" s="442">
        <f>H34/180/1300</f>
        <v>0</v>
      </c>
    </row>
    <row r="35" spans="1:12" s="33" customFormat="1">
      <c r="A35" s="3"/>
      <c r="B35" s="40" t="s">
        <v>1133</v>
      </c>
      <c r="C35" s="40"/>
      <c r="D35" s="40"/>
      <c r="E35" s="43">
        <f>'O&amp;M_Estimate'!D25</f>
        <v>29716.6</v>
      </c>
      <c r="F35" s="43">
        <f>'O&amp;M_Estimate'!E25</f>
        <v>29716.6</v>
      </c>
      <c r="G35" s="43">
        <f>'O&amp;M_Estimate'!F25</f>
        <v>29716.599999999995</v>
      </c>
      <c r="H35" s="445">
        <f>'O&amp;M_Estimate'!G25</f>
        <v>29716.6</v>
      </c>
      <c r="I35" s="444"/>
      <c r="J35" s="442">
        <f>G35/Scope!D13/Scope!F40</f>
        <v>0.19885305139186291</v>
      </c>
      <c r="K35" s="444"/>
      <c r="L35" s="442">
        <f>H35/Scope!D13/Scope!F40</f>
        <v>0.19885305139186293</v>
      </c>
    </row>
    <row r="36" spans="1:12" s="33" customFormat="1" hidden="1">
      <c r="A36" s="3"/>
      <c r="B36" s="40" t="s">
        <v>378</v>
      </c>
      <c r="C36" s="40"/>
      <c r="D36" s="40"/>
      <c r="E36" s="43">
        <f>'O&amp;M_Estimate'!D26</f>
        <v>0</v>
      </c>
      <c r="F36" s="43">
        <f>'O&amp;M_Estimate'!E26</f>
        <v>0</v>
      </c>
      <c r="G36" s="43">
        <f>'O&amp;M_Estimate'!F26</f>
        <v>0</v>
      </c>
      <c r="H36" s="445">
        <f>'O&amp;M_Estimate'!G26</f>
        <v>0</v>
      </c>
      <c r="I36" s="444"/>
      <c r="J36" s="442">
        <f>G36/180/1300</f>
        <v>0</v>
      </c>
      <c r="K36" s="444"/>
      <c r="L36" s="442">
        <f>H36/180/1300</f>
        <v>0</v>
      </c>
    </row>
    <row r="37" spans="1:12" s="33" customFormat="1">
      <c r="A37" s="3"/>
      <c r="B37" s="40" t="s">
        <v>201</v>
      </c>
      <c r="C37" s="40"/>
      <c r="D37" s="40"/>
      <c r="E37" s="43">
        <f>'O&amp;M_Estimate'!D41</f>
        <v>193748.33485721628</v>
      </c>
      <c r="F37" s="43">
        <f>'O&amp;M_Estimate'!E41</f>
        <v>337885.58769194072</v>
      </c>
      <c r="G37" s="43">
        <f>'O&amp;M_Estimate'!F41</f>
        <v>289839.83674703259</v>
      </c>
      <c r="H37" s="445">
        <f>'O&amp;M_Estimate'!G41</f>
        <v>330678.72505020449</v>
      </c>
      <c r="I37" s="441">
        <f>G37/Scope!D13/1000*0.75</f>
        <v>2.3274076826581847</v>
      </c>
      <c r="J37" s="442">
        <f>G37*0.25/Scope!D13/Scope!F40</f>
        <v>0.48487660055378845</v>
      </c>
      <c r="K37" s="441">
        <f>H37/Scope!D13/1000*0.75</f>
        <v>2.6553430812382586</v>
      </c>
      <c r="L37" s="442">
        <f>H37*0.25/Scope!D13/Scope!F40</f>
        <v>0.55319647525797055</v>
      </c>
    </row>
    <row r="38" spans="1:12" s="33" customFormat="1">
      <c r="A38" s="3"/>
      <c r="B38" s="40" t="s">
        <v>202</v>
      </c>
      <c r="C38" s="40"/>
      <c r="D38" s="40"/>
      <c r="E38" s="43">
        <f>'O&amp;M_Estimate'!D43</f>
        <v>22479.025000000001</v>
      </c>
      <c r="F38" s="43">
        <f>'O&amp;M_Estimate'!E43</f>
        <v>22479.025000000001</v>
      </c>
      <c r="G38" s="43">
        <f>'O&amp;M_Estimate'!F43</f>
        <v>22479.025000000005</v>
      </c>
      <c r="H38" s="445">
        <f>'O&amp;M_Estimate'!G43</f>
        <v>22479.025000000001</v>
      </c>
      <c r="I38" s="441">
        <f>G38/Scope!D13/1000</f>
        <v>0.24067478586723773</v>
      </c>
      <c r="J38" s="203"/>
      <c r="K38" s="441">
        <f>H38/Scope!D13/1000</f>
        <v>0.2406747858672377</v>
      </c>
      <c r="L38" s="203"/>
    </row>
    <row r="39" spans="1:12" s="33" customFormat="1" hidden="1">
      <c r="A39" s="3"/>
      <c r="B39" s="40" t="s">
        <v>748</v>
      </c>
      <c r="C39" s="40"/>
      <c r="D39" s="40"/>
      <c r="E39" s="43">
        <f>'O&amp;M_Estimate'!D45</f>
        <v>0</v>
      </c>
      <c r="F39" s="43">
        <f>'O&amp;M_Estimate'!E45</f>
        <v>0</v>
      </c>
      <c r="G39" s="43">
        <f>'O&amp;M_Estimate'!F45</f>
        <v>0</v>
      </c>
      <c r="H39" s="43">
        <f>'O&amp;M_Estimate'!G45</f>
        <v>0</v>
      </c>
      <c r="I39" s="441">
        <f>G39/180000</f>
        <v>0</v>
      </c>
      <c r="J39" s="203"/>
      <c r="K39" s="441">
        <f>H39/180000</f>
        <v>0</v>
      </c>
      <c r="L39" s="203"/>
    </row>
    <row r="40" spans="1:12" s="33" customFormat="1">
      <c r="A40" s="3"/>
      <c r="B40" s="40"/>
      <c r="C40" s="40"/>
      <c r="D40" s="40"/>
      <c r="E40" s="43"/>
      <c r="F40" s="43"/>
      <c r="G40" s="43"/>
      <c r="H40" s="445"/>
      <c r="I40" s="202"/>
      <c r="J40" s="203"/>
      <c r="K40" s="202"/>
      <c r="L40" s="203"/>
    </row>
    <row r="41" spans="1:12" s="33" customFormat="1" ht="13.5" thickBot="1">
      <c r="A41" s="3"/>
      <c r="B41" s="45" t="s">
        <v>203</v>
      </c>
      <c r="C41" s="40"/>
      <c r="D41" s="40"/>
      <c r="E41" s="46">
        <f ca="1">SUM(E32:E40)</f>
        <v>978856.49071738229</v>
      </c>
      <c r="F41" s="46">
        <f ca="1">SUM(F32:F40)</f>
        <v>1107743.7435521064</v>
      </c>
      <c r="G41" s="46">
        <f ca="1">SUM(G32:G40)</f>
        <v>1064781.3259405319</v>
      </c>
      <c r="H41" s="46">
        <f ca="1">SUM(H32:H40)</f>
        <v>1101299.3809103703</v>
      </c>
      <c r="I41" s="443">
        <f ca="1">SUM(I32:I39)</f>
        <v>10.306260886014709</v>
      </c>
      <c r="J41" s="446">
        <f>SUM(J32:J38)</f>
        <v>0.68372965194565138</v>
      </c>
      <c r="K41" s="443">
        <f ca="1">SUM(K32:K39)</f>
        <v>10.587934685736823</v>
      </c>
      <c r="L41" s="446">
        <f>SUM(L32:L38)</f>
        <v>0.75204952664983349</v>
      </c>
    </row>
    <row r="42" spans="1:12" s="33" customFormat="1" ht="13.5" thickBot="1">
      <c r="A42" s="3"/>
      <c r="B42" s="45"/>
      <c r="C42" s="45"/>
      <c r="D42" s="45"/>
      <c r="E42" s="36"/>
      <c r="F42" s="36"/>
      <c r="G42" s="36"/>
      <c r="H42" s="36"/>
      <c r="I42" s="3"/>
      <c r="J42" s="3"/>
      <c r="K42" s="3"/>
      <c r="L42" s="3"/>
    </row>
    <row r="43" spans="1:12" s="33" customFormat="1" ht="13.5" thickBot="1">
      <c r="A43" s="66" t="s">
        <v>206</v>
      </c>
      <c r="B43" s="40"/>
      <c r="C43" s="40"/>
      <c r="D43" s="40"/>
      <c r="E43" s="67">
        <f>'O&amp;M_Estimate'!D59</f>
        <v>175000</v>
      </c>
      <c r="F43" s="67">
        <f>'O&amp;M_Estimate'!E59</f>
        <v>175000</v>
      </c>
      <c r="G43" s="67">
        <f>'O&amp;M_Estimate'!F59</f>
        <v>175000</v>
      </c>
      <c r="H43" s="67">
        <f>'O&amp;M_Estimate'!G59</f>
        <v>175000</v>
      </c>
      <c r="I43" s="447">
        <f>G43/Scope!D13/1000</f>
        <v>1.873661670235546</v>
      </c>
      <c r="J43" s="448"/>
      <c r="K43" s="447">
        <f>H43/280000</f>
        <v>0.625</v>
      </c>
      <c r="L43" s="448"/>
    </row>
    <row r="44" spans="1:12" s="33" customFormat="1" ht="13.5" thickBot="1">
      <c r="A44" s="3"/>
      <c r="B44" s="40"/>
      <c r="C44" s="40"/>
      <c r="D44" s="40"/>
      <c r="E44" s="40"/>
      <c r="F44" s="40"/>
      <c r="G44" s="40"/>
      <c r="H44" s="3"/>
      <c r="I44" s="3"/>
      <c r="J44" s="60"/>
      <c r="K44" s="3"/>
      <c r="L44" s="3"/>
    </row>
    <row r="45" spans="1:12" s="33" customFormat="1" ht="13.5" thickBot="1">
      <c r="A45" s="39" t="s">
        <v>1098</v>
      </c>
      <c r="B45" s="40"/>
      <c r="D45" s="61"/>
      <c r="F45" s="36"/>
      <c r="G45" s="36"/>
      <c r="H45" s="62">
        <f>LM6000PC_MMR_Gas!H9</f>
        <v>44.15625</v>
      </c>
      <c r="I45" s="3"/>
      <c r="J45" s="3"/>
    </row>
    <row r="46" spans="1:12" s="33" customFormat="1" ht="13.5" hidden="1" thickBot="1">
      <c r="A46" s="39" t="s">
        <v>1136</v>
      </c>
      <c r="B46" s="40"/>
      <c r="D46" s="61"/>
      <c r="F46" s="36"/>
      <c r="G46" s="36"/>
      <c r="H46" s="62">
        <f>'O&amp;M_Estimate'!D51</f>
        <v>0</v>
      </c>
      <c r="I46" s="3"/>
      <c r="J46" s="3"/>
    </row>
    <row r="47" spans="1:12" s="33" customFormat="1">
      <c r="A47" s="39"/>
      <c r="B47" s="40"/>
      <c r="D47" s="61"/>
      <c r="E47" s="63"/>
      <c r="F47" s="36"/>
      <c r="G47" s="36"/>
      <c r="H47" s="3"/>
      <c r="I47" s="3"/>
      <c r="J47" s="3"/>
    </row>
    <row r="48" spans="1:12" s="33" customFormat="1" ht="13.5" hidden="1" thickBot="1">
      <c r="A48" s="39" t="s">
        <v>204</v>
      </c>
      <c r="B48" s="3"/>
      <c r="C48" s="44"/>
      <c r="E48" s="54">
        <f>'O&amp;M_Estimate'!D53</f>
        <v>0</v>
      </c>
      <c r="F48" s="54">
        <f>'O&amp;M_Estimate'!E53</f>
        <v>0</v>
      </c>
      <c r="G48" s="54">
        <f>'O&amp;M_Estimate'!F53</f>
        <v>0</v>
      </c>
      <c r="H48" s="54">
        <f>'O&amp;M_Estimate'!G53</f>
        <v>0</v>
      </c>
      <c r="I48" s="3"/>
      <c r="J48" s="3"/>
    </row>
    <row r="49" spans="1:13" s="33" customFormat="1" ht="13.5" hidden="1" thickBot="1">
      <c r="A49" s="39"/>
      <c r="B49" s="40"/>
      <c r="C49" s="41"/>
      <c r="D49" s="40"/>
      <c r="E49" s="36"/>
      <c r="F49" s="36"/>
      <c r="G49" s="36"/>
      <c r="H49" s="3"/>
      <c r="I49" s="3"/>
      <c r="J49" s="3"/>
    </row>
    <row r="50" spans="1:13" s="33" customFormat="1" ht="13.5" hidden="1" thickBot="1">
      <c r="A50" s="39" t="s">
        <v>205</v>
      </c>
      <c r="B50" s="64"/>
      <c r="C50" s="47"/>
      <c r="D50" s="45"/>
      <c r="E50" s="65" t="s">
        <v>191</v>
      </c>
      <c r="F50" s="65" t="s">
        <v>191</v>
      </c>
      <c r="G50" s="3"/>
      <c r="H50" s="3"/>
      <c r="I50" s="3"/>
      <c r="J50" s="3"/>
    </row>
    <row r="51" spans="1:13" s="33" customFormat="1" ht="13.5" hidden="1" thickBot="1">
      <c r="A51" s="3"/>
      <c r="B51" s="45"/>
      <c r="C51" s="45"/>
      <c r="D51" s="45"/>
      <c r="E51" s="3"/>
      <c r="F51" s="3"/>
      <c r="G51" s="3"/>
      <c r="H51" s="3"/>
      <c r="I51" s="3"/>
      <c r="J51" s="3"/>
    </row>
    <row r="52" spans="1:13" s="33" customFormat="1" ht="13.5" hidden="1" thickBot="1">
      <c r="A52" s="39" t="s">
        <v>1139</v>
      </c>
      <c r="B52"/>
      <c r="C52" s="41"/>
      <c r="D52"/>
      <c r="E52" s="65" t="s">
        <v>191</v>
      </c>
      <c r="F52" s="65" t="s">
        <v>191</v>
      </c>
      <c r="G52" s="65" t="s">
        <v>191</v>
      </c>
      <c r="H52" s="65" t="s">
        <v>191</v>
      </c>
      <c r="I52" s="3"/>
      <c r="J52" s="3"/>
      <c r="K52" s="3"/>
    </row>
    <row r="53" spans="1:13" s="33" customFormat="1" hidden="1">
      <c r="A53" s="39"/>
      <c r="B53"/>
      <c r="C53" s="41"/>
      <c r="D53"/>
      <c r="E53" s="36"/>
      <c r="F53" s="36"/>
      <c r="G53" s="3"/>
      <c r="H53" s="3"/>
      <c r="I53" s="3"/>
      <c r="J53" s="3"/>
      <c r="K53" s="3"/>
    </row>
    <row r="54" spans="1:13" s="33" customFormat="1" hidden="1"/>
    <row r="55" spans="1:13" s="33" customFormat="1" ht="13.5" hidden="1" thickBot="1">
      <c r="A55" s="66" t="s">
        <v>194</v>
      </c>
      <c r="B55" s="40"/>
      <c r="C55" s="40"/>
      <c r="D55" s="40"/>
      <c r="E55" s="68" t="e">
        <f>#REF!</f>
        <v>#REF!</v>
      </c>
      <c r="F55" s="69" t="e">
        <f>#REF!</f>
        <v>#REF!</v>
      </c>
      <c r="G55" s="69" t="e">
        <f>#REF!</f>
        <v>#REF!</v>
      </c>
      <c r="H55" s="70" t="e">
        <f>#REF!</f>
        <v>#REF!</v>
      </c>
      <c r="I55" s="3"/>
      <c r="J55" s="3"/>
      <c r="K55" s="3"/>
      <c r="L55" s="3"/>
      <c r="M55" s="3"/>
    </row>
    <row r="56" spans="1:13" s="33" customFormat="1">
      <c r="A56" s="3"/>
      <c r="B56" s="40"/>
      <c r="C56" s="40"/>
      <c r="D56" s="40"/>
      <c r="E56" s="40"/>
      <c r="F56" s="3"/>
      <c r="G56" s="3"/>
      <c r="H56" s="3"/>
      <c r="I56" s="3"/>
      <c r="J56" s="3"/>
      <c r="K56" s="3"/>
      <c r="L56" s="3"/>
      <c r="M56" s="3"/>
    </row>
    <row r="57" spans="1:13" s="33" customFormat="1">
      <c r="A57" s="3"/>
      <c r="B57" s="40"/>
      <c r="C57" s="40"/>
      <c r="D57" s="40"/>
      <c r="E57" s="40"/>
      <c r="F57" s="3"/>
      <c r="G57" s="3"/>
      <c r="H57" s="3"/>
      <c r="I57" s="3"/>
      <c r="J57" s="3"/>
      <c r="K57" s="3"/>
      <c r="L57" s="3"/>
      <c r="M57" s="3"/>
    </row>
    <row r="58" spans="1:13" s="33" customFormat="1">
      <c r="A58" s="3"/>
      <c r="B58" s="40"/>
      <c r="C58" s="40"/>
      <c r="D58" s="40"/>
      <c r="E58" s="40"/>
      <c r="F58" s="3"/>
      <c r="G58" s="3"/>
      <c r="H58" s="3"/>
      <c r="I58" s="459"/>
      <c r="J58" s="3"/>
      <c r="K58" s="3"/>
      <c r="L58" s="3"/>
      <c r="M58" s="3"/>
    </row>
    <row r="59" spans="1:13" s="33" customFormat="1">
      <c r="A59" s="3"/>
      <c r="B59" s="40"/>
      <c r="C59" s="40"/>
      <c r="D59" s="40"/>
      <c r="E59" s="40"/>
      <c r="F59" s="3"/>
      <c r="G59" s="3"/>
      <c r="H59" s="3"/>
      <c r="I59" s="3"/>
      <c r="J59" s="3"/>
      <c r="K59" s="3"/>
      <c r="L59" s="3"/>
      <c r="M59" s="3"/>
    </row>
    <row r="60" spans="1:13" s="33" customFormat="1">
      <c r="A60" s="3"/>
      <c r="B60" s="40"/>
      <c r="C60" s="40"/>
      <c r="D60" s="40"/>
      <c r="E60" s="40"/>
      <c r="F60" s="3"/>
      <c r="G60" s="3"/>
      <c r="H60" s="3"/>
      <c r="I60" s="3"/>
      <c r="J60" s="3"/>
      <c r="K60" s="3"/>
      <c r="L60" s="3"/>
      <c r="M60" s="3"/>
    </row>
    <row r="61" spans="1:13" s="33" customFormat="1">
      <c r="A61" s="3"/>
      <c r="B61" s="40"/>
      <c r="C61" s="40"/>
      <c r="D61" s="40"/>
      <c r="E61" s="40"/>
      <c r="F61" s="3"/>
      <c r="G61" s="3"/>
      <c r="H61" s="3"/>
      <c r="I61" s="3"/>
      <c r="J61" s="3"/>
      <c r="K61" s="3"/>
      <c r="L61" s="3"/>
      <c r="M61" s="3"/>
    </row>
    <row r="62" spans="1:13" s="33" customFormat="1">
      <c r="A62" s="3"/>
      <c r="B62" s="40"/>
      <c r="C62" s="40"/>
      <c r="D62" s="40"/>
      <c r="E62" s="40"/>
      <c r="F62" s="3"/>
      <c r="G62" s="3"/>
      <c r="H62" s="3"/>
      <c r="I62" s="3"/>
      <c r="J62" s="3"/>
      <c r="K62" s="3"/>
      <c r="L62" s="3"/>
      <c r="M62" s="3"/>
    </row>
    <row r="63" spans="1:13" s="33" customFormat="1">
      <c r="A63" s="3"/>
      <c r="B63" s="40"/>
      <c r="C63" s="40"/>
      <c r="D63" s="40"/>
      <c r="E63" s="3"/>
      <c r="F63" s="3"/>
      <c r="G63" s="3"/>
      <c r="H63" s="3"/>
      <c r="I63" s="3"/>
      <c r="J63" s="3"/>
      <c r="K63" s="3"/>
      <c r="L63" s="3"/>
      <c r="M63" s="3"/>
    </row>
    <row r="64" spans="1:13" s="33" customFormat="1">
      <c r="A64" s="3"/>
      <c r="B64" s="40"/>
      <c r="C64" s="40"/>
      <c r="D64" s="40"/>
      <c r="E64" s="3"/>
      <c r="F64" s="3"/>
      <c r="G64" s="3"/>
      <c r="H64" s="3"/>
      <c r="I64" s="3"/>
      <c r="J64" s="3"/>
      <c r="K64" s="3"/>
      <c r="L64" s="3"/>
      <c r="M64" s="3"/>
    </row>
    <row r="65" spans="1:13" s="33" customFormat="1">
      <c r="A65" s="3"/>
      <c r="B65" s="40"/>
      <c r="C65" s="40"/>
      <c r="D65" s="40"/>
      <c r="E65" s="3"/>
      <c r="F65" s="3"/>
      <c r="G65" s="3"/>
      <c r="H65" s="3"/>
      <c r="I65" s="3"/>
      <c r="J65" s="3"/>
      <c r="K65" s="3"/>
      <c r="L65" s="3"/>
      <c r="M65" s="3"/>
    </row>
    <row r="66" spans="1:13" s="33" customFormat="1">
      <c r="A66" s="3"/>
      <c r="B66" s="40"/>
      <c r="C66" s="40"/>
      <c r="D66" s="40"/>
      <c r="E66" s="3"/>
      <c r="F66" s="3"/>
      <c r="G66" s="3"/>
      <c r="H66" s="3"/>
      <c r="I66" s="3"/>
      <c r="J66" s="3"/>
      <c r="K66" s="3"/>
      <c r="L66" s="3"/>
      <c r="M66" s="3"/>
    </row>
    <row r="67" spans="1:13" s="33" customFormat="1">
      <c r="A67" s="3"/>
      <c r="B67" s="40"/>
      <c r="C67" s="40"/>
      <c r="D67" s="40"/>
      <c r="E67" s="3"/>
      <c r="F67" s="3"/>
      <c r="G67" s="3"/>
      <c r="H67" s="3"/>
      <c r="I67" s="3"/>
      <c r="J67" s="3"/>
      <c r="K67" s="3"/>
      <c r="L67" s="3"/>
      <c r="M67" s="3"/>
    </row>
    <row r="68" spans="1:13" s="33" customFormat="1">
      <c r="A68" s="3"/>
      <c r="B68" s="40"/>
      <c r="C68" s="40"/>
      <c r="D68" s="40"/>
      <c r="E68" s="3"/>
      <c r="F68" s="3"/>
      <c r="G68" s="3"/>
      <c r="H68" s="3"/>
      <c r="I68" s="3"/>
      <c r="J68" s="3"/>
      <c r="K68" s="3"/>
      <c r="L68" s="3"/>
      <c r="M68" s="3"/>
    </row>
    <row r="69" spans="1:13" s="33" customFormat="1">
      <c r="A69" s="3"/>
      <c r="B69" s="40"/>
      <c r="C69" s="40"/>
      <c r="D69" s="40"/>
      <c r="E69" s="3"/>
      <c r="F69" s="3"/>
      <c r="G69" s="3"/>
      <c r="H69" s="3"/>
      <c r="I69" s="3"/>
      <c r="J69" s="3"/>
      <c r="K69" s="3"/>
      <c r="L69" s="3"/>
      <c r="M69" s="3"/>
    </row>
    <row r="70" spans="1:13" s="33" customFormat="1">
      <c r="A70" s="3"/>
      <c r="B70" s="40"/>
      <c r="C70" s="40"/>
      <c r="D70" s="40"/>
      <c r="E70" s="3"/>
      <c r="F70" s="3"/>
      <c r="G70" s="3"/>
      <c r="H70" s="3"/>
      <c r="I70" s="3"/>
      <c r="J70" s="3"/>
      <c r="K70" s="3"/>
      <c r="L70" s="3"/>
      <c r="M70" s="3"/>
    </row>
    <row r="71" spans="1:13" s="33" customFormat="1">
      <c r="A71" s="3"/>
      <c r="B71" s="40"/>
      <c r="C71" s="40"/>
      <c r="D71" s="40"/>
      <c r="E71" s="3"/>
      <c r="F71" s="3"/>
      <c r="G71" s="3"/>
      <c r="H71" s="3"/>
      <c r="I71" s="3"/>
      <c r="J71" s="3"/>
      <c r="K71" s="3"/>
      <c r="L71" s="3"/>
      <c r="M71" s="3"/>
    </row>
    <row r="72" spans="1:13" s="33" customFormat="1">
      <c r="A72" s="3"/>
      <c r="B72" s="40"/>
      <c r="C72" s="40"/>
      <c r="D72" s="40"/>
      <c r="E72" s="3"/>
      <c r="F72" s="3"/>
      <c r="G72" s="3"/>
      <c r="H72" s="3"/>
      <c r="I72" s="3"/>
      <c r="J72" s="3"/>
      <c r="K72" s="3"/>
      <c r="L72" s="3"/>
      <c r="M72" s="3"/>
    </row>
    <row r="73" spans="1:13" s="33" customFormat="1">
      <c r="A73" s="3"/>
      <c r="B73" s="40"/>
      <c r="C73" s="40"/>
      <c r="D73" s="40"/>
      <c r="E73" s="3"/>
      <c r="F73" s="3"/>
      <c r="G73" s="3"/>
      <c r="H73" s="3"/>
      <c r="I73" s="3"/>
      <c r="J73" s="3"/>
      <c r="K73" s="3"/>
      <c r="L73" s="3"/>
      <c r="M73" s="3"/>
    </row>
    <row r="74" spans="1:13" s="33" customFormat="1">
      <c r="A74" s="3"/>
      <c r="B74" s="40"/>
      <c r="C74" s="40"/>
      <c r="D74" s="40"/>
      <c r="E74" s="3"/>
      <c r="F74" s="3"/>
      <c r="G74" s="3"/>
      <c r="H74" s="3"/>
      <c r="I74" s="3"/>
      <c r="J74" s="3"/>
      <c r="K74" s="3"/>
      <c r="L74" s="3"/>
      <c r="M74" s="3"/>
    </row>
    <row r="75" spans="1:13" s="33" customFormat="1">
      <c r="A75" s="3"/>
      <c r="B75" s="40"/>
      <c r="C75" s="40"/>
      <c r="D75" s="40"/>
      <c r="E75" s="3"/>
      <c r="F75" s="3"/>
      <c r="G75" s="3"/>
      <c r="H75" s="3"/>
      <c r="I75" s="3"/>
      <c r="J75" s="3"/>
      <c r="K75" s="3"/>
      <c r="L75" s="3"/>
      <c r="M75" s="3"/>
    </row>
    <row r="76" spans="1:13" s="33" customFormat="1">
      <c r="A76" s="3"/>
      <c r="B76" s="40"/>
      <c r="C76" s="40"/>
      <c r="D76" s="40"/>
      <c r="E76" s="3"/>
      <c r="F76" s="3"/>
      <c r="G76" s="3"/>
      <c r="H76" s="3"/>
      <c r="I76" s="3"/>
      <c r="J76" s="3"/>
      <c r="K76" s="3"/>
      <c r="L76" s="3"/>
      <c r="M76" s="3"/>
    </row>
    <row r="77" spans="1:13" s="33" customFormat="1">
      <c r="A77" s="3"/>
      <c r="B77" s="40"/>
      <c r="C77" s="40"/>
      <c r="D77" s="40"/>
      <c r="E77" s="3"/>
      <c r="F77" s="3"/>
      <c r="G77" s="3"/>
      <c r="H77" s="3"/>
      <c r="I77" s="3"/>
      <c r="J77" s="3"/>
      <c r="K77" s="3"/>
      <c r="L77" s="3"/>
      <c r="M77" s="3"/>
    </row>
    <row r="78" spans="1:13" s="33" customFormat="1">
      <c r="A78" s="3"/>
      <c r="B78" s="40"/>
      <c r="C78" s="40"/>
      <c r="D78" s="40"/>
      <c r="E78" s="3"/>
      <c r="F78" s="3"/>
      <c r="G78" s="3"/>
      <c r="H78" s="3"/>
      <c r="I78" s="3"/>
      <c r="J78" s="3"/>
      <c r="K78" s="3"/>
      <c r="L78" s="3"/>
      <c r="M78" s="3"/>
    </row>
    <row r="79" spans="1:13" s="33" customFormat="1">
      <c r="A79" s="3"/>
      <c r="B79" s="40"/>
      <c r="C79" s="40"/>
      <c r="D79" s="40"/>
      <c r="E79" s="3"/>
      <c r="F79" s="3"/>
      <c r="G79" s="3"/>
      <c r="H79" s="3"/>
      <c r="I79" s="3"/>
      <c r="J79" s="3"/>
      <c r="K79" s="3"/>
      <c r="L79" s="3"/>
      <c r="M79" s="3"/>
    </row>
    <row r="80" spans="1:13" s="33" customFormat="1">
      <c r="A80" s="3"/>
      <c r="B80" s="40"/>
      <c r="C80" s="40"/>
      <c r="D80" s="40"/>
      <c r="E80" s="3"/>
      <c r="F80" s="3"/>
      <c r="G80" s="3"/>
      <c r="H80" s="3"/>
      <c r="I80" s="3"/>
      <c r="J80" s="3"/>
      <c r="K80" s="3"/>
      <c r="L80" s="3"/>
      <c r="M80" s="3"/>
    </row>
    <row r="81" spans="1:13" s="33" customFormat="1">
      <c r="A81" s="3"/>
      <c r="B81" s="40"/>
      <c r="C81" s="40"/>
      <c r="D81" s="40"/>
      <c r="E81" s="3"/>
      <c r="F81" s="3"/>
      <c r="G81" s="3"/>
      <c r="H81" s="3"/>
      <c r="I81" s="3"/>
      <c r="J81" s="3"/>
      <c r="K81" s="3"/>
      <c r="L81" s="3"/>
      <c r="M81" s="3"/>
    </row>
    <row r="82" spans="1:13" s="33" customFormat="1">
      <c r="A82" s="3"/>
      <c r="B82" s="40"/>
      <c r="C82" s="40"/>
      <c r="D82" s="40"/>
      <c r="E82" s="3"/>
      <c r="F82" s="3"/>
      <c r="G82" s="3"/>
      <c r="H82" s="3"/>
      <c r="I82" s="3"/>
      <c r="J82" s="3"/>
      <c r="K82" s="3"/>
      <c r="L82" s="3"/>
      <c r="M82" s="3"/>
    </row>
    <row r="83" spans="1:13" s="33" customFormat="1">
      <c r="A83" s="3"/>
      <c r="B83" s="40"/>
      <c r="C83" s="40"/>
      <c r="D83" s="40"/>
      <c r="E83" s="3"/>
      <c r="F83" s="3"/>
      <c r="G83" s="3"/>
      <c r="H83" s="3"/>
      <c r="I83" s="3"/>
      <c r="J83" s="3"/>
      <c r="K83" s="3"/>
      <c r="L83" s="3"/>
      <c r="M83" s="3"/>
    </row>
    <row r="84" spans="1:13" s="33" customFormat="1">
      <c r="A84" s="3"/>
      <c r="B84" s="40"/>
      <c r="C84" s="40"/>
      <c r="D84" s="40"/>
      <c r="E84" s="3"/>
      <c r="F84" s="3"/>
      <c r="G84" s="3"/>
      <c r="H84" s="3"/>
      <c r="I84" s="3"/>
      <c r="J84" s="3"/>
      <c r="K84" s="3"/>
      <c r="L84" s="3"/>
      <c r="M84" s="3"/>
    </row>
    <row r="85" spans="1:13" s="33" customFormat="1">
      <c r="A85" s="3"/>
      <c r="B85" s="40"/>
      <c r="C85" s="40"/>
      <c r="D85" s="40"/>
      <c r="E85" s="3"/>
      <c r="F85" s="3"/>
      <c r="G85" s="3"/>
      <c r="H85" s="3"/>
      <c r="I85" s="3"/>
      <c r="J85" s="3"/>
      <c r="K85" s="3"/>
      <c r="L85" s="3"/>
      <c r="M85" s="3"/>
    </row>
    <row r="86" spans="1:13" s="33" customFormat="1">
      <c r="A86" s="3"/>
      <c r="B86" s="40"/>
      <c r="C86" s="40"/>
      <c r="D86" s="40"/>
      <c r="E86" s="3"/>
      <c r="F86" s="3"/>
      <c r="G86" s="3"/>
      <c r="H86" s="3"/>
      <c r="I86" s="3"/>
      <c r="J86" s="3"/>
      <c r="K86" s="3"/>
      <c r="L86" s="3"/>
      <c r="M86" s="3"/>
    </row>
    <row r="87" spans="1:13" s="33" customFormat="1">
      <c r="A87" s="3"/>
      <c r="B87" s="40"/>
      <c r="C87" s="40"/>
      <c r="D87" s="40"/>
      <c r="E87" s="3"/>
      <c r="F87" s="3"/>
      <c r="G87" s="3"/>
      <c r="H87" s="3"/>
      <c r="I87" s="3"/>
      <c r="J87" s="3"/>
      <c r="K87" s="3"/>
      <c r="L87" s="3"/>
      <c r="M87" s="3"/>
    </row>
    <row r="88" spans="1:13" s="33" customFormat="1">
      <c r="A88" s="3"/>
      <c r="B88" s="40"/>
      <c r="C88" s="40"/>
      <c r="D88" s="40"/>
      <c r="E88" s="3"/>
      <c r="F88" s="3"/>
      <c r="G88" s="3"/>
      <c r="H88" s="3"/>
      <c r="I88" s="3"/>
      <c r="J88" s="3"/>
      <c r="K88" s="3"/>
      <c r="L88" s="3"/>
      <c r="M88" s="3"/>
    </row>
    <row r="89" spans="1:13" s="33" customFormat="1">
      <c r="A89" s="3"/>
      <c r="B89" s="40"/>
      <c r="C89" s="40"/>
      <c r="D89" s="40"/>
      <c r="E89" s="3"/>
      <c r="F89" s="3"/>
      <c r="G89" s="3"/>
      <c r="H89" s="3"/>
      <c r="I89" s="3"/>
      <c r="J89" s="3"/>
      <c r="K89" s="3"/>
      <c r="L89" s="3"/>
      <c r="M89" s="3"/>
    </row>
    <row r="90" spans="1:13" s="33" customFormat="1">
      <c r="A90" s="3"/>
      <c r="B90" s="40"/>
      <c r="C90" s="40"/>
      <c r="D90" s="40"/>
      <c r="E90" s="3"/>
      <c r="F90" s="3"/>
      <c r="G90" s="3"/>
      <c r="H90" s="3"/>
      <c r="I90" s="3"/>
      <c r="J90" s="3"/>
      <c r="K90" s="3"/>
      <c r="L90" s="3"/>
      <c r="M90" s="3"/>
    </row>
    <row r="91" spans="1:13" s="33" customFormat="1">
      <c r="A91" s="3"/>
      <c r="B91" s="40"/>
      <c r="C91" s="40"/>
      <c r="D91" s="40"/>
      <c r="E91" s="3"/>
      <c r="F91" s="3"/>
      <c r="G91" s="3"/>
      <c r="H91" s="3"/>
      <c r="I91" s="3"/>
      <c r="J91" s="3"/>
      <c r="K91" s="3"/>
      <c r="L91" s="3"/>
      <c r="M91" s="3"/>
    </row>
    <row r="92" spans="1:13" s="33" customFormat="1">
      <c r="A92" s="3"/>
      <c r="B92" s="40"/>
      <c r="C92" s="40"/>
      <c r="D92" s="40"/>
      <c r="E92" s="3"/>
      <c r="F92" s="3"/>
      <c r="G92" s="3"/>
      <c r="H92" s="3"/>
      <c r="I92" s="3"/>
      <c r="J92" s="3"/>
      <c r="K92" s="3"/>
      <c r="L92" s="3"/>
      <c r="M92" s="3"/>
    </row>
    <row r="93" spans="1:13" s="33" customFormat="1">
      <c r="A93" s="3"/>
      <c r="B93" s="40"/>
      <c r="C93" s="40"/>
      <c r="D93" s="40"/>
      <c r="E93" s="3"/>
      <c r="F93" s="3"/>
      <c r="G93" s="3"/>
      <c r="H93" s="3"/>
      <c r="I93" s="3"/>
      <c r="J93" s="3"/>
      <c r="K93" s="3"/>
      <c r="L93" s="3"/>
      <c r="M93" s="3"/>
    </row>
    <row r="94" spans="1:13" s="33" customFormat="1">
      <c r="A94" s="3"/>
      <c r="B94" s="40"/>
      <c r="C94" s="40"/>
      <c r="D94" s="40"/>
      <c r="E94" s="3"/>
      <c r="F94" s="3"/>
      <c r="G94" s="3"/>
      <c r="H94" s="3"/>
      <c r="I94" s="3"/>
      <c r="J94" s="3"/>
      <c r="K94" s="3"/>
      <c r="L94" s="3"/>
      <c r="M94" s="3"/>
    </row>
    <row r="95" spans="1:13" s="33" customFormat="1">
      <c r="A95" s="3"/>
      <c r="B95" s="40"/>
      <c r="C95" s="40"/>
      <c r="D95" s="40"/>
      <c r="E95" s="3"/>
      <c r="F95" s="3"/>
      <c r="G95" s="3"/>
      <c r="H95" s="3"/>
      <c r="I95" s="3"/>
      <c r="J95" s="3"/>
      <c r="K95" s="3"/>
      <c r="L95" s="3"/>
      <c r="M95" s="3"/>
    </row>
    <row r="96" spans="1:13" s="33" customFormat="1">
      <c r="A96" s="3"/>
      <c r="B96" s="40"/>
      <c r="C96" s="40"/>
      <c r="D96" s="40"/>
      <c r="E96" s="3"/>
      <c r="F96" s="3"/>
      <c r="G96" s="3"/>
      <c r="H96" s="3"/>
      <c r="I96" s="3"/>
      <c r="J96" s="3"/>
      <c r="K96" s="3"/>
      <c r="L96" s="3"/>
      <c r="M96" s="3"/>
    </row>
    <row r="97" spans="1:13" s="33" customFormat="1">
      <c r="A97" s="3"/>
      <c r="B97" s="40"/>
      <c r="C97" s="40"/>
      <c r="D97" s="40"/>
      <c r="E97" s="3"/>
      <c r="F97" s="3"/>
      <c r="G97" s="3"/>
      <c r="H97" s="3"/>
      <c r="I97" s="3"/>
      <c r="J97" s="3"/>
      <c r="K97" s="3"/>
      <c r="L97" s="3"/>
      <c r="M97" s="3"/>
    </row>
    <row r="98" spans="1:13" s="33" customFormat="1">
      <c r="A98" s="3"/>
      <c r="B98" s="40"/>
      <c r="C98" s="40"/>
      <c r="D98" s="40"/>
      <c r="E98" s="3"/>
      <c r="F98" s="3"/>
      <c r="G98" s="3"/>
      <c r="H98" s="3"/>
      <c r="I98" s="3"/>
      <c r="J98" s="3"/>
      <c r="K98" s="3"/>
      <c r="L98" s="3"/>
      <c r="M98" s="3"/>
    </row>
    <row r="99" spans="1:13" s="33" customFormat="1">
      <c r="A99" s="3"/>
      <c r="B99" s="40"/>
      <c r="C99" s="40"/>
      <c r="D99" s="40"/>
      <c r="E99" s="3"/>
      <c r="F99" s="3"/>
      <c r="G99" s="3"/>
      <c r="H99" s="3"/>
      <c r="I99" s="3"/>
      <c r="J99" s="3"/>
      <c r="K99" s="3"/>
      <c r="L99" s="3"/>
      <c r="M99" s="3"/>
    </row>
    <row r="100" spans="1:13" s="33" customFormat="1">
      <c r="A100" s="3"/>
      <c r="B100" s="40"/>
      <c r="C100" s="40"/>
      <c r="D100" s="40"/>
      <c r="E100" s="3"/>
      <c r="F100" s="3"/>
      <c r="G100" s="3"/>
      <c r="H100" s="3"/>
      <c r="I100" s="3"/>
      <c r="J100" s="3"/>
      <c r="K100" s="3"/>
      <c r="L100" s="3"/>
      <c r="M100" s="3"/>
    </row>
    <row r="101" spans="1:13" s="33" customFormat="1">
      <c r="A101" s="3"/>
      <c r="B101" s="40"/>
      <c r="C101" s="40"/>
      <c r="D101" s="40"/>
      <c r="E101" s="3"/>
      <c r="F101" s="3"/>
      <c r="G101" s="3"/>
      <c r="H101" s="3"/>
      <c r="I101" s="3"/>
      <c r="J101" s="3"/>
      <c r="K101" s="3"/>
      <c r="L101" s="3"/>
      <c r="M101" s="3"/>
    </row>
    <row r="102" spans="1:13" s="33" customFormat="1">
      <c r="A102" s="3"/>
      <c r="B102" s="40"/>
      <c r="C102" s="40"/>
      <c r="D102" s="40"/>
      <c r="E102" s="3"/>
      <c r="F102" s="3"/>
      <c r="G102" s="3"/>
      <c r="H102" s="3"/>
      <c r="I102" s="3"/>
      <c r="J102" s="3"/>
      <c r="K102" s="3"/>
      <c r="L102" s="3"/>
      <c r="M102" s="3"/>
    </row>
    <row r="103" spans="1:13" s="33" customFormat="1">
      <c r="A103" s="3"/>
      <c r="B103" s="40"/>
      <c r="C103" s="40"/>
      <c r="D103" s="40"/>
      <c r="E103" s="3"/>
      <c r="F103" s="3"/>
      <c r="G103" s="3"/>
      <c r="H103" s="3"/>
      <c r="I103" s="3"/>
      <c r="J103" s="3"/>
      <c r="K103" s="3"/>
      <c r="L103" s="3"/>
      <c r="M103" s="3"/>
    </row>
    <row r="104" spans="1:13" s="33" customFormat="1">
      <c r="A104" s="3"/>
      <c r="B104" s="40"/>
      <c r="C104" s="40"/>
      <c r="D104" s="40"/>
      <c r="E104" s="3"/>
      <c r="F104" s="3"/>
      <c r="G104" s="3"/>
      <c r="H104" s="3"/>
      <c r="I104" s="3"/>
      <c r="J104" s="3"/>
      <c r="K104" s="3"/>
      <c r="L104" s="3"/>
      <c r="M104" s="3"/>
    </row>
    <row r="105" spans="1:13" s="33" customFormat="1">
      <c r="A105" s="3"/>
      <c r="B105" s="40"/>
      <c r="C105" s="40"/>
      <c r="D105" s="40"/>
      <c r="E105" s="3"/>
      <c r="F105" s="3"/>
      <c r="G105" s="3"/>
      <c r="H105" s="3"/>
      <c r="I105" s="3"/>
      <c r="J105" s="3"/>
      <c r="K105" s="3"/>
      <c r="L105" s="3"/>
      <c r="M105" s="3"/>
    </row>
    <row r="106" spans="1:13" s="33" customFormat="1">
      <c r="A106" s="3"/>
      <c r="B106" s="40"/>
      <c r="C106" s="40"/>
      <c r="D106" s="40"/>
      <c r="E106" s="3"/>
      <c r="F106" s="3"/>
      <c r="G106" s="3"/>
      <c r="H106" s="3"/>
      <c r="I106" s="3"/>
      <c r="J106" s="3"/>
      <c r="K106" s="3"/>
      <c r="L106" s="3"/>
      <c r="M106" s="3"/>
    </row>
    <row r="107" spans="1:13" s="33" customFormat="1">
      <c r="A107" s="3"/>
      <c r="B107" s="40"/>
      <c r="C107" s="40"/>
      <c r="D107" s="40"/>
      <c r="E107" s="3"/>
      <c r="F107" s="3"/>
      <c r="G107" s="3"/>
      <c r="H107" s="3"/>
      <c r="I107" s="3"/>
      <c r="J107" s="3"/>
      <c r="K107" s="3"/>
      <c r="L107" s="3"/>
      <c r="M107" s="3"/>
    </row>
    <row r="108" spans="1:13" s="33" customFormat="1">
      <c r="A108" s="3"/>
      <c r="B108" s="40"/>
      <c r="C108" s="40"/>
      <c r="D108" s="40"/>
      <c r="E108" s="3"/>
      <c r="F108" s="3"/>
      <c r="G108" s="3"/>
      <c r="H108" s="3"/>
      <c r="I108" s="3"/>
      <c r="J108" s="3"/>
      <c r="K108" s="3"/>
      <c r="L108" s="3"/>
      <c r="M108" s="3"/>
    </row>
    <row r="109" spans="1:13" s="33" customFormat="1">
      <c r="A109" s="3"/>
      <c r="B109" s="40"/>
      <c r="C109" s="40"/>
      <c r="D109" s="40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33" customFormat="1">
      <c r="A110" s="3"/>
      <c r="B110" s="40"/>
      <c r="C110" s="40"/>
      <c r="D110" s="40"/>
      <c r="E110" s="3"/>
      <c r="F110" s="3"/>
      <c r="G110" s="3"/>
      <c r="H110" s="3"/>
      <c r="I110" s="3"/>
      <c r="J110" s="3"/>
      <c r="K110" s="3"/>
      <c r="L110" s="3"/>
      <c r="M110" s="3"/>
    </row>
    <row r="111" spans="1:13" s="33" customFormat="1">
      <c r="A111" s="3"/>
      <c r="B111" s="40"/>
      <c r="C111" s="40"/>
      <c r="D111" s="40"/>
      <c r="E111" s="3"/>
      <c r="F111" s="3"/>
      <c r="G111" s="3"/>
      <c r="H111" s="3"/>
      <c r="I111" s="3"/>
      <c r="J111" s="3"/>
      <c r="K111" s="3"/>
      <c r="L111" s="3"/>
      <c r="M111" s="3"/>
    </row>
    <row r="112" spans="1:13" s="33" customFormat="1">
      <c r="A112" s="3"/>
      <c r="B112" s="40"/>
      <c r="C112" s="40"/>
      <c r="D112" s="40"/>
      <c r="E112" s="3"/>
      <c r="F112" s="3"/>
      <c r="G112" s="3"/>
      <c r="H112" s="3"/>
      <c r="I112" s="3"/>
      <c r="J112" s="3"/>
      <c r="K112" s="3"/>
      <c r="L112" s="3"/>
      <c r="M112" s="3"/>
    </row>
    <row r="113" spans="1:13" s="33" customFormat="1">
      <c r="A113" s="3"/>
      <c r="B113" s="40"/>
      <c r="C113" s="40"/>
      <c r="D113" s="40"/>
      <c r="E113" s="3"/>
      <c r="F113" s="3"/>
      <c r="G113" s="3"/>
      <c r="H113" s="3"/>
      <c r="I113" s="3"/>
      <c r="J113" s="3"/>
      <c r="K113" s="3"/>
      <c r="L113" s="3"/>
      <c r="M113" s="3"/>
    </row>
    <row r="114" spans="1:13" s="33" customFormat="1">
      <c r="A114" s="3"/>
      <c r="B114" s="40"/>
      <c r="C114" s="40"/>
      <c r="D114" s="40"/>
      <c r="E114" s="3"/>
      <c r="F114" s="3"/>
      <c r="G114" s="3"/>
      <c r="H114" s="3"/>
      <c r="I114" s="3"/>
      <c r="J114" s="3"/>
      <c r="K114" s="3"/>
      <c r="L114" s="3"/>
      <c r="M114" s="3"/>
    </row>
    <row r="115" spans="1:13" s="33" customFormat="1">
      <c r="A115" s="3"/>
      <c r="B115" s="40"/>
      <c r="C115" s="40"/>
      <c r="D115" s="40"/>
      <c r="E115" s="3"/>
      <c r="F115" s="3"/>
      <c r="G115" s="3"/>
      <c r="H115" s="3"/>
      <c r="I115" s="3"/>
      <c r="J115" s="3"/>
      <c r="K115" s="3"/>
      <c r="L115" s="3"/>
      <c r="M115" s="3"/>
    </row>
    <row r="116" spans="1:13" s="33" customFormat="1">
      <c r="A116" s="3"/>
      <c r="B116" s="40"/>
      <c r="C116" s="40"/>
      <c r="D116" s="40"/>
      <c r="E116" s="3"/>
      <c r="F116" s="3"/>
      <c r="G116" s="3"/>
      <c r="H116" s="3"/>
      <c r="I116" s="3"/>
      <c r="J116" s="3"/>
      <c r="K116" s="3"/>
      <c r="L116" s="3"/>
      <c r="M116" s="3"/>
    </row>
    <row r="117" spans="1:13" s="33" customFormat="1">
      <c r="A117" s="3"/>
      <c r="B117" s="40"/>
      <c r="C117" s="40"/>
      <c r="D117" s="40"/>
      <c r="E117" s="3"/>
      <c r="F117" s="3"/>
      <c r="G117" s="3"/>
      <c r="H117" s="3"/>
      <c r="I117" s="3"/>
      <c r="J117" s="3"/>
      <c r="K117" s="3"/>
      <c r="L117" s="3"/>
      <c r="M117" s="3"/>
    </row>
    <row r="118" spans="1:13" s="33" customFormat="1">
      <c r="A118" s="3"/>
      <c r="B118" s="40"/>
      <c r="C118" s="40"/>
      <c r="D118" s="40"/>
      <c r="E118" s="3"/>
      <c r="F118" s="3"/>
      <c r="G118" s="3"/>
      <c r="H118" s="3"/>
      <c r="I118" s="3"/>
      <c r="J118" s="3"/>
      <c r="K118" s="3"/>
      <c r="L118" s="3"/>
      <c r="M118" s="3"/>
    </row>
    <row r="119" spans="1:13" s="33" customFormat="1">
      <c r="A119" s="3"/>
      <c r="B119" s="40"/>
      <c r="C119" s="40"/>
      <c r="D119" s="40"/>
      <c r="E119" s="3"/>
      <c r="F119" s="3"/>
      <c r="G119" s="3"/>
      <c r="H119" s="3"/>
      <c r="I119" s="3"/>
      <c r="J119" s="3"/>
      <c r="K119" s="3"/>
      <c r="L119" s="3"/>
      <c r="M119" s="3"/>
    </row>
    <row r="120" spans="1:13" s="33" customFormat="1">
      <c r="A120" s="3"/>
      <c r="B120" s="40"/>
      <c r="C120" s="40"/>
      <c r="D120" s="40"/>
      <c r="E120" s="3"/>
      <c r="F120" s="3"/>
      <c r="G120" s="3"/>
      <c r="H120" s="3"/>
      <c r="I120" s="3"/>
      <c r="J120" s="3"/>
      <c r="K120" s="3"/>
      <c r="L120" s="3"/>
      <c r="M120" s="3"/>
    </row>
    <row r="121" spans="1:13" s="33" customFormat="1">
      <c r="A121" s="3"/>
      <c r="B121" s="40"/>
      <c r="C121" s="40"/>
      <c r="D121" s="40"/>
      <c r="E121" s="3"/>
      <c r="F121" s="3"/>
      <c r="G121" s="3"/>
      <c r="H121" s="3"/>
      <c r="I121" s="3"/>
      <c r="J121" s="3"/>
      <c r="K121" s="3"/>
      <c r="L121" s="3"/>
      <c r="M121" s="3"/>
    </row>
    <row r="122" spans="1:13" s="33" customFormat="1">
      <c r="A122" s="3"/>
      <c r="B122" s="40"/>
      <c r="C122" s="40"/>
      <c r="D122" s="40"/>
      <c r="E122" s="3"/>
      <c r="F122" s="3"/>
      <c r="G122" s="3"/>
      <c r="H122" s="3"/>
      <c r="I122" s="3"/>
      <c r="J122" s="3"/>
      <c r="K122" s="3"/>
      <c r="L122" s="3"/>
      <c r="M122" s="3"/>
    </row>
    <row r="123" spans="1:13" s="33" customFormat="1">
      <c r="A123" s="3"/>
      <c r="B123" s="40"/>
      <c r="C123" s="40"/>
      <c r="D123" s="40"/>
      <c r="E123" s="3"/>
      <c r="F123" s="3"/>
      <c r="G123" s="3"/>
      <c r="H123" s="3"/>
      <c r="I123" s="3"/>
      <c r="J123" s="3"/>
      <c r="K123" s="3"/>
      <c r="L123" s="3"/>
      <c r="M123" s="3"/>
    </row>
    <row r="124" spans="1:13" s="33" customFormat="1">
      <c r="A124" s="3"/>
      <c r="B124" s="40"/>
      <c r="C124" s="40"/>
      <c r="D124" s="40"/>
      <c r="E124" s="3"/>
      <c r="F124" s="3"/>
      <c r="G124" s="3"/>
      <c r="H124" s="3"/>
      <c r="I124" s="3"/>
      <c r="J124" s="3"/>
      <c r="K124" s="3"/>
      <c r="L124" s="3"/>
      <c r="M124" s="3"/>
    </row>
    <row r="125" spans="1:13" s="33" customFormat="1">
      <c r="A125" s="3"/>
      <c r="B125" s="40"/>
      <c r="C125" s="40"/>
      <c r="D125" s="40"/>
      <c r="E125" s="3"/>
      <c r="F125" s="3"/>
      <c r="G125" s="3"/>
      <c r="H125" s="3"/>
      <c r="I125" s="3"/>
      <c r="J125" s="3"/>
      <c r="K125" s="3"/>
      <c r="L125" s="3"/>
      <c r="M125" s="3"/>
    </row>
    <row r="126" spans="1:13" s="33" customFormat="1">
      <c r="A126" s="3"/>
      <c r="B126" s="40"/>
      <c r="C126" s="40"/>
      <c r="D126" s="40"/>
      <c r="E126" s="3"/>
      <c r="F126" s="3"/>
      <c r="G126" s="3"/>
      <c r="H126" s="3"/>
      <c r="I126" s="3"/>
      <c r="J126" s="3"/>
      <c r="K126" s="3"/>
      <c r="L126" s="3"/>
      <c r="M126" s="3"/>
    </row>
    <row r="127" spans="1:13" s="33" customFormat="1">
      <c r="A127" s="3"/>
      <c r="B127" s="40"/>
      <c r="C127" s="40"/>
      <c r="D127" s="40"/>
      <c r="E127" s="3"/>
      <c r="F127" s="3"/>
      <c r="G127" s="3"/>
      <c r="H127" s="3"/>
      <c r="I127" s="3"/>
      <c r="J127" s="3"/>
      <c r="K127" s="3"/>
      <c r="L127" s="3"/>
      <c r="M127" s="3"/>
    </row>
    <row r="128" spans="1:13" s="33" customFormat="1">
      <c r="A128" s="3"/>
      <c r="B128" s="40"/>
      <c r="C128" s="40"/>
      <c r="D128" s="40"/>
      <c r="E128" s="3"/>
      <c r="F128" s="3"/>
      <c r="G128" s="3"/>
      <c r="H128" s="3"/>
      <c r="I128" s="3"/>
      <c r="J128" s="3"/>
      <c r="K128" s="3"/>
      <c r="L128" s="3"/>
      <c r="M128" s="3"/>
    </row>
    <row r="129" spans="1:13" s="33" customFormat="1">
      <c r="A129" s="3"/>
      <c r="B129" s="40"/>
      <c r="C129" s="40"/>
      <c r="D129" s="40"/>
      <c r="E129" s="3"/>
      <c r="F129" s="3"/>
      <c r="G129" s="3"/>
      <c r="H129" s="3"/>
      <c r="I129" s="3"/>
      <c r="J129" s="3"/>
      <c r="K129" s="3"/>
      <c r="L129" s="3"/>
      <c r="M129" s="3"/>
    </row>
    <row r="130" spans="1:13" s="33" customFormat="1">
      <c r="A130" s="3"/>
      <c r="B130" s="40"/>
      <c r="C130" s="40"/>
      <c r="D130" s="40"/>
      <c r="E130" s="3"/>
      <c r="F130" s="3"/>
      <c r="G130" s="3"/>
      <c r="H130" s="3"/>
      <c r="I130" s="3"/>
      <c r="J130" s="3"/>
      <c r="K130" s="3"/>
      <c r="L130" s="3"/>
      <c r="M130" s="3"/>
    </row>
    <row r="131" spans="1:13" s="33" customFormat="1">
      <c r="A131" s="3"/>
      <c r="B131" s="40"/>
      <c r="C131" s="40"/>
      <c r="D131" s="40"/>
      <c r="E131" s="3"/>
      <c r="F131" s="3"/>
      <c r="G131" s="3"/>
      <c r="H131" s="3"/>
      <c r="I131" s="3"/>
      <c r="J131" s="3"/>
      <c r="K131" s="3"/>
      <c r="L131" s="3"/>
      <c r="M131" s="3"/>
    </row>
    <row r="132" spans="1:13" s="33" customFormat="1">
      <c r="A132" s="3"/>
      <c r="B132" s="40"/>
      <c r="C132" s="40"/>
      <c r="D132" s="40"/>
      <c r="E132" s="3"/>
      <c r="F132" s="3"/>
      <c r="G132" s="3"/>
      <c r="H132" s="3"/>
      <c r="I132" s="3"/>
      <c r="J132" s="3"/>
      <c r="K132" s="3"/>
      <c r="L132" s="3"/>
      <c r="M132" s="3"/>
    </row>
    <row r="133" spans="1:13" s="33" customFormat="1">
      <c r="A133" s="3"/>
      <c r="B133" s="40"/>
      <c r="C133" s="40"/>
      <c r="D133" s="40"/>
      <c r="E133" s="3"/>
      <c r="F133" s="3"/>
      <c r="G133" s="3"/>
      <c r="H133" s="3"/>
      <c r="I133" s="3"/>
      <c r="J133" s="3"/>
      <c r="K133" s="3"/>
      <c r="L133" s="3"/>
      <c r="M133" s="3"/>
    </row>
    <row r="134" spans="1:13" s="33" customFormat="1">
      <c r="A134" s="3"/>
      <c r="B134" s="40"/>
      <c r="C134" s="40"/>
      <c r="D134" s="40"/>
      <c r="E134" s="3"/>
      <c r="F134" s="3"/>
      <c r="G134" s="3"/>
      <c r="H134" s="3"/>
      <c r="I134" s="3"/>
      <c r="J134" s="3"/>
      <c r="K134" s="3"/>
      <c r="L134" s="3"/>
      <c r="M134" s="3"/>
    </row>
    <row r="135" spans="1:13" s="33" customFormat="1">
      <c r="A135" s="3"/>
      <c r="B135" s="40"/>
      <c r="C135" s="40"/>
      <c r="D135" s="40"/>
      <c r="E135" s="3"/>
      <c r="F135" s="3"/>
      <c r="G135" s="3"/>
      <c r="H135" s="3"/>
      <c r="I135" s="3"/>
      <c r="J135" s="3"/>
      <c r="K135" s="3"/>
      <c r="L135" s="3"/>
      <c r="M135" s="3"/>
    </row>
    <row r="136" spans="1:13" s="33" customFormat="1">
      <c r="A136" s="3"/>
      <c r="B136" s="40"/>
      <c r="C136" s="40"/>
      <c r="D136" s="40"/>
      <c r="E136" s="3"/>
      <c r="F136" s="3"/>
      <c r="G136" s="3"/>
      <c r="H136" s="3"/>
      <c r="I136" s="3"/>
      <c r="J136" s="3"/>
      <c r="K136" s="3"/>
      <c r="L136" s="3"/>
      <c r="M136" s="3"/>
    </row>
    <row r="137" spans="1:13" s="33" customFormat="1">
      <c r="A137" s="3"/>
      <c r="B137" s="40"/>
      <c r="C137" s="40"/>
      <c r="D137" s="40"/>
      <c r="E137" s="3"/>
      <c r="F137" s="3"/>
      <c r="G137" s="3"/>
      <c r="H137" s="3"/>
      <c r="I137" s="3"/>
      <c r="J137" s="3"/>
      <c r="K137" s="3"/>
      <c r="L137" s="3"/>
      <c r="M137" s="3"/>
    </row>
    <row r="138" spans="1:13" s="33" customFormat="1">
      <c r="A138" s="3"/>
      <c r="B138" s="40"/>
      <c r="C138" s="40"/>
      <c r="D138" s="40"/>
      <c r="E138" s="3"/>
      <c r="F138" s="3"/>
      <c r="G138" s="3"/>
      <c r="H138" s="3"/>
      <c r="I138" s="3"/>
      <c r="J138" s="3"/>
      <c r="K138" s="3"/>
      <c r="L138" s="3"/>
      <c r="M138" s="3"/>
    </row>
    <row r="139" spans="1:13" s="33" customFormat="1">
      <c r="A139" s="3"/>
      <c r="B139" s="40"/>
      <c r="C139" s="40"/>
      <c r="D139" s="40"/>
      <c r="E139" s="3"/>
      <c r="F139" s="3"/>
      <c r="G139" s="3"/>
      <c r="H139" s="3"/>
      <c r="I139" s="3"/>
      <c r="J139" s="3"/>
      <c r="K139" s="3"/>
      <c r="L139" s="3"/>
      <c r="M139" s="3"/>
    </row>
    <row r="140" spans="1:13" s="33" customFormat="1">
      <c r="A140" s="3"/>
      <c r="B140" s="40"/>
      <c r="C140" s="40"/>
      <c r="D140" s="40"/>
      <c r="E140" s="3"/>
      <c r="F140" s="3"/>
      <c r="G140" s="3"/>
      <c r="H140" s="3"/>
      <c r="I140" s="3"/>
      <c r="J140" s="3"/>
      <c r="K140" s="3"/>
      <c r="L140" s="3"/>
      <c r="M140" s="3"/>
    </row>
    <row r="141" spans="1:13" s="33" customFormat="1">
      <c r="A141" s="3"/>
      <c r="B141" s="40"/>
      <c r="C141" s="40"/>
      <c r="D141" s="40"/>
      <c r="E141" s="3"/>
      <c r="F141" s="3"/>
      <c r="G141" s="3"/>
      <c r="H141" s="3"/>
      <c r="I141" s="3"/>
      <c r="J141" s="3"/>
      <c r="K141" s="3"/>
      <c r="L141" s="3"/>
      <c r="M141" s="3"/>
    </row>
    <row r="142" spans="1:13" s="33" customFormat="1">
      <c r="A142" s="3"/>
      <c r="B142" s="40"/>
      <c r="C142" s="40"/>
      <c r="D142" s="40"/>
      <c r="E142" s="3"/>
      <c r="F142" s="3"/>
      <c r="G142" s="3"/>
      <c r="H142" s="3"/>
      <c r="I142" s="3"/>
      <c r="J142" s="3"/>
      <c r="K142" s="3"/>
      <c r="L142" s="3"/>
      <c r="M142" s="3"/>
    </row>
    <row r="143" spans="1:13" s="33" customFormat="1">
      <c r="A143" s="3"/>
      <c r="B143" s="40"/>
      <c r="C143" s="40"/>
      <c r="D143" s="40"/>
      <c r="E143" s="3"/>
      <c r="F143" s="3"/>
      <c r="G143" s="3"/>
      <c r="H143" s="3"/>
      <c r="I143" s="3"/>
      <c r="J143" s="3"/>
      <c r="K143" s="3"/>
      <c r="L143" s="3"/>
      <c r="M143" s="3"/>
    </row>
    <row r="144" spans="1:13" s="33" customFormat="1">
      <c r="A144" s="3"/>
      <c r="B144" s="40"/>
      <c r="C144" s="40"/>
      <c r="D144" s="40"/>
      <c r="E144" s="3"/>
      <c r="F144" s="3"/>
      <c r="G144" s="3"/>
      <c r="H144" s="3"/>
      <c r="I144" s="3"/>
      <c r="J144" s="3"/>
      <c r="K144" s="3"/>
      <c r="L144" s="3"/>
      <c r="M144" s="3"/>
    </row>
    <row r="145" spans="1:13" s="33" customFormat="1">
      <c r="A145" s="3"/>
      <c r="B145" s="40"/>
      <c r="C145" s="40"/>
      <c r="D145" s="40"/>
      <c r="E145" s="3"/>
      <c r="F145" s="3"/>
      <c r="G145" s="3"/>
      <c r="H145" s="3"/>
      <c r="I145" s="3"/>
      <c r="J145" s="3"/>
      <c r="K145" s="3"/>
      <c r="L145" s="3"/>
      <c r="M145" s="3"/>
    </row>
    <row r="146" spans="1:13" s="33" customFormat="1">
      <c r="A146" s="3"/>
      <c r="B146" s="40"/>
      <c r="C146" s="40"/>
      <c r="D146" s="40"/>
      <c r="E146" s="3"/>
      <c r="F146" s="3"/>
      <c r="G146" s="3"/>
      <c r="H146" s="3"/>
      <c r="I146" s="3"/>
      <c r="J146" s="3"/>
      <c r="K146" s="3"/>
      <c r="L146" s="3"/>
      <c r="M146" s="3"/>
    </row>
    <row r="147" spans="1:13" s="33" customFormat="1">
      <c r="A147" s="3"/>
      <c r="B147" s="40"/>
      <c r="C147" s="40"/>
      <c r="D147" s="40"/>
      <c r="E147" s="3"/>
      <c r="F147" s="3"/>
      <c r="G147" s="3"/>
      <c r="H147" s="3"/>
      <c r="I147" s="3"/>
      <c r="J147" s="3"/>
      <c r="K147" s="3"/>
      <c r="L147" s="3"/>
      <c r="M147" s="3"/>
    </row>
    <row r="148" spans="1:13" s="33" customFormat="1">
      <c r="A148" s="3"/>
      <c r="B148" s="40"/>
      <c r="C148" s="40"/>
      <c r="D148" s="40"/>
      <c r="E148" s="3"/>
      <c r="F148" s="3"/>
      <c r="G148" s="3"/>
      <c r="H148" s="3"/>
      <c r="I148" s="3"/>
      <c r="J148" s="3"/>
      <c r="K148" s="3"/>
      <c r="L148" s="3"/>
      <c r="M148" s="3"/>
    </row>
    <row r="149" spans="1:13" s="33" customFormat="1">
      <c r="A149" s="3"/>
      <c r="B149" s="40"/>
      <c r="C149" s="40"/>
      <c r="D149" s="40"/>
      <c r="E149" s="3"/>
      <c r="F149" s="3"/>
      <c r="G149" s="3"/>
      <c r="H149" s="3"/>
      <c r="I149" s="3"/>
      <c r="J149" s="3"/>
      <c r="K149" s="3"/>
      <c r="L149" s="3"/>
      <c r="M149" s="3"/>
    </row>
    <row r="150" spans="1:13" s="33" customFormat="1">
      <c r="A150" s="3"/>
      <c r="B150" s="40"/>
      <c r="C150" s="40"/>
      <c r="D150" s="40"/>
      <c r="E150" s="3"/>
      <c r="F150" s="3"/>
      <c r="G150" s="3"/>
      <c r="H150" s="3"/>
      <c r="I150" s="3"/>
      <c r="J150" s="3"/>
      <c r="K150" s="3"/>
      <c r="L150" s="3"/>
      <c r="M150" s="3"/>
    </row>
    <row r="151" spans="1:13" s="33" customFormat="1">
      <c r="A151" s="3"/>
      <c r="B151" s="40"/>
      <c r="C151" s="40"/>
      <c r="D151" s="40"/>
      <c r="E151" s="3"/>
      <c r="F151" s="3"/>
      <c r="G151" s="3"/>
      <c r="H151" s="3"/>
      <c r="I151" s="3"/>
      <c r="J151" s="3"/>
      <c r="K151" s="3"/>
      <c r="L151" s="3"/>
      <c r="M151" s="3"/>
    </row>
    <row r="152" spans="1:13" s="33" customFormat="1">
      <c r="A152" s="3"/>
      <c r="B152" s="40"/>
      <c r="C152" s="40"/>
      <c r="D152" s="40"/>
      <c r="E152" s="3"/>
      <c r="F152" s="3"/>
      <c r="G152" s="3"/>
      <c r="H152" s="3"/>
      <c r="I152" s="3"/>
      <c r="J152" s="3"/>
      <c r="K152" s="3"/>
      <c r="L152" s="3"/>
      <c r="M152" s="3"/>
    </row>
    <row r="153" spans="1:13" s="33" customFormat="1">
      <c r="A153" s="3"/>
      <c r="B153" s="40"/>
      <c r="C153" s="40"/>
      <c r="D153" s="40"/>
      <c r="E153" s="3"/>
      <c r="F153" s="3"/>
      <c r="G153" s="3"/>
      <c r="H153" s="3"/>
      <c r="I153" s="3"/>
      <c r="J153" s="3"/>
      <c r="K153" s="3"/>
      <c r="L153" s="3"/>
      <c r="M153" s="3"/>
    </row>
    <row r="154" spans="1:13" s="33" customFormat="1">
      <c r="A154" s="3"/>
      <c r="B154" s="40"/>
      <c r="C154" s="40"/>
      <c r="D154" s="40"/>
      <c r="E154" s="3"/>
      <c r="F154" s="3"/>
      <c r="G154" s="3"/>
      <c r="H154" s="3"/>
      <c r="I154" s="3"/>
      <c r="J154" s="3"/>
      <c r="K154" s="3"/>
      <c r="L154" s="3"/>
      <c r="M154" s="3"/>
    </row>
    <row r="155" spans="1:13" s="33" customFormat="1">
      <c r="A155" s="3"/>
      <c r="B155" s="40"/>
      <c r="C155" s="40"/>
      <c r="D155" s="40"/>
      <c r="E155" s="3"/>
      <c r="F155" s="3"/>
      <c r="G155" s="3"/>
      <c r="H155" s="3"/>
      <c r="I155" s="3"/>
      <c r="J155" s="3"/>
      <c r="K155" s="3"/>
      <c r="L155" s="3"/>
      <c r="M155" s="3"/>
    </row>
    <row r="156" spans="1:13" s="33" customFormat="1">
      <c r="A156" s="3"/>
      <c r="B156" s="40"/>
      <c r="C156" s="40"/>
      <c r="D156" s="40"/>
      <c r="E156" s="3"/>
      <c r="F156" s="3"/>
      <c r="G156" s="3"/>
      <c r="H156" s="3"/>
      <c r="I156" s="3"/>
      <c r="J156" s="3"/>
      <c r="K156" s="3"/>
      <c r="L156" s="3"/>
      <c r="M156" s="3"/>
    </row>
    <row r="157" spans="1:13" s="33" customFormat="1">
      <c r="A157" s="3"/>
      <c r="B157" s="40"/>
      <c r="C157" s="40"/>
      <c r="D157" s="40"/>
      <c r="E157" s="3"/>
      <c r="F157" s="3"/>
      <c r="G157" s="3"/>
      <c r="H157" s="3"/>
      <c r="I157" s="3"/>
      <c r="J157" s="3"/>
      <c r="K157" s="3"/>
      <c r="L157" s="3"/>
      <c r="M157" s="3"/>
    </row>
    <row r="158" spans="1:13" s="33" customFormat="1">
      <c r="A158" s="3"/>
      <c r="B158" s="40"/>
      <c r="C158" s="40"/>
      <c r="D158" s="40"/>
      <c r="E158" s="3"/>
      <c r="F158" s="3"/>
      <c r="G158" s="3"/>
      <c r="H158" s="3"/>
      <c r="I158" s="3"/>
      <c r="J158" s="3"/>
      <c r="K158" s="3"/>
      <c r="L158" s="3"/>
      <c r="M158" s="3"/>
    </row>
    <row r="159" spans="1:13" s="33" customFormat="1">
      <c r="A159" s="3"/>
      <c r="B159" s="40"/>
      <c r="C159" s="40"/>
      <c r="D159" s="40"/>
      <c r="E159" s="3"/>
      <c r="F159" s="3"/>
      <c r="G159" s="3"/>
      <c r="H159" s="3"/>
      <c r="I159" s="3"/>
      <c r="J159" s="3"/>
      <c r="K159" s="3"/>
      <c r="L159" s="3"/>
      <c r="M159" s="3"/>
    </row>
    <row r="160" spans="1:13" s="33" customFormat="1">
      <c r="A160" s="3"/>
      <c r="B160" s="40"/>
      <c r="C160" s="40"/>
      <c r="D160" s="40"/>
      <c r="E160" s="3"/>
      <c r="F160" s="3"/>
      <c r="G160" s="3"/>
      <c r="H160" s="3"/>
      <c r="I160" s="3"/>
      <c r="J160" s="3"/>
      <c r="K160" s="3"/>
      <c r="L160" s="3"/>
      <c r="M160" s="3"/>
    </row>
    <row r="161" spans="1:13" s="33" customFormat="1">
      <c r="A161" s="3"/>
      <c r="B161" s="40"/>
      <c r="C161" s="40"/>
      <c r="D161" s="40"/>
      <c r="E161" s="3"/>
      <c r="F161" s="3"/>
      <c r="G161" s="3"/>
      <c r="H161" s="3"/>
      <c r="I161" s="3"/>
      <c r="J161" s="3"/>
      <c r="K161" s="3"/>
      <c r="L161" s="3"/>
      <c r="M161" s="3"/>
    </row>
    <row r="162" spans="1:13" s="33" customFormat="1">
      <c r="A162" s="3"/>
      <c r="B162" s="40"/>
      <c r="C162" s="40"/>
      <c r="D162" s="40"/>
      <c r="E162" s="3"/>
      <c r="F162" s="3"/>
      <c r="G162" s="3"/>
      <c r="H162" s="3"/>
      <c r="I162" s="3"/>
      <c r="J162" s="3"/>
      <c r="K162" s="3"/>
      <c r="L162" s="3"/>
      <c r="M162" s="3"/>
    </row>
    <row r="163" spans="1:13" s="33" customFormat="1">
      <c r="A163" s="3"/>
      <c r="B163" s="40"/>
      <c r="C163" s="40"/>
      <c r="D163" s="40"/>
      <c r="E163" s="3"/>
      <c r="F163" s="3"/>
      <c r="G163" s="3"/>
      <c r="H163" s="3"/>
      <c r="I163" s="3"/>
      <c r="J163" s="3"/>
      <c r="K163" s="3"/>
      <c r="L163" s="3"/>
      <c r="M163" s="3"/>
    </row>
    <row r="164" spans="1:13" s="33" customFormat="1">
      <c r="A164" s="3"/>
      <c r="B164" s="40"/>
      <c r="C164" s="40"/>
      <c r="D164" s="40"/>
      <c r="E164" s="3"/>
      <c r="F164" s="3"/>
      <c r="G164" s="3"/>
      <c r="H164" s="3"/>
      <c r="I164" s="3"/>
      <c r="J164" s="3"/>
      <c r="K164" s="3"/>
      <c r="L164" s="3"/>
      <c r="M164" s="3"/>
    </row>
    <row r="165" spans="1:13" s="33" customFormat="1">
      <c r="A165" s="3"/>
      <c r="B165" s="40"/>
      <c r="C165" s="40"/>
      <c r="D165" s="40"/>
      <c r="E165" s="3"/>
      <c r="F165" s="3"/>
      <c r="G165" s="3"/>
      <c r="H165" s="3"/>
      <c r="I165" s="3"/>
      <c r="J165" s="3"/>
      <c r="K165" s="3"/>
      <c r="L165" s="3"/>
      <c r="M165" s="3"/>
    </row>
    <row r="166" spans="1:13" s="33" customFormat="1">
      <c r="A166" s="3"/>
      <c r="B166" s="40"/>
      <c r="C166" s="40"/>
      <c r="D166" s="40"/>
      <c r="E166" s="3"/>
      <c r="F166" s="3"/>
      <c r="G166" s="3"/>
      <c r="H166" s="3"/>
      <c r="I166" s="3"/>
      <c r="J166" s="3"/>
      <c r="K166" s="3"/>
      <c r="L166" s="3"/>
      <c r="M166" s="3"/>
    </row>
    <row r="167" spans="1:13" s="33" customFormat="1">
      <c r="A167" s="3"/>
      <c r="B167" s="40"/>
      <c r="C167" s="40"/>
      <c r="D167" s="40"/>
      <c r="E167" s="3"/>
      <c r="F167" s="3"/>
      <c r="G167" s="3"/>
      <c r="H167" s="3"/>
      <c r="I167" s="3"/>
      <c r="J167" s="3"/>
      <c r="K167" s="3"/>
      <c r="L167" s="3"/>
      <c r="M167" s="3"/>
    </row>
    <row r="168" spans="1:13" s="33" customFormat="1">
      <c r="A168" s="3"/>
      <c r="B168" s="40"/>
      <c r="C168" s="40"/>
      <c r="D168" s="40"/>
      <c r="E168" s="3"/>
      <c r="F168" s="3"/>
      <c r="G168" s="3"/>
      <c r="H168" s="3"/>
      <c r="I168" s="3"/>
      <c r="J168" s="3"/>
      <c r="K168" s="3"/>
      <c r="L168" s="3"/>
      <c r="M168" s="3"/>
    </row>
    <row r="169" spans="1:13" s="33" customFormat="1">
      <c r="A169" s="3"/>
      <c r="B169" s="40"/>
      <c r="C169" s="40"/>
      <c r="D169" s="40"/>
      <c r="E169" s="3"/>
      <c r="F169" s="3"/>
      <c r="G169" s="3"/>
      <c r="H169" s="3"/>
      <c r="I169" s="3"/>
      <c r="J169" s="3"/>
      <c r="K169" s="3"/>
      <c r="L169" s="3"/>
      <c r="M169" s="3"/>
    </row>
    <row r="170" spans="1:13" s="33" customFormat="1">
      <c r="A170" s="3"/>
      <c r="B170" s="40"/>
      <c r="C170" s="40"/>
      <c r="D170" s="40"/>
      <c r="E170" s="3"/>
      <c r="F170" s="3"/>
      <c r="G170" s="3"/>
      <c r="H170" s="3"/>
      <c r="I170" s="3"/>
      <c r="J170" s="3"/>
      <c r="K170" s="3"/>
      <c r="L170" s="3"/>
      <c r="M170" s="3"/>
    </row>
    <row r="171" spans="1:13" s="33" customFormat="1">
      <c r="A171" s="3"/>
      <c r="B171" s="40"/>
      <c r="C171" s="40"/>
      <c r="D171" s="40"/>
      <c r="E171" s="3"/>
      <c r="F171" s="3"/>
      <c r="G171" s="3"/>
      <c r="H171" s="3"/>
      <c r="I171" s="3"/>
      <c r="J171" s="3"/>
      <c r="K171" s="3"/>
      <c r="L171" s="3"/>
      <c r="M171" s="3"/>
    </row>
    <row r="172" spans="1:13" s="33" customFormat="1">
      <c r="A172" s="3"/>
      <c r="B172" s="40"/>
      <c r="C172" s="40"/>
      <c r="D172" s="40"/>
      <c r="E172" s="3"/>
      <c r="F172" s="3"/>
      <c r="G172" s="3"/>
      <c r="H172" s="3"/>
      <c r="I172" s="3"/>
      <c r="J172" s="3"/>
      <c r="K172" s="3"/>
      <c r="L172" s="3"/>
      <c r="M172" s="3"/>
    </row>
    <row r="173" spans="1:13" s="33" customFormat="1">
      <c r="A173" s="3"/>
      <c r="B173" s="40"/>
      <c r="C173" s="40"/>
      <c r="D173" s="40"/>
      <c r="E173" s="3"/>
      <c r="F173" s="3"/>
      <c r="G173" s="3"/>
      <c r="H173" s="3"/>
      <c r="I173" s="3"/>
      <c r="J173" s="3"/>
      <c r="K173" s="3"/>
      <c r="L173" s="3"/>
      <c r="M173" s="3"/>
    </row>
    <row r="174" spans="1:13" s="33" customFormat="1">
      <c r="A174" s="3"/>
      <c r="B174" s="40"/>
      <c r="C174" s="40"/>
      <c r="D174" s="40"/>
      <c r="E174" s="3"/>
      <c r="F174" s="3"/>
      <c r="G174" s="3"/>
      <c r="H174" s="3"/>
      <c r="I174" s="3"/>
      <c r="J174" s="3"/>
      <c r="K174" s="3"/>
      <c r="L174" s="3"/>
      <c r="M174" s="3"/>
    </row>
    <row r="175" spans="1:13" s="33" customFormat="1">
      <c r="A175" s="3"/>
      <c r="B175" s="40"/>
      <c r="C175" s="40"/>
      <c r="D175" s="40"/>
      <c r="E175" s="3"/>
      <c r="F175" s="3"/>
      <c r="G175" s="3"/>
      <c r="H175" s="3"/>
      <c r="I175" s="3"/>
      <c r="J175" s="3"/>
      <c r="K175" s="3"/>
      <c r="L175" s="3"/>
      <c r="M175" s="3"/>
    </row>
    <row r="176" spans="1:13" s="33" customFormat="1">
      <c r="A176" s="3"/>
      <c r="B176" s="40"/>
      <c r="C176" s="40"/>
      <c r="D176" s="40"/>
      <c r="E176" s="3"/>
      <c r="F176" s="3"/>
      <c r="G176" s="3"/>
      <c r="H176" s="3"/>
      <c r="I176" s="3"/>
      <c r="J176" s="3"/>
      <c r="K176" s="3"/>
      <c r="L176" s="3"/>
      <c r="M176" s="3"/>
    </row>
    <row r="177" spans="1:13" s="33" customFormat="1">
      <c r="A177" s="3"/>
      <c r="B177" s="40"/>
      <c r="C177" s="40"/>
      <c r="D177" s="40"/>
      <c r="E177" s="3"/>
      <c r="F177" s="3"/>
      <c r="G177" s="3"/>
      <c r="H177" s="3"/>
      <c r="I177" s="3"/>
      <c r="J177" s="3"/>
      <c r="K177" s="3"/>
      <c r="L177" s="3"/>
      <c r="M177" s="3"/>
    </row>
    <row r="178" spans="1:13" s="33" customFormat="1">
      <c r="A178" s="3"/>
      <c r="B178" s="40"/>
      <c r="C178" s="40"/>
      <c r="D178" s="40"/>
      <c r="E178" s="3"/>
      <c r="F178" s="3"/>
      <c r="G178" s="3"/>
      <c r="H178" s="3"/>
      <c r="I178" s="3"/>
      <c r="J178" s="3"/>
      <c r="K178" s="3"/>
      <c r="L178" s="3"/>
      <c r="M178" s="3"/>
    </row>
    <row r="179" spans="1:13" s="33" customFormat="1">
      <c r="A179" s="3"/>
      <c r="B179" s="40"/>
      <c r="C179" s="40"/>
      <c r="D179" s="40"/>
      <c r="E179" s="3"/>
      <c r="F179" s="3"/>
      <c r="G179" s="3"/>
      <c r="H179" s="3"/>
      <c r="I179" s="3"/>
      <c r="J179" s="3"/>
      <c r="K179" s="3"/>
      <c r="L179" s="3"/>
      <c r="M179" s="3"/>
    </row>
    <row r="180" spans="1:13" s="33" customFormat="1">
      <c r="A180" s="3"/>
      <c r="B180" s="40"/>
      <c r="C180" s="40"/>
      <c r="D180" s="40"/>
      <c r="E180" s="3"/>
      <c r="F180" s="3"/>
      <c r="G180" s="3"/>
      <c r="H180" s="3"/>
      <c r="I180" s="3"/>
      <c r="J180" s="3"/>
      <c r="K180" s="3"/>
      <c r="L180" s="3"/>
      <c r="M180" s="3"/>
    </row>
    <row r="181" spans="1:13" s="33" customFormat="1">
      <c r="A181" s="3"/>
      <c r="B181" s="40"/>
      <c r="C181" s="40"/>
      <c r="D181" s="40"/>
      <c r="E181" s="3"/>
      <c r="F181" s="3"/>
      <c r="G181" s="3"/>
      <c r="H181" s="3"/>
      <c r="I181" s="3"/>
      <c r="J181" s="3"/>
      <c r="K181" s="3"/>
      <c r="L181" s="3"/>
      <c r="M181" s="3"/>
    </row>
    <row r="182" spans="1:13" s="33" customFormat="1">
      <c r="A182" s="3"/>
      <c r="B182" s="40"/>
      <c r="C182" s="40"/>
      <c r="D182" s="40"/>
      <c r="E182" s="3"/>
      <c r="F182" s="3"/>
      <c r="G182" s="3"/>
      <c r="H182" s="3"/>
      <c r="I182" s="3"/>
      <c r="J182" s="3"/>
      <c r="K182" s="3"/>
      <c r="L182" s="3"/>
      <c r="M182" s="3"/>
    </row>
    <row r="183" spans="1:13" s="33" customFormat="1">
      <c r="A183" s="3"/>
      <c r="B183" s="40"/>
      <c r="C183" s="40"/>
      <c r="D183" s="40"/>
      <c r="E183" s="3"/>
      <c r="F183" s="3"/>
      <c r="G183" s="3"/>
      <c r="H183" s="3"/>
      <c r="I183" s="3"/>
      <c r="J183" s="3"/>
      <c r="K183" s="3"/>
      <c r="L183" s="3"/>
      <c r="M183" s="3"/>
    </row>
    <row r="184" spans="1:13" s="33" customFormat="1">
      <c r="A184" s="3"/>
      <c r="B184" s="40"/>
      <c r="C184" s="40"/>
      <c r="D184" s="40"/>
      <c r="E184" s="3"/>
      <c r="F184" s="3"/>
      <c r="G184" s="3"/>
      <c r="H184" s="3"/>
      <c r="I184" s="3"/>
      <c r="J184" s="3"/>
      <c r="K184" s="3"/>
      <c r="L184" s="3"/>
      <c r="M184" s="3"/>
    </row>
    <row r="185" spans="1:13" s="33" customFormat="1">
      <c r="A185" s="3"/>
      <c r="B185" s="40"/>
      <c r="C185" s="40"/>
      <c r="D185" s="40"/>
      <c r="E185" s="3"/>
      <c r="F185" s="3"/>
      <c r="G185" s="3"/>
      <c r="H185" s="3"/>
      <c r="I185" s="3"/>
      <c r="J185" s="3"/>
      <c r="K185" s="3"/>
      <c r="L185" s="3"/>
      <c r="M185" s="3"/>
    </row>
    <row r="186" spans="1:13" s="33" customFormat="1">
      <c r="A186" s="3"/>
      <c r="B186" s="40"/>
      <c r="C186" s="40"/>
      <c r="D186" s="40"/>
      <c r="E186" s="3"/>
      <c r="F186" s="3"/>
      <c r="G186" s="3"/>
      <c r="H186" s="3"/>
      <c r="I186" s="3"/>
      <c r="J186" s="3"/>
      <c r="K186" s="3"/>
      <c r="L186" s="3"/>
      <c r="M186" s="3"/>
    </row>
    <row r="187" spans="1:13" s="33" customFormat="1">
      <c r="A187" s="3"/>
      <c r="B187" s="40"/>
      <c r="C187" s="40"/>
      <c r="D187" s="40"/>
      <c r="E187" s="3"/>
      <c r="F187" s="3"/>
      <c r="G187" s="3"/>
      <c r="H187" s="3"/>
      <c r="I187" s="3"/>
      <c r="J187" s="3"/>
      <c r="K187" s="3"/>
      <c r="L187" s="3"/>
      <c r="M187" s="3"/>
    </row>
    <row r="188" spans="1:13" s="33" customFormat="1">
      <c r="A188" s="3"/>
      <c r="B188" s="40"/>
      <c r="C188" s="40"/>
      <c r="D188" s="40"/>
      <c r="E188" s="3"/>
      <c r="F188" s="3"/>
      <c r="G188" s="3"/>
      <c r="H188" s="3"/>
      <c r="I188" s="3"/>
      <c r="J188" s="3"/>
      <c r="K188" s="3"/>
      <c r="L188" s="3"/>
      <c r="M188" s="3"/>
    </row>
    <row r="189" spans="1:13" s="33" customFormat="1">
      <c r="A189" s="3"/>
      <c r="B189" s="40"/>
      <c r="C189" s="40"/>
      <c r="D189" s="40"/>
      <c r="E189" s="3"/>
      <c r="F189" s="3"/>
      <c r="G189" s="3"/>
      <c r="H189" s="3"/>
      <c r="I189" s="3"/>
      <c r="J189" s="3"/>
      <c r="K189" s="3"/>
      <c r="L189" s="3"/>
      <c r="M189" s="3"/>
    </row>
    <row r="190" spans="1:13" s="33" customFormat="1">
      <c r="A190" s="3"/>
      <c r="B190" s="40"/>
      <c r="C190" s="40"/>
      <c r="D190" s="40"/>
      <c r="E190" s="3"/>
      <c r="F190" s="3"/>
      <c r="G190" s="3"/>
      <c r="H190" s="3"/>
      <c r="I190" s="3"/>
      <c r="J190" s="3"/>
      <c r="K190" s="3"/>
      <c r="L190" s="3"/>
      <c r="M190" s="3"/>
    </row>
    <row r="191" spans="1:13" s="33" customFormat="1">
      <c r="A191" s="3"/>
      <c r="B191" s="40"/>
      <c r="C191" s="40"/>
      <c r="D191" s="40"/>
      <c r="E191" s="3"/>
      <c r="F191" s="3"/>
      <c r="G191" s="3"/>
      <c r="H191" s="3"/>
      <c r="I191" s="3"/>
      <c r="J191" s="3"/>
      <c r="K191" s="3"/>
      <c r="L191" s="3"/>
      <c r="M191" s="3"/>
    </row>
    <row r="192" spans="1:13" s="33" customFormat="1">
      <c r="A192" s="3"/>
      <c r="B192" s="40"/>
      <c r="C192" s="40"/>
      <c r="D192" s="40"/>
      <c r="E192" s="3"/>
      <c r="F192" s="3"/>
      <c r="G192" s="3"/>
      <c r="H192" s="3"/>
      <c r="I192" s="3"/>
      <c r="J192" s="3"/>
      <c r="K192" s="3"/>
      <c r="L192" s="3"/>
      <c r="M192" s="3"/>
    </row>
    <row r="193" spans="1:13" s="33" customFormat="1">
      <c r="A193" s="3"/>
      <c r="B193" s="40"/>
      <c r="C193" s="40"/>
      <c r="D193" s="40"/>
      <c r="E193" s="3"/>
      <c r="F193" s="3"/>
      <c r="G193" s="3"/>
      <c r="H193" s="3"/>
      <c r="I193" s="3"/>
      <c r="J193" s="3"/>
      <c r="K193" s="3"/>
      <c r="L193" s="3"/>
      <c r="M193" s="3"/>
    </row>
    <row r="194" spans="1:13" s="33" customForma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</row>
    <row r="195" spans="1:13" s="33" customForma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</row>
    <row r="196" spans="1:13" s="33" customForma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</row>
    <row r="197" spans="1:13" s="33" customForma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</row>
    <row r="198" spans="1:13" s="33" customForma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</row>
    <row r="199" spans="1:13" s="33" customForma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</row>
    <row r="200" spans="1:13" s="33" customForma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</row>
    <row r="201" spans="1:13" s="33" customForma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</row>
    <row r="202" spans="1:13" s="33" customForma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</row>
    <row r="203" spans="1:13" s="33" customForma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</row>
    <row r="204" spans="1:13" s="33" customForma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</row>
    <row r="205" spans="1:13" s="33" customForma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</row>
    <row r="206" spans="1:13" s="33" customForma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</row>
    <row r="207" spans="1:13" s="33" customForma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</row>
    <row r="208" spans="1:13" s="33" customForma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</row>
    <row r="209" spans="1:13" s="33" customForma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</row>
    <row r="210" spans="1:13" s="33" customForma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</row>
    <row r="211" spans="1:13" s="33" customForma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</row>
    <row r="212" spans="1:13" s="33" customForma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</row>
    <row r="213" spans="1:13" s="33" customForma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</row>
    <row r="214" spans="1:13" s="33" customForma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3" s="33" customForma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</row>
    <row r="216" spans="1:13" s="33" customForma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</row>
    <row r="217" spans="1:13" s="33" customForma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</row>
    <row r="218" spans="1:13" s="33" customForma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</row>
    <row r="219" spans="1:13" s="33" customForma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</row>
    <row r="220" spans="1:13" s="33" customForma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</row>
    <row r="221" spans="1:13" s="33" customForma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</row>
    <row r="222" spans="1:13" s="33" customForma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</row>
    <row r="223" spans="1:13" s="33" customForma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</row>
    <row r="224" spans="1:13" s="33" customForma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</row>
    <row r="225" spans="1:13" s="33" customForma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</row>
    <row r="226" spans="1:13" s="33" customForma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</row>
    <row r="227" spans="1:13" s="33" customForma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</row>
    <row r="228" spans="1:13" s="33" customForma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</row>
    <row r="229" spans="1:13" s="33" customForma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</row>
    <row r="230" spans="1:13" s="33" customForma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</row>
    <row r="231" spans="1:13" s="33" customForma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</row>
    <row r="232" spans="1:13" s="33" customForma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</row>
    <row r="233" spans="1:13" s="33" customForma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</row>
    <row r="234" spans="1:13" s="33" customForma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</row>
    <row r="235" spans="1:13" s="33" customForma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</row>
    <row r="236" spans="1:13" s="33" customForma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</row>
    <row r="237" spans="1:13" s="33" customForma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</row>
    <row r="238" spans="1:13" s="33" customForma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</row>
    <row r="239" spans="1:13" s="33" customForma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</row>
    <row r="240" spans="1:13" s="33" customForma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</row>
    <row r="241" spans="1:13" s="33" customForma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s="33" customForma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</row>
    <row r="243" spans="1:13" s="33" customForma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</row>
    <row r="244" spans="1:13" s="33" customForma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</row>
    <row r="245" spans="1:13" s="33" customForma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</row>
    <row r="246" spans="1:13" s="33" customForma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</row>
    <row r="247" spans="1:13" s="33" customForma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</row>
    <row r="248" spans="1:13" s="33" customForma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</row>
    <row r="249" spans="1:13" s="33" customForma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</row>
    <row r="250" spans="1:13" s="33" customForma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</row>
    <row r="251" spans="1:13" s="33" customForma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</row>
    <row r="252" spans="1:13" s="33" customForma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</row>
    <row r="253" spans="1:13" s="33" customForma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</row>
    <row r="254" spans="1:13" s="33" customForma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</row>
    <row r="255" spans="1:13" s="33" customForma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</row>
    <row r="256" spans="1:13" s="33" customForma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</row>
    <row r="257" spans="1:13" s="33" customForma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</row>
    <row r="258" spans="1:13" s="33" customForma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</row>
    <row r="259" spans="1:13" s="33" customForma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</row>
    <row r="260" spans="1:13" s="33" customForma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</row>
    <row r="261" spans="1:13" s="33" customForma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</row>
    <row r="262" spans="1:13" s="33" customForma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</row>
    <row r="263" spans="1:13" s="33" customForma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</row>
    <row r="264" spans="1:13" s="33" customForma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5" spans="1:13" s="33" customForma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</row>
    <row r="266" spans="1:13" s="33" customForma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</row>
    <row r="267" spans="1:13" s="33" customForma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</row>
    <row r="268" spans="1:13" s="33" customForma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</row>
    <row r="269" spans="1:13" s="33" customForma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</row>
    <row r="270" spans="1:13" s="33" customForma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</row>
    <row r="271" spans="1:13" s="33" customForma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</row>
    <row r="272" spans="1:13" s="33" customForma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</row>
    <row r="273" spans="1:13" s="33" customForma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</row>
    <row r="274" spans="1:13" s="33" customForma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</row>
    <row r="275" spans="1:13" s="33" customForma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</row>
    <row r="276" spans="1:13" s="33" customForma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</row>
    <row r="277" spans="1:13" s="33" customForma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</row>
    <row r="278" spans="1:13" s="33" customForma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</row>
    <row r="279" spans="1:13" s="33" customForma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</row>
    <row r="280" spans="1:13" s="33" customForma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</row>
    <row r="281" spans="1:13" s="33" customForma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</row>
    <row r="282" spans="1:13" s="33" customForma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</row>
    <row r="283" spans="1:13" s="33" customForma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</row>
    <row r="284" spans="1:13" s="33" customForma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</row>
    <row r="285" spans="1:13" s="33" customForma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</row>
    <row r="286" spans="1:13" s="33" customForma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</row>
    <row r="287" spans="1:13" s="33" customForma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</row>
    <row r="288" spans="1:13" s="33" customForma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</row>
    <row r="289" spans="1:13" s="33" customForma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</row>
    <row r="290" spans="1:13" s="33" customForma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</row>
    <row r="291" spans="1:13" s="33" customForma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</row>
    <row r="292" spans="1:13" s="33" customForma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</row>
    <row r="293" spans="1:13" s="33" customForma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</row>
    <row r="294" spans="1:13" s="33" customForma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</row>
    <row r="295" spans="1:13" s="33" customForma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</row>
    <row r="296" spans="1:13" s="33" customForma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</row>
    <row r="297" spans="1:13" s="33" customForma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</row>
    <row r="298" spans="1:13" s="33" customForma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</row>
    <row r="299" spans="1:13" s="33" customForma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</row>
    <row r="300" spans="1:13" s="33" customForma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</row>
    <row r="301" spans="1:13" s="33" customForma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</row>
    <row r="302" spans="1:13" s="33" customForma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</row>
    <row r="303" spans="1:13" s="33" customForma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</row>
    <row r="304" spans="1:13" s="33" customForma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</row>
    <row r="305" spans="1:13" s="33" customForma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</row>
    <row r="306" spans="1:13" s="33" customForma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</row>
    <row r="307" spans="1:13" s="33" customForma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</row>
    <row r="308" spans="1:13" s="33" customForma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</row>
    <row r="309" spans="1:13" s="33" customForma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</row>
    <row r="310" spans="1:13" s="33" customForma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</row>
    <row r="311" spans="1:13" s="33" customForma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</row>
    <row r="312" spans="1:13" s="33" customForma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</row>
    <row r="313" spans="1:13" s="33" customForma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</row>
    <row r="314" spans="1:13" s="33" customForma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</row>
    <row r="315" spans="1:13" s="33" customForma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</row>
    <row r="316" spans="1:13" s="33" customForma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</row>
    <row r="317" spans="1:13" s="33" customForma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</row>
    <row r="318" spans="1:13" s="33" customForma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</row>
    <row r="319" spans="1:13" s="33" customForma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</row>
    <row r="320" spans="1:13" s="33" customForma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</row>
    <row r="321" spans="1:13" s="33" customForma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</row>
    <row r="322" spans="1:13" s="33" customForma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</row>
    <row r="323" spans="1:13" s="33" customForma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</row>
    <row r="324" spans="1:13" s="33" customForma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</row>
    <row r="325" spans="1:13" s="33" customForma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</row>
    <row r="326" spans="1:13" s="33" customForma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</row>
    <row r="327" spans="1:13" s="33" customForma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</row>
    <row r="328" spans="1:13" s="33" customForma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</row>
    <row r="329" spans="1:13" s="33" customForma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</row>
    <row r="330" spans="1:13" s="33" customForma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</row>
    <row r="331" spans="1:13" s="33" customForma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</row>
    <row r="332" spans="1:13" s="33" customForma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</row>
    <row r="333" spans="1:13" s="33" customForma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</row>
    <row r="334" spans="1:13" s="33" customForma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</row>
    <row r="335" spans="1:13" s="33" customForma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</row>
    <row r="336" spans="1:13" s="33" customForma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</row>
    <row r="337" spans="1:13" s="33" customForma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</row>
    <row r="338" spans="1:13" s="33" customForma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</row>
    <row r="339" spans="1:13" s="33" customForma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</row>
    <row r="340" spans="1:13" s="33" customForma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</row>
    <row r="341" spans="1:13" s="33" customForma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</row>
    <row r="342" spans="1:13" s="33" customForma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</row>
    <row r="343" spans="1:13" s="33" customForma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</row>
    <row r="344" spans="1:13" s="33" customForma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</row>
    <row r="345" spans="1:13" s="33" customForma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</row>
    <row r="346" spans="1:13" s="33" customForma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</row>
    <row r="347" spans="1:13" s="33" customForma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</row>
    <row r="348" spans="1:13" s="33" customForma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</row>
    <row r="349" spans="1:13" s="33" customForma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</row>
    <row r="350" spans="1:13" s="33" customForma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</row>
    <row r="351" spans="1:13" s="33" customForma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</row>
    <row r="352" spans="1:13" s="33" customForma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</row>
    <row r="353" spans="1:13" s="33" customForma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</row>
    <row r="354" spans="1:13" s="33" customForma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</row>
    <row r="355" spans="1:13" s="33" customForma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</row>
    <row r="356" spans="1:13" s="33" customForma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</row>
    <row r="357" spans="1:13" s="33" customForma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</row>
    <row r="358" spans="1:13" s="33" customForma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</row>
    <row r="359" spans="1:13" s="33" customForma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</row>
    <row r="360" spans="1:13" s="33" customForma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</row>
    <row r="361" spans="1:13" s="33" customForma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</row>
    <row r="362" spans="1:13" s="33" customForma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</row>
    <row r="363" spans="1:13" s="33" customForma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</row>
    <row r="364" spans="1:13" s="33" customForma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</row>
    <row r="365" spans="1:13" s="33" customForma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</row>
    <row r="366" spans="1:13" s="33" customForma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</row>
    <row r="367" spans="1:13" s="33" customForma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</row>
    <row r="368" spans="1:13" s="33" customForma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</row>
    <row r="369" spans="1:13" s="33" customForma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</row>
    <row r="370" spans="1:13" s="33" customForma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</row>
    <row r="371" spans="1:13" s="33" customForma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</row>
    <row r="372" spans="1:13" s="33" customForma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</row>
    <row r="373" spans="1:13" s="33" customForma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</row>
    <row r="374" spans="1:13" s="33" customForma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</row>
    <row r="375" spans="1:13" s="33" customForma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</row>
    <row r="376" spans="1:13" s="33" customForma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</row>
    <row r="377" spans="1:13" s="33" customForma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</row>
    <row r="378" spans="1:13" s="33" customForma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</row>
    <row r="379" spans="1:13" s="33" customForma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</row>
    <row r="380" spans="1:13" s="33" customForma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</row>
    <row r="381" spans="1:13" s="33" customForma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</row>
    <row r="382" spans="1:13" s="33" customForma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</row>
    <row r="383" spans="1:13" s="33" customForma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</row>
    <row r="384" spans="1:13" s="33" customForma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</row>
    <row r="385" spans="1:13" s="33" customForma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</row>
    <row r="386" spans="1:13" s="33" customForma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</row>
    <row r="387" spans="1:13" s="33" customForma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</row>
    <row r="388" spans="1:13" s="33" customForma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</row>
    <row r="389" spans="1:13" s="33" customForma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</row>
    <row r="390" spans="1:13" s="33" customForma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</row>
    <row r="391" spans="1:13" s="33" customForma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</row>
    <row r="392" spans="1:13" s="33" customForma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</row>
    <row r="393" spans="1:13" s="33" customForma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</row>
    <row r="394" spans="1:13" s="33" customForma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</row>
    <row r="395" spans="1:13" s="33" customForma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</row>
    <row r="396" spans="1:13" s="33" customForma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</row>
    <row r="397" spans="1:13" s="33" customForma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</row>
    <row r="398" spans="1:13" s="33" customForma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</row>
    <row r="399" spans="1:13" s="33" customForma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</row>
    <row r="400" spans="1:13" s="33" customForma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</row>
    <row r="401" spans="1:13" s="33" customForma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</row>
    <row r="402" spans="1:13" s="33" customForma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</row>
    <row r="403" spans="1:13" s="33" customForma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</row>
    <row r="404" spans="1:13" s="33" customForma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</row>
    <row r="405" spans="1:13" s="33" customForma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</row>
    <row r="406" spans="1:13" s="33" customForma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</row>
    <row r="407" spans="1:13" s="33" customForma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</row>
    <row r="408" spans="1:13" s="33" customForma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</row>
    <row r="409" spans="1:13" s="33" customForma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</row>
    <row r="410" spans="1:13" s="33" customForma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</row>
    <row r="411" spans="1:13" s="33" customForma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</row>
    <row r="412" spans="1:13" s="33" customForma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</row>
    <row r="413" spans="1:13" s="33" customForma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</row>
    <row r="414" spans="1:13" s="33" customForma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</row>
    <row r="415" spans="1:13" s="33" customForma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</row>
    <row r="416" spans="1:13" s="33" customForma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</row>
    <row r="417" spans="1:13" s="33" customForma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</row>
    <row r="418" spans="1:13" s="33" customForma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</row>
    <row r="419" spans="1:13" s="33" customForma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</row>
    <row r="420" spans="1:13" s="33" customForma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</row>
    <row r="421" spans="1:13" s="33" customForma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</row>
    <row r="422" spans="1:13" s="33" customForma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</row>
    <row r="423" spans="1:13" s="33" customForma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</row>
    <row r="424" spans="1:13" s="33" customForma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</row>
    <row r="425" spans="1:13" s="33" customForma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</row>
    <row r="426" spans="1:13" s="33" customForma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</row>
    <row r="427" spans="1:13" s="33" customForma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</row>
    <row r="428" spans="1:13" s="33" customForma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</row>
    <row r="429" spans="1:13" s="33" customForma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</row>
    <row r="430" spans="1:13" s="33" customForma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</row>
    <row r="431" spans="1:13" s="33" customForma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</row>
    <row r="432" spans="1:13" s="33" customForma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</row>
    <row r="433" spans="1:13" s="33" customForma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</row>
    <row r="434" spans="1:13" s="33" customForma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</row>
    <row r="435" spans="1:13" s="33" customForma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</row>
    <row r="436" spans="1:13" s="33" customForma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</row>
    <row r="437" spans="1:13" s="33" customForma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</row>
    <row r="438" spans="1:13" s="33" customForma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</row>
    <row r="439" spans="1:13" s="33" customForma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</row>
    <row r="440" spans="1:13" s="33" customForma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</row>
    <row r="441" spans="1:13" s="33" customForma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</row>
    <row r="442" spans="1:13" s="33" customForma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</row>
    <row r="443" spans="1:13" s="33" customForma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</row>
    <row r="444" spans="1:13" s="33" customForma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</row>
    <row r="445" spans="1:13" s="33" customForma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</row>
    <row r="446" spans="1:13" s="33" customForma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</row>
    <row r="447" spans="1:13" s="33" customForma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</row>
    <row r="448" spans="1:13" s="33" customForma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</row>
    <row r="449" spans="1:13" s="33" customForma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</row>
    <row r="450" spans="1:13" s="33" customForma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</row>
    <row r="451" spans="1:13" s="33" customForma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</row>
    <row r="452" spans="1:13" s="33" customForma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</row>
    <row r="453" spans="1:13" s="33" customForma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</row>
    <row r="454" spans="1:13" s="33" customForma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</row>
    <row r="455" spans="1:13" s="33" customForma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</row>
    <row r="456" spans="1:13" s="33" customForma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</row>
    <row r="457" spans="1:13" s="33" customForma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</row>
    <row r="458" spans="1:13" s="33" customForma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</row>
    <row r="459" spans="1:13" s="33" customForma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</row>
    <row r="460" spans="1:13" s="33" customForma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</row>
    <row r="461" spans="1:13" s="33" customForma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</row>
    <row r="462" spans="1:13" s="33" customForma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</row>
    <row r="463" spans="1:13" s="33" customForma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</row>
    <row r="464" spans="1:13" s="33" customForma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</row>
    <row r="465" spans="1:13" s="33" customForma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</row>
    <row r="466" spans="1:13" s="33" customForma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</row>
    <row r="467" spans="1:13" s="33" customForma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</row>
    <row r="468" spans="1:13" s="33" customForma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</row>
    <row r="469" spans="1:13" s="33" customForma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</row>
    <row r="470" spans="1:13" s="33" customForma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</row>
    <row r="471" spans="1:13" s="33" customForma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</row>
    <row r="472" spans="1:13" s="33" customForma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</row>
    <row r="473" spans="1:13" s="33" customForma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</row>
    <row r="474" spans="1:13" s="33" customForma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</row>
    <row r="475" spans="1:13" s="33" customForma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</row>
    <row r="476" spans="1:13" s="33" customForma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</row>
    <row r="477" spans="1:13" s="33" customForma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</row>
    <row r="478" spans="1:13" s="33" customForma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</row>
    <row r="479" spans="1:13" s="33" customForma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</row>
    <row r="480" spans="1:13" s="33" customForma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</row>
    <row r="481" spans="1:13" s="33" customForma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</row>
    <row r="482" spans="1:13" s="33" customForma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</row>
    <row r="483" spans="1:13" s="33" customForma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</row>
    <row r="484" spans="1:13" s="33" customForma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</row>
    <row r="485" spans="1:13" s="33" customForma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</row>
    <row r="486" spans="1:13" s="33" customForma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</row>
    <row r="487" spans="1:13" s="33" customForma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</row>
    <row r="488" spans="1:13" s="33" customForma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</row>
    <row r="489" spans="1:13" s="33" customForma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</row>
    <row r="490" spans="1:13" s="33" customForma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</row>
    <row r="491" spans="1:13" s="33" customForma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</row>
    <row r="492" spans="1:13" s="33" customForma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</row>
    <row r="493" spans="1:13" s="33" customForma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</row>
    <row r="494" spans="1:13" s="33" customForma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</row>
    <row r="495" spans="1:13" s="33" customForma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</row>
    <row r="496" spans="1:13" s="33" customForma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</row>
    <row r="497" spans="1:13" s="33" customForma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</row>
    <row r="498" spans="1:13" s="33" customForma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</row>
    <row r="499" spans="1:13" s="33" customForma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</row>
    <row r="500" spans="1:13" s="33" customForma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</row>
    <row r="501" spans="1:13" s="33" customForma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</row>
    <row r="502" spans="1:13" s="33" customForma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</row>
    <row r="503" spans="1:13" s="33" customForma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</row>
    <row r="504" spans="1:13" s="33" customForma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</row>
    <row r="505" spans="1:13" s="33" customForma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</row>
    <row r="506" spans="1:13" s="33" customForma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</row>
    <row r="507" spans="1:13" s="33" customForma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</row>
    <row r="508" spans="1:13" s="33" customForma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</row>
    <row r="509" spans="1:13" s="33" customForma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</row>
    <row r="510" spans="1:13" s="33" customForma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</row>
    <row r="511" spans="1:13" s="33" customForma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</row>
    <row r="512" spans="1:13" s="33" customForma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</row>
    <row r="513" spans="1:13" s="33" customForma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</row>
    <row r="514" spans="1:13" s="33" customForma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</row>
    <row r="515" spans="1:13" s="33" customForma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</row>
    <row r="516" spans="1:13" s="33" customForma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</row>
    <row r="517" spans="1:13" s="33" customForma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</row>
    <row r="518" spans="1:13" s="33" customForma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</row>
    <row r="519" spans="1:13" s="33" customForma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</row>
    <row r="520" spans="1:13" s="33" customForma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</row>
    <row r="521" spans="1:13" s="33" customForma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</row>
    <row r="522" spans="1:13" s="33" customForma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</row>
    <row r="523" spans="1:13" s="33" customForma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</row>
    <row r="524" spans="1:13" s="33" customForma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</row>
    <row r="525" spans="1:13" s="33" customForma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</row>
    <row r="526" spans="1:13" s="33" customForma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</row>
    <row r="527" spans="1:13" s="33" customForma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</row>
    <row r="528" spans="1:13" s="33" customForma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</row>
    <row r="529" spans="1:13" s="33" customForma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</row>
    <row r="530" spans="1:13" s="33" customForma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</row>
    <row r="531" spans="1:13" s="33" customForma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</row>
    <row r="532" spans="1:13" s="33" customForma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</row>
    <row r="533" spans="1:13" s="33" customForma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</row>
    <row r="534" spans="1:13" s="33" customForma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</row>
    <row r="535" spans="1:13" s="33" customForma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</row>
    <row r="536" spans="1:13" s="33" customForma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</row>
    <row r="537" spans="1:13" s="33" customForma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</row>
    <row r="538" spans="1:13" s="33" customForma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</row>
    <row r="539" spans="1:13" s="33" customForma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</row>
    <row r="540" spans="1:13" s="33" customForma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</row>
    <row r="541" spans="1:13" s="33" customForma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</row>
    <row r="542" spans="1:13" s="33" customForma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</row>
    <row r="543" spans="1:13" s="33" customForma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</row>
    <row r="544" spans="1:13" s="33" customForma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</row>
    <row r="545" spans="1:13" s="33" customForma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</row>
    <row r="546" spans="1:13" s="33" customForma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</row>
    <row r="547" spans="1:13" s="33" customForma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</row>
    <row r="548" spans="1:13" s="33" customForma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</row>
    <row r="549" spans="1:13" s="33" customForma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</row>
    <row r="550" spans="1:13" s="33" customForma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</row>
    <row r="551" spans="1:13" s="33" customForma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</row>
    <row r="552" spans="1:13" s="33" customForma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</row>
    <row r="553" spans="1:13" s="33" customForma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</row>
    <row r="554" spans="1:13" s="33" customForma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</row>
    <row r="555" spans="1:13" s="33" customForma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</row>
    <row r="556" spans="1:13" s="33" customForma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</row>
    <row r="557" spans="1:13" s="33" customForma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</row>
    <row r="558" spans="1:13" s="33" customForma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</row>
    <row r="559" spans="1:13" s="33" customForma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</row>
    <row r="560" spans="1:13" s="33" customForma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</row>
    <row r="561" spans="1:13" s="33" customForma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</row>
    <row r="562" spans="1:13" s="33" customForma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</row>
    <row r="563" spans="1:13" s="33" customForma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</row>
    <row r="564" spans="1:13" s="33" customForma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</row>
    <row r="565" spans="1:13" s="33" customForma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</row>
    <row r="566" spans="1:13" s="33" customForma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</row>
    <row r="567" spans="1:13" s="33" customForma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</row>
    <row r="568" spans="1:13" s="33" customForma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</row>
    <row r="569" spans="1:13" s="33" customForma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</row>
    <row r="570" spans="1:13" s="33" customForma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</row>
    <row r="571" spans="1:13" s="33" customForma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</row>
    <row r="572" spans="1:13" s="33" customForma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</row>
    <row r="573" spans="1:13" s="33" customForma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</row>
    <row r="574" spans="1:13" s="33" customForma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</row>
    <row r="575" spans="1:13" s="33" customForma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</row>
    <row r="576" spans="1:13" s="33" customForma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</row>
    <row r="577" spans="1:13" s="33" customForma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</row>
    <row r="578" spans="1:13" s="33" customForma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</row>
    <row r="579" spans="1:13" s="33" customForma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</row>
    <row r="580" spans="1:13" s="33" customForma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</row>
    <row r="581" spans="1:13" s="33" customForma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</row>
    <row r="582" spans="1:13" s="33" customForma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</row>
    <row r="583" spans="1:13" s="33" customForma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</row>
    <row r="584" spans="1:13" s="33" customForma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</row>
    <row r="585" spans="1:13" s="33" customForma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</row>
    <row r="586" spans="1:13" s="33" customForma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</row>
    <row r="587" spans="1:13" s="33" customForma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</row>
    <row r="588" spans="1:13" s="33" customForma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</row>
    <row r="589" spans="1:13" s="33" customForma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</row>
    <row r="590" spans="1:13" s="33" customForma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</row>
    <row r="591" spans="1:13" s="33" customForma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</row>
    <row r="592" spans="1:13" s="33" customForma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</row>
    <row r="593" spans="1:13" s="33" customForma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</row>
    <row r="594" spans="1:13" s="33" customForma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</row>
    <row r="595" spans="1:13" s="33" customForma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</row>
    <row r="596" spans="1:13" s="33" customForma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</row>
    <row r="597" spans="1:13" s="33" customForma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</row>
    <row r="598" spans="1:13" s="33" customForma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</row>
    <row r="599" spans="1:13" s="33" customForma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</row>
    <row r="600" spans="1:13" s="33" customForma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</row>
    <row r="601" spans="1:13" s="33" customForma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</row>
    <row r="602" spans="1:13" s="33" customForma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</row>
    <row r="603" spans="1:13" s="33" customForma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</row>
    <row r="604" spans="1:13" s="33" customForma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</row>
    <row r="605" spans="1:13" s="33" customForma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</row>
    <row r="606" spans="1:13" s="33" customForma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</row>
    <row r="607" spans="1:13" s="33" customForma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</row>
    <row r="608" spans="1:13" s="33" customForma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</row>
    <row r="609" spans="1:13" s="33" customForma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</row>
    <row r="610" spans="1:13" s="33" customForma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</row>
    <row r="611" spans="1:13" s="33" customForma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</row>
    <row r="612" spans="1:13" s="33" customForma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</row>
    <row r="613" spans="1:13" s="33" customForma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</row>
    <row r="614" spans="1:13" s="33" customForma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</row>
    <row r="615" spans="1:13" s="33" customForma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</row>
    <row r="616" spans="1:13" s="33" customForma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</row>
    <row r="617" spans="1:13" s="33" customForma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</row>
    <row r="618" spans="1:13" s="33" customForma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</row>
    <row r="619" spans="1:13" s="33" customForma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</row>
    <row r="620" spans="1:13" s="33" customForma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</row>
    <row r="621" spans="1:13" s="33" customForma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</row>
    <row r="622" spans="1:13" s="33" customForma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</row>
    <row r="623" spans="1:13" s="33" customForma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</row>
    <row r="624" spans="1:13" s="33" customForma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</row>
    <row r="625" spans="1:13" s="33" customForma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</row>
    <row r="626" spans="1:13" s="33" customForma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</row>
    <row r="627" spans="1:13" s="33" customForma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</row>
    <row r="628" spans="1:13" s="33" customForma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</row>
    <row r="629" spans="1:13" s="33" customForma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</row>
    <row r="630" spans="1:13" s="33" customForma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</row>
    <row r="631" spans="1:13" s="33" customForma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</row>
    <row r="632" spans="1:13" s="33" customForma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</row>
    <row r="633" spans="1:13" s="33" customForma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</row>
    <row r="634" spans="1:13" s="33" customForma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</row>
    <row r="635" spans="1:13" s="33" customForma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</row>
    <row r="636" spans="1:13" s="33" customForma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</row>
    <row r="637" spans="1:13" s="33" customForma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</row>
    <row r="638" spans="1:13" s="33" customForma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</row>
    <row r="639" spans="1:13" s="33" customForma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</row>
    <row r="640" spans="1:13" s="33" customForma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</row>
    <row r="641" spans="1:13" s="33" customForma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</row>
    <row r="642" spans="1:13" s="33" customForma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</row>
    <row r="643" spans="1:13" s="33" customForma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</row>
    <row r="644" spans="1:13" s="33" customForma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</row>
    <row r="645" spans="1:13" s="33" customForma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</row>
    <row r="646" spans="1:13" s="33" customForma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</row>
    <row r="647" spans="1:13" s="33" customForma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</row>
    <row r="648" spans="1:13" s="33" customForma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</row>
    <row r="649" spans="1:13" s="33" customForma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</row>
    <row r="650" spans="1:13" s="33" customForma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</row>
    <row r="651" spans="1:13" s="33" customForma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</row>
    <row r="652" spans="1:13" s="33" customForma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</row>
    <row r="653" spans="1:13" s="33" customForma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</row>
    <row r="654" spans="1:13" s="33" customForma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</row>
    <row r="655" spans="1:13" s="33" customForma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</row>
    <row r="656" spans="1:13" s="33" customForma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</row>
    <row r="657" spans="1:13" s="33" customForma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</row>
    <row r="658" spans="1:13" s="33" customForma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</row>
    <row r="659" spans="1:13" s="33" customForma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</row>
    <row r="660" spans="1:13" s="33" customForma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</row>
    <row r="661" spans="1:13" s="33" customForma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</row>
    <row r="662" spans="1:13" s="33" customForma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</row>
    <row r="663" spans="1:13" s="33" customForma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</row>
    <row r="664" spans="1:13" s="33" customForma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</row>
    <row r="665" spans="1:13" s="33" customForma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</row>
    <row r="666" spans="1:13" s="33" customForma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</row>
    <row r="667" spans="1:13" s="33" customForma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</row>
    <row r="668" spans="1:13" s="33" customForma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</row>
    <row r="669" spans="1:13" s="33" customForma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</row>
    <row r="670" spans="1:13" s="33" customForma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</row>
    <row r="671" spans="1:13" s="33" customForma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</row>
    <row r="672" spans="1:13" s="33" customForma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</row>
    <row r="673" spans="1:13" s="33" customForma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</row>
    <row r="674" spans="1:13" s="33" customForma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</row>
    <row r="675" spans="1:13" s="33" customForma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</row>
    <row r="676" spans="1:13" s="33" customForma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</row>
    <row r="677" spans="1:13" s="33" customForma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</row>
    <row r="678" spans="1:13" s="33" customForma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</row>
    <row r="679" spans="1:13" s="33" customForma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</row>
    <row r="680" spans="1:13" s="33" customForma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</row>
    <row r="681" spans="1:13" s="33" customForma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</row>
    <row r="682" spans="1:13" s="33" customForma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</row>
    <row r="683" spans="1:13" s="33" customForma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</row>
    <row r="684" spans="1:13" s="33" customForma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</row>
    <row r="685" spans="1:13" s="33" customForma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</row>
    <row r="686" spans="1:13" s="33" customForma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</row>
    <row r="687" spans="1:13" s="33" customForma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</row>
    <row r="688" spans="1:13" s="33" customForma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</row>
    <row r="689" spans="1:13" s="33" customForma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</row>
    <row r="690" spans="1:13" s="33" customForma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</row>
    <row r="691" spans="1:13" s="33" customForma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</row>
    <row r="692" spans="1:13" s="33" customForma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</row>
    <row r="693" spans="1:13" s="33" customForma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</row>
    <row r="694" spans="1:13" s="33" customForma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</row>
    <row r="695" spans="1:13" s="33" customForma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</row>
    <row r="696" spans="1:13" s="33" customForma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</row>
    <row r="697" spans="1:13" s="33" customForma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</row>
    <row r="698" spans="1:13" s="33" customForma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</row>
    <row r="699" spans="1:13" s="33" customForma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</row>
    <row r="700" spans="1:13" s="33" customForma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</row>
    <row r="701" spans="1:13" s="33" customForma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</row>
    <row r="702" spans="1:13" s="33" customForma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</row>
    <row r="703" spans="1:13" s="33" customForma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</row>
    <row r="704" spans="1:13" s="33" customForma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</row>
    <row r="705" spans="1:13" s="33" customForma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</row>
    <row r="706" spans="1:13" s="33" customForma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</row>
    <row r="707" spans="1:13" s="33" customForma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</row>
    <row r="708" spans="1:13" s="33" customForma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</row>
    <row r="709" spans="1:13" s="33" customForma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</row>
    <row r="710" spans="1:13" s="33" customForma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</row>
    <row r="711" spans="1:13" s="33" customForma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</row>
    <row r="712" spans="1:13" s="33" customForma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</row>
    <row r="713" spans="1:13" s="33" customForma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</row>
    <row r="714" spans="1:13" s="33" customForma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</row>
    <row r="715" spans="1:13" s="33" customForma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</row>
    <row r="716" spans="1:13" s="33" customForma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</row>
    <row r="717" spans="1:13" s="33" customForma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</row>
    <row r="718" spans="1:13" s="33" customForma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</row>
    <row r="719" spans="1:13" s="33" customForma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</row>
    <row r="720" spans="1:13" s="33" customForma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</row>
    <row r="721" spans="1:13" s="33" customForma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</row>
    <row r="722" spans="1:13" s="33" customForma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</row>
    <row r="723" spans="1:13" s="33" customForma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</row>
    <row r="724" spans="1:13" s="33" customForma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</row>
    <row r="725" spans="1:13" s="33" customForma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</row>
    <row r="726" spans="1:13" s="33" customForma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</row>
    <row r="727" spans="1:13" s="33" customForma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</row>
    <row r="728" spans="1:13" s="33" customForma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</row>
    <row r="729" spans="1:13" s="33" customForma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</row>
    <row r="730" spans="1:13" s="33" customForma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</row>
    <row r="731" spans="1:13" s="33" customForma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</row>
    <row r="732" spans="1:13" s="33" customForma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</row>
    <row r="733" spans="1:13" s="33" customForma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</row>
    <row r="734" spans="1:13" s="33" customForma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</row>
    <row r="735" spans="1:13" s="33" customForma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</row>
    <row r="736" spans="1:13" s="33" customForma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</row>
    <row r="737" spans="1:13" s="33" customForma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</row>
    <row r="738" spans="1:13" s="33" customForma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</row>
    <row r="739" spans="1:13" s="33" customForma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</row>
    <row r="740" spans="1:13" s="33" customForma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</row>
    <row r="741" spans="1:13" s="33" customForma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</row>
    <row r="742" spans="1:13" s="33" customForma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</row>
    <row r="743" spans="1:13" s="33" customForma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</row>
    <row r="744" spans="1:13" s="33" customForma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</row>
    <row r="745" spans="1:13" s="33" customForma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</row>
    <row r="746" spans="1:13" s="33" customForma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</row>
    <row r="747" spans="1:13" s="33" customForma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</row>
    <row r="748" spans="1:13" s="33" customForma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</row>
    <row r="749" spans="1:13" s="33" customForma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</row>
    <row r="750" spans="1:13" s="33" customForma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</row>
    <row r="751" spans="1:13" s="33" customForma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</row>
    <row r="752" spans="1:13" s="33" customForma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</row>
    <row r="753" spans="1:13" s="33" customForma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</row>
    <row r="754" spans="1:13" s="33" customForma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</row>
    <row r="755" spans="1:13" s="33" customForma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</row>
    <row r="756" spans="1:13" s="33" customForma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</row>
    <row r="757" spans="1:13" s="33" customForma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</row>
    <row r="758" spans="1:13" s="33" customForma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</row>
    <row r="759" spans="1:13" s="33" customForma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</row>
    <row r="760" spans="1:13" s="33" customForma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</row>
    <row r="761" spans="1:13" s="33" customForma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</row>
    <row r="762" spans="1:13" s="33" customForma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</row>
    <row r="763" spans="1:13" s="33" customForma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</row>
    <row r="764" spans="1:13" s="33" customForma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</row>
    <row r="765" spans="1:13" s="33" customForma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</row>
    <row r="766" spans="1:13" s="33" customForma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</row>
    <row r="767" spans="1:13" s="33" customForma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</row>
    <row r="768" spans="1:13" s="33" customForma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</row>
    <row r="769" spans="1:13" s="33" customForma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</row>
    <row r="770" spans="1:13" s="33" customForma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</row>
    <row r="771" spans="1:13" s="33" customForma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</row>
    <row r="772" spans="1:13" s="33" customFormat="1">
      <c r="A772" s="71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</row>
    <row r="773" spans="1:13" s="33" customFormat="1">
      <c r="A773" s="71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</row>
    <row r="774" spans="1:13" s="33" customFormat="1">
      <c r="A774" s="71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</row>
    <row r="775" spans="1:13" s="33" customFormat="1">
      <c r="A775" s="71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</row>
    <row r="776" spans="1:13" s="33" customFormat="1">
      <c r="A776" s="71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</row>
    <row r="777" spans="1:13" s="33" customFormat="1">
      <c r="A777" s="71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</row>
    <row r="778" spans="1:13" s="33" customFormat="1">
      <c r="A778" s="71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</row>
    <row r="779" spans="1:13" s="33" customFormat="1">
      <c r="A779" s="71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</row>
    <row r="780" spans="1:13" s="33" customFormat="1">
      <c r="A780" s="71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</row>
    <row r="781" spans="1:13" s="33" customFormat="1">
      <c r="A781" s="71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</row>
    <row r="782" spans="1:13" s="33" customFormat="1">
      <c r="A782" s="71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</row>
    <row r="783" spans="1:13" s="33" customFormat="1">
      <c r="A783" s="71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</row>
    <row r="784" spans="1:13" s="33" customFormat="1">
      <c r="A784" s="71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</row>
    <row r="785" spans="1:13" s="33" customFormat="1">
      <c r="A785" s="71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</row>
    <row r="786" spans="1:13" s="33" customFormat="1">
      <c r="A786" s="71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</row>
    <row r="787" spans="1:13" s="33" customFormat="1">
      <c r="A787" s="71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</row>
    <row r="788" spans="1:13" s="33" customFormat="1">
      <c r="A788" s="71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</row>
    <row r="789" spans="1:13" s="33" customFormat="1">
      <c r="A789" s="71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</row>
    <row r="790" spans="1:13" s="33" customFormat="1">
      <c r="A790" s="71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</row>
    <row r="791" spans="1:13" s="33" customFormat="1">
      <c r="A791" s="71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</row>
    <row r="792" spans="1:13" s="33" customFormat="1">
      <c r="A792" s="71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</row>
    <row r="793" spans="1:13" s="33" customFormat="1">
      <c r="A793" s="71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</row>
    <row r="794" spans="1:13" s="33" customFormat="1">
      <c r="A794" s="71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</row>
    <row r="795" spans="1:13" s="33" customFormat="1">
      <c r="A795" s="71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</row>
    <row r="796" spans="1:13" s="33" customFormat="1">
      <c r="A796" s="71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</row>
    <row r="797" spans="1:13" s="33" customFormat="1">
      <c r="A797" s="71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</row>
    <row r="798" spans="1:13" s="33" customFormat="1">
      <c r="A798" s="71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</row>
    <row r="799" spans="1:13" s="33" customFormat="1">
      <c r="A799" s="71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</row>
    <row r="800" spans="1:13" s="33" customFormat="1">
      <c r="A800" s="71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</row>
    <row r="801" spans="1:13" s="33" customFormat="1">
      <c r="A801" s="71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</row>
    <row r="802" spans="1:13" s="33" customFormat="1">
      <c r="A802" s="71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</row>
    <row r="803" spans="1:13" s="33" customFormat="1">
      <c r="A803" s="71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</row>
    <row r="804" spans="1:13" s="33" customFormat="1">
      <c r="A804" s="71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</row>
    <row r="805" spans="1:13" s="33" customFormat="1">
      <c r="A805" s="71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</row>
    <row r="806" spans="1:13" s="33" customFormat="1">
      <c r="A806" s="71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</row>
    <row r="807" spans="1:13" s="33" customFormat="1">
      <c r="A807" s="71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</row>
    <row r="808" spans="1:13" s="33" customFormat="1">
      <c r="A808" s="71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</row>
    <row r="809" spans="1:13" s="33" customFormat="1">
      <c r="A809" s="71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</row>
    <row r="810" spans="1:13" s="33" customFormat="1">
      <c r="A810" s="71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</row>
    <row r="811" spans="1:13" s="33" customFormat="1">
      <c r="A811" s="71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</row>
    <row r="812" spans="1:13" s="33" customFormat="1">
      <c r="A812" s="71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</row>
    <row r="813" spans="1:13" s="33" customFormat="1">
      <c r="A813" s="71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</row>
    <row r="814" spans="1:13" s="33" customFormat="1">
      <c r="A814" s="71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</row>
    <row r="815" spans="1:13" s="33" customFormat="1">
      <c r="A815" s="71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</row>
    <row r="816" spans="1:13" s="33" customFormat="1">
      <c r="A816" s="71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</row>
    <row r="817" spans="1:13" s="33" customFormat="1">
      <c r="A817" s="71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</row>
    <row r="818" spans="1:13" s="33" customFormat="1">
      <c r="A818" s="71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</row>
    <row r="819" spans="1:13" s="33" customFormat="1">
      <c r="A819" s="71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</row>
    <row r="820" spans="1:13" s="33" customFormat="1">
      <c r="A820" s="71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</row>
    <row r="821" spans="1:13" s="33" customFormat="1">
      <c r="A821" s="71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</row>
    <row r="822" spans="1:13" s="33" customFormat="1">
      <c r="A822" s="71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</row>
    <row r="823" spans="1:13" s="33" customFormat="1">
      <c r="A823" s="71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</row>
    <row r="824" spans="1:13" s="33" customFormat="1">
      <c r="A824" s="71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</row>
    <row r="825" spans="1:13" s="33" customFormat="1">
      <c r="A825" s="71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</row>
    <row r="826" spans="1:13" s="33" customFormat="1">
      <c r="A826" s="71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</row>
    <row r="827" spans="1:13" s="33" customFormat="1">
      <c r="A827" s="71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</row>
    <row r="828" spans="1:13" s="33" customFormat="1">
      <c r="A828" s="71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</row>
    <row r="829" spans="1:13" s="33" customFormat="1">
      <c r="A829" s="71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</row>
    <row r="830" spans="1:13" s="33" customFormat="1">
      <c r="A830" s="71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</row>
    <row r="831" spans="1:13" s="33" customFormat="1">
      <c r="A831" s="71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</row>
    <row r="832" spans="1:13" s="33" customFormat="1">
      <c r="A832" s="71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</row>
    <row r="833" spans="1:13" s="33" customFormat="1">
      <c r="A833" s="71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</row>
    <row r="834" spans="1:13" s="33" customFormat="1">
      <c r="A834" s="71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</row>
    <row r="835" spans="1:13" s="33" customFormat="1">
      <c r="A835" s="71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</row>
    <row r="836" spans="1:13" s="33" customFormat="1">
      <c r="A836" s="71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</row>
    <row r="837" spans="1:13" s="33" customFormat="1">
      <c r="A837" s="71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</row>
    <row r="838" spans="1:13" s="33" customFormat="1">
      <c r="A838" s="71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</row>
    <row r="839" spans="1:13" s="33" customFormat="1">
      <c r="A839" s="71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</row>
    <row r="840" spans="1:13" s="33" customFormat="1">
      <c r="A840" s="71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</row>
    <row r="841" spans="1:13" s="33" customFormat="1">
      <c r="A841" s="71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</row>
    <row r="842" spans="1:13" s="33" customFormat="1">
      <c r="A842" s="71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</row>
    <row r="843" spans="1:13" s="33" customFormat="1">
      <c r="A843" s="71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</row>
    <row r="844" spans="1:13" s="33" customFormat="1">
      <c r="A844" s="71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</row>
    <row r="845" spans="1:13" s="33" customFormat="1">
      <c r="A845" s="71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</row>
    <row r="846" spans="1:13" s="33" customFormat="1">
      <c r="A846" s="71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</row>
    <row r="847" spans="1:13" s="33" customFormat="1">
      <c r="A847" s="71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</row>
    <row r="848" spans="1:13" s="33" customFormat="1">
      <c r="A848" s="71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</row>
    <row r="849" spans="1:13" s="33" customFormat="1">
      <c r="A849" s="71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</row>
    <row r="850" spans="1:13" s="33" customFormat="1">
      <c r="A850" s="71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</row>
    <row r="851" spans="1:13" s="33" customFormat="1">
      <c r="A851" s="71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</row>
    <row r="852" spans="1:13" s="33" customFormat="1">
      <c r="A852" s="71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</row>
    <row r="853" spans="1:13" s="33" customFormat="1">
      <c r="A853" s="71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</row>
    <row r="854" spans="1:13" s="33" customFormat="1">
      <c r="A854" s="71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</row>
    <row r="855" spans="1:13" s="33" customFormat="1">
      <c r="A855" s="71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</row>
    <row r="856" spans="1:13" s="33" customFormat="1">
      <c r="A856" s="71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</row>
    <row r="857" spans="1:13" s="33" customFormat="1">
      <c r="A857" s="71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</row>
    <row r="858" spans="1:13" s="33" customFormat="1">
      <c r="A858" s="71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</row>
    <row r="859" spans="1:13" s="33" customFormat="1">
      <c r="A859" s="71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</row>
    <row r="860" spans="1:13" s="33" customFormat="1">
      <c r="A860" s="71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</row>
    <row r="861" spans="1:13" s="33" customFormat="1">
      <c r="A861" s="71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</row>
    <row r="862" spans="1:13" s="33" customFormat="1">
      <c r="A862" s="71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</row>
    <row r="863" spans="1:13" s="33" customFormat="1">
      <c r="A863" s="71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</row>
    <row r="864" spans="1:13" s="33" customFormat="1">
      <c r="A864" s="71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</row>
    <row r="865" spans="1:13" s="33" customFormat="1">
      <c r="A865" s="71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</row>
    <row r="866" spans="1:13" s="33" customFormat="1">
      <c r="A866" s="71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</row>
    <row r="867" spans="1:13" s="33" customFormat="1">
      <c r="A867" s="71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</row>
    <row r="868" spans="1:13" s="33" customFormat="1">
      <c r="A868" s="71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</row>
    <row r="869" spans="1:13" s="33" customFormat="1">
      <c r="A869" s="71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</row>
    <row r="870" spans="1:13" s="33" customFormat="1">
      <c r="A870" s="71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</row>
    <row r="871" spans="1:13" s="33" customFormat="1">
      <c r="A871" s="71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</row>
    <row r="872" spans="1:13" s="33" customFormat="1">
      <c r="A872" s="71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</row>
    <row r="873" spans="1:13" s="33" customFormat="1">
      <c r="A873" s="71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</row>
    <row r="874" spans="1:13" s="33" customFormat="1">
      <c r="A874" s="71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</row>
    <row r="875" spans="1:13" s="33" customFormat="1">
      <c r="A875" s="71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</row>
    <row r="876" spans="1:13" s="33" customFormat="1">
      <c r="A876" s="71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</row>
    <row r="877" spans="1:13" s="33" customFormat="1">
      <c r="A877" s="71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</row>
    <row r="878" spans="1:13" s="33" customFormat="1">
      <c r="A878" s="71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</row>
    <row r="879" spans="1:13" s="33" customFormat="1">
      <c r="A879" s="71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</row>
    <row r="880" spans="1:13" s="33" customFormat="1">
      <c r="A880" s="71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</row>
    <row r="881" spans="1:13" s="33" customFormat="1">
      <c r="A881" s="71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</row>
    <row r="882" spans="1:13" s="33" customFormat="1">
      <c r="A882" s="71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</row>
    <row r="883" spans="1:13" s="33" customFormat="1">
      <c r="A883" s="71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</row>
    <row r="884" spans="1:13" s="33" customFormat="1">
      <c r="A884" s="71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</row>
    <row r="885" spans="1:13" s="33" customFormat="1">
      <c r="A885" s="71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</row>
    <row r="886" spans="1:13" s="33" customFormat="1">
      <c r="A886" s="71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</row>
    <row r="887" spans="1:13" s="33" customFormat="1">
      <c r="A887" s="71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</row>
    <row r="888" spans="1:13" s="33" customFormat="1">
      <c r="A888" s="71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</row>
    <row r="889" spans="1:13" s="33" customFormat="1">
      <c r="A889" s="71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</row>
    <row r="890" spans="1:13" s="33" customFormat="1">
      <c r="A890" s="71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</row>
    <row r="891" spans="1:13" s="33" customFormat="1">
      <c r="A891" s="71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</row>
    <row r="892" spans="1:13" s="33" customFormat="1">
      <c r="A892" s="71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</row>
    <row r="893" spans="1:13" s="33" customFormat="1">
      <c r="A893" s="71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</row>
    <row r="894" spans="1:13" s="33" customFormat="1">
      <c r="A894" s="71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</row>
    <row r="895" spans="1:13" s="33" customFormat="1">
      <c r="A895" s="71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</row>
    <row r="896" spans="1:13" s="33" customFormat="1">
      <c r="A896" s="71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</row>
    <row r="897" spans="1:13" s="33" customFormat="1">
      <c r="A897" s="71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</row>
    <row r="898" spans="1:13" s="33" customFormat="1">
      <c r="A898" s="71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</row>
    <row r="899" spans="1:13" s="33" customFormat="1">
      <c r="A899" s="71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</row>
    <row r="900" spans="1:13" s="33" customFormat="1">
      <c r="A900" s="71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</row>
    <row r="901" spans="1:13" s="33" customFormat="1">
      <c r="A901" s="71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</row>
    <row r="902" spans="1:13" s="33" customFormat="1">
      <c r="A902" s="71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</row>
    <row r="903" spans="1:13" s="33" customFormat="1">
      <c r="A903" s="71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</row>
    <row r="904" spans="1:13" s="33" customFormat="1">
      <c r="A904" s="71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</row>
    <row r="905" spans="1:13" s="33" customFormat="1">
      <c r="A905" s="71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</row>
    <row r="906" spans="1:13" s="33" customFormat="1">
      <c r="A906" s="71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</row>
    <row r="907" spans="1:13" s="33" customFormat="1">
      <c r="A907" s="71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</row>
    <row r="908" spans="1:13" s="33" customFormat="1">
      <c r="A908" s="71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</row>
    <row r="909" spans="1:13" s="33" customFormat="1">
      <c r="A909" s="71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</row>
    <row r="910" spans="1:13" s="33" customFormat="1">
      <c r="A910" s="71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</row>
    <row r="911" spans="1:13" s="33" customFormat="1">
      <c r="A911" s="71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</row>
    <row r="912" spans="1:13" s="33" customFormat="1">
      <c r="A912" s="71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</row>
    <row r="913" spans="1:13" s="33" customFormat="1">
      <c r="A913" s="71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</row>
    <row r="914" spans="1:13" s="33" customFormat="1">
      <c r="A914" s="71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</row>
    <row r="915" spans="1:13" s="33" customFormat="1">
      <c r="A915" s="71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</row>
    <row r="916" spans="1:13" s="33" customFormat="1">
      <c r="A916" s="71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</row>
    <row r="917" spans="1:13" s="33" customFormat="1">
      <c r="A917" s="71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</row>
    <row r="918" spans="1:13" s="33" customFormat="1">
      <c r="A918" s="71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</row>
    <row r="919" spans="1:13" s="33" customFormat="1">
      <c r="A919" s="71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</row>
    <row r="920" spans="1:13" s="33" customFormat="1">
      <c r="A920" s="71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</row>
    <row r="921" spans="1:13" s="33" customFormat="1">
      <c r="A921" s="71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</row>
    <row r="922" spans="1:13" s="33" customFormat="1">
      <c r="A922" s="71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</row>
    <row r="923" spans="1:13" s="33" customFormat="1">
      <c r="A923" s="71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</row>
    <row r="924" spans="1:13" s="33" customFormat="1">
      <c r="A924" s="71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</row>
    <row r="925" spans="1:13" s="33" customFormat="1">
      <c r="A925" s="71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</row>
    <row r="926" spans="1:13" s="33" customFormat="1">
      <c r="A926" s="71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</row>
    <row r="927" spans="1:13" s="33" customFormat="1">
      <c r="A927" s="71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</row>
    <row r="928" spans="1:13" s="33" customFormat="1">
      <c r="A928" s="71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</row>
    <row r="929" spans="1:13" s="33" customFormat="1">
      <c r="A929" s="71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</row>
    <row r="930" spans="1:13" s="33" customFormat="1">
      <c r="A930" s="71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</row>
    <row r="931" spans="1:13" s="33" customFormat="1">
      <c r="A931" s="71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</row>
    <row r="932" spans="1:13" s="33" customFormat="1">
      <c r="A932" s="71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</row>
    <row r="933" spans="1:13" s="33" customFormat="1">
      <c r="A933" s="71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</row>
    <row r="934" spans="1:13" s="33" customFormat="1">
      <c r="A934" s="71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</row>
    <row r="935" spans="1:13" s="33" customFormat="1">
      <c r="A935" s="71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</row>
    <row r="936" spans="1:13" s="33" customFormat="1">
      <c r="A936" s="71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</row>
    <row r="937" spans="1:13" s="33" customFormat="1">
      <c r="A937" s="71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</row>
    <row r="938" spans="1:13" s="33" customFormat="1">
      <c r="A938" s="71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</row>
    <row r="939" spans="1:13" s="33" customFormat="1">
      <c r="A939" s="71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</row>
    <row r="940" spans="1:13" s="33" customFormat="1">
      <c r="A940" s="71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</row>
    <row r="941" spans="1:13" s="33" customFormat="1">
      <c r="A941" s="71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</row>
    <row r="942" spans="1:13" s="33" customFormat="1">
      <c r="A942" s="71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</row>
    <row r="943" spans="1:13" s="33" customFormat="1">
      <c r="A943" s="71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</row>
    <row r="944" spans="1:13" s="33" customFormat="1">
      <c r="A944" s="71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</row>
    <row r="945" spans="1:13" s="33" customFormat="1">
      <c r="A945" s="71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</row>
    <row r="946" spans="1:13" s="33" customFormat="1">
      <c r="A946" s="71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</row>
    <row r="947" spans="1:13" s="33" customFormat="1">
      <c r="A947" s="71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</row>
    <row r="948" spans="1:13" s="33" customFormat="1">
      <c r="A948" s="71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</row>
    <row r="949" spans="1:13" s="33" customFormat="1">
      <c r="A949" s="71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</row>
    <row r="950" spans="1:13" s="33" customFormat="1">
      <c r="A950" s="71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</row>
    <row r="951" spans="1:13" s="33" customFormat="1">
      <c r="A951" s="71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</row>
    <row r="952" spans="1:13" s="33" customFormat="1">
      <c r="A952" s="71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</row>
    <row r="953" spans="1:13" s="33" customFormat="1">
      <c r="A953" s="71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</row>
    <row r="954" spans="1:13" s="33" customFormat="1">
      <c r="A954" s="71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</row>
    <row r="955" spans="1:13" s="33" customFormat="1">
      <c r="A955" s="71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</row>
    <row r="956" spans="1:13" s="33" customFormat="1">
      <c r="A956" s="71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</row>
    <row r="957" spans="1:13" s="33" customFormat="1">
      <c r="A957" s="71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</row>
    <row r="958" spans="1:13" s="33" customFormat="1">
      <c r="A958" s="71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</row>
    <row r="959" spans="1:13" s="33" customFormat="1">
      <c r="A959" s="71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</row>
    <row r="960" spans="1:13" s="33" customFormat="1">
      <c r="A960" s="71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</row>
    <row r="961" spans="1:13" s="33" customFormat="1">
      <c r="A961" s="71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</row>
    <row r="962" spans="1:13" s="33" customFormat="1">
      <c r="A962" s="71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</row>
    <row r="963" spans="1:13" s="33" customFormat="1">
      <c r="A963" s="71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</row>
    <row r="964" spans="1:13" s="33" customFormat="1">
      <c r="A964" s="71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</row>
    <row r="965" spans="1:13" s="33" customFormat="1">
      <c r="A965" s="71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</row>
    <row r="966" spans="1:13" s="33" customFormat="1">
      <c r="A966" s="71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</row>
    <row r="967" spans="1:13" s="33" customFormat="1">
      <c r="A967" s="71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</row>
    <row r="968" spans="1:13" s="33" customFormat="1">
      <c r="A968" s="71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</row>
    <row r="969" spans="1:13" s="33" customFormat="1">
      <c r="A969" s="71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</row>
    <row r="970" spans="1:13" s="33" customFormat="1">
      <c r="A970" s="71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</row>
    <row r="971" spans="1:13" s="33" customFormat="1">
      <c r="A971" s="71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</row>
    <row r="972" spans="1:13" s="33" customFormat="1">
      <c r="A972" s="71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</row>
    <row r="973" spans="1:13" s="33" customFormat="1">
      <c r="A973" s="71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</row>
    <row r="974" spans="1:13" s="33" customFormat="1">
      <c r="A974" s="71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</row>
    <row r="975" spans="1:13" s="33" customFormat="1">
      <c r="A975" s="71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</row>
    <row r="976" spans="1:13" s="33" customFormat="1">
      <c r="A976" s="71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</row>
    <row r="977" spans="1:13" s="33" customFormat="1">
      <c r="A977" s="71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</row>
    <row r="978" spans="1:13" s="33" customFormat="1">
      <c r="A978" s="71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</row>
    <row r="979" spans="1:13" s="33" customFormat="1">
      <c r="A979" s="71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</row>
    <row r="980" spans="1:13" s="33" customFormat="1">
      <c r="A980" s="71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</row>
    <row r="981" spans="1:13" s="33" customFormat="1">
      <c r="A981" s="71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</row>
    <row r="982" spans="1:13" s="33" customFormat="1">
      <c r="A982" s="71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</row>
    <row r="983" spans="1:13" s="33" customFormat="1">
      <c r="A983" s="71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</row>
    <row r="984" spans="1:13" s="33" customFormat="1">
      <c r="A984" s="71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</row>
    <row r="985" spans="1:13" s="33" customFormat="1">
      <c r="A985" s="71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</row>
    <row r="986" spans="1:13" s="33" customFormat="1">
      <c r="A986" s="71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</row>
    <row r="987" spans="1:13" s="33" customFormat="1">
      <c r="A987" s="71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</row>
    <row r="988" spans="1:13" s="33" customFormat="1">
      <c r="A988" s="71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</row>
    <row r="989" spans="1:13" s="33" customFormat="1">
      <c r="A989" s="71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</row>
    <row r="990" spans="1:13" s="33" customFormat="1">
      <c r="A990" s="71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</row>
    <row r="991" spans="1:13" s="33" customFormat="1">
      <c r="A991" s="71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</row>
    <row r="992" spans="1:13" s="33" customFormat="1">
      <c r="A992" s="71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</row>
    <row r="993" spans="1:13" s="33" customFormat="1">
      <c r="A993" s="71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</row>
    <row r="994" spans="1:13" s="33" customFormat="1">
      <c r="A994" s="71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</row>
    <row r="995" spans="1:13" s="33" customFormat="1">
      <c r="A995" s="71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</row>
    <row r="996" spans="1:13" s="33" customFormat="1">
      <c r="A996" s="71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</row>
    <row r="997" spans="1:13" s="33" customFormat="1">
      <c r="A997" s="71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</row>
    <row r="998" spans="1:13" s="33" customFormat="1">
      <c r="A998" s="71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</row>
    <row r="999" spans="1:13" s="33" customFormat="1">
      <c r="A999" s="71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</row>
    <row r="1000" spans="1:13" s="33" customFormat="1">
      <c r="A1000" s="71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</row>
    <row r="1001" spans="1:13" s="33" customFormat="1">
      <c r="A1001" s="71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</row>
    <row r="1002" spans="1:13" s="33" customFormat="1">
      <c r="A1002" s="71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</row>
    <row r="1003" spans="1:13" s="33" customFormat="1">
      <c r="A1003" s="71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</row>
    <row r="1004" spans="1:13" s="33" customFormat="1">
      <c r="A1004" s="71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</row>
    <row r="1005" spans="1:13" s="33" customFormat="1">
      <c r="A1005" s="71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</row>
    <row r="1006" spans="1:13" s="33" customFormat="1">
      <c r="A1006" s="71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</row>
    <row r="1007" spans="1:13" s="33" customFormat="1">
      <c r="A1007" s="71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</row>
    <row r="1008" spans="1:13" s="33" customFormat="1">
      <c r="A1008" s="71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</row>
    <row r="1009" spans="1:13" s="33" customFormat="1">
      <c r="A1009" s="71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</row>
    <row r="1010" spans="1:13" s="33" customFormat="1">
      <c r="A1010" s="71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</row>
    <row r="1011" spans="1:13" s="33" customFormat="1">
      <c r="A1011" s="71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</row>
    <row r="1012" spans="1:13" s="33" customFormat="1">
      <c r="A1012" s="71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</row>
    <row r="1013" spans="1:13" s="33" customFormat="1">
      <c r="A1013" s="71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</row>
    <row r="1014" spans="1:13" s="33" customFormat="1">
      <c r="A1014" s="71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</row>
    <row r="1015" spans="1:13" s="33" customFormat="1">
      <c r="A1015" s="71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</row>
    <row r="1016" spans="1:13" s="33" customFormat="1">
      <c r="A1016" s="71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</row>
    <row r="1017" spans="1:13" s="33" customFormat="1">
      <c r="A1017" s="71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</row>
    <row r="1018" spans="1:13" s="33" customFormat="1">
      <c r="A1018" s="71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</row>
    <row r="1019" spans="1:13" s="33" customFormat="1">
      <c r="A1019" s="71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</row>
    <row r="1020" spans="1:13" s="33" customFormat="1">
      <c r="A1020" s="71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</row>
    <row r="1021" spans="1:13" s="33" customFormat="1">
      <c r="A1021" s="71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</row>
    <row r="1022" spans="1:13" s="33" customFormat="1">
      <c r="A1022" s="71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</row>
    <row r="1023" spans="1:13" s="33" customFormat="1">
      <c r="A1023" s="71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</row>
    <row r="1024" spans="1:13" s="33" customFormat="1">
      <c r="A1024" s="71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</row>
    <row r="1025" spans="1:13" s="33" customFormat="1">
      <c r="A1025" s="71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</row>
    <row r="1026" spans="1:13" s="33" customFormat="1">
      <c r="A1026" s="71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</row>
    <row r="1027" spans="1:13" s="33" customFormat="1">
      <c r="A1027" s="71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</row>
    <row r="1028" spans="1:13" s="33" customFormat="1">
      <c r="A1028" s="71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</row>
    <row r="1029" spans="1:13" s="33" customFormat="1">
      <c r="A1029" s="71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</row>
    <row r="1030" spans="1:13" s="33" customFormat="1">
      <c r="A1030" s="71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</row>
    <row r="1031" spans="1:13" s="33" customFormat="1">
      <c r="A1031" s="71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</row>
    <row r="1032" spans="1:13" s="33" customFormat="1">
      <c r="A1032" s="71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</row>
    <row r="1033" spans="1:13" s="33" customFormat="1">
      <c r="A1033" s="71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</row>
    <row r="1034" spans="1:13" s="33" customFormat="1">
      <c r="A1034" s="71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</row>
    <row r="1035" spans="1:13" s="33" customFormat="1">
      <c r="A1035" s="71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</row>
    <row r="1036" spans="1:13" s="33" customFormat="1">
      <c r="A1036" s="71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</row>
    <row r="1037" spans="1:13" s="33" customFormat="1">
      <c r="A1037" s="71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</row>
    <row r="1038" spans="1:13" s="33" customFormat="1">
      <c r="A1038" s="71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</row>
    <row r="1039" spans="1:13" s="33" customFormat="1">
      <c r="A1039" s="71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</row>
    <row r="1040" spans="1:13" s="33" customFormat="1">
      <c r="A1040" s="71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</row>
    <row r="1041" spans="1:13" s="33" customFormat="1">
      <c r="A1041" s="71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</row>
    <row r="1042" spans="1:13" s="33" customFormat="1">
      <c r="A1042" s="71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</row>
    <row r="1043" spans="1:13" s="33" customFormat="1">
      <c r="A1043" s="71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</row>
    <row r="1044" spans="1:13" s="33" customFormat="1">
      <c r="A1044" s="71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</row>
    <row r="1045" spans="1:13" s="33" customFormat="1">
      <c r="A1045" s="71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</row>
    <row r="1046" spans="1:13" s="33" customFormat="1">
      <c r="A1046" s="71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</row>
    <row r="1047" spans="1:13" s="33" customFormat="1">
      <c r="A1047" s="71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</row>
    <row r="1048" spans="1:13" s="33" customFormat="1">
      <c r="A1048" s="71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</row>
    <row r="1049" spans="1:13" s="33" customFormat="1">
      <c r="A1049" s="71"/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</row>
    <row r="1050" spans="1:13" s="33" customFormat="1">
      <c r="A1050" s="71"/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</row>
    <row r="1051" spans="1:13" s="33" customFormat="1">
      <c r="A1051" s="71"/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</row>
    <row r="1052" spans="1:13" s="33" customFormat="1">
      <c r="A1052" s="71"/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</row>
    <row r="1053" spans="1:13" s="33" customFormat="1">
      <c r="A1053" s="71"/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</row>
    <row r="1054" spans="1:13" s="33" customFormat="1">
      <c r="A1054" s="71"/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</row>
    <row r="1055" spans="1:13" s="33" customFormat="1">
      <c r="A1055" s="71"/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</row>
    <row r="1056" spans="1:13" s="33" customFormat="1">
      <c r="A1056" s="71"/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</row>
    <row r="1057" spans="1:13" s="33" customFormat="1">
      <c r="A1057" s="71"/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</row>
    <row r="1058" spans="1:13" s="33" customFormat="1">
      <c r="A1058" s="71"/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</row>
    <row r="1059" spans="1:13" s="33" customFormat="1">
      <c r="A1059" s="71"/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</row>
    <row r="1060" spans="1:13" s="33" customFormat="1">
      <c r="A1060" s="71"/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</row>
    <row r="1061" spans="1:13" s="33" customFormat="1">
      <c r="A1061" s="71"/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</row>
    <row r="1062" spans="1:13" s="33" customFormat="1">
      <c r="A1062" s="71"/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</row>
    <row r="1063" spans="1:13" s="33" customFormat="1">
      <c r="A1063" s="71"/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</row>
    <row r="1064" spans="1:13" s="33" customFormat="1">
      <c r="A1064" s="71"/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</row>
    <row r="1065" spans="1:13" s="33" customFormat="1">
      <c r="A1065" s="71"/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</row>
    <row r="1066" spans="1:13" s="33" customFormat="1">
      <c r="A1066" s="71"/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</row>
    <row r="1067" spans="1:13" s="33" customFormat="1">
      <c r="A1067" s="71"/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</row>
    <row r="1068" spans="1:13" s="33" customFormat="1">
      <c r="A1068" s="71"/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</row>
    <row r="1069" spans="1:13" s="33" customFormat="1">
      <c r="A1069" s="71"/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</row>
    <row r="1070" spans="1:13" s="33" customFormat="1">
      <c r="A1070" s="71"/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</row>
    <row r="1071" spans="1:13" s="33" customFormat="1">
      <c r="A1071" s="71"/>
      <c r="B1071" s="3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</row>
    <row r="1072" spans="1:13" s="33" customFormat="1">
      <c r="A1072" s="71"/>
      <c r="B1072" s="3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</row>
    <row r="1073" spans="1:13" s="33" customFormat="1">
      <c r="A1073" s="71"/>
      <c r="B1073" s="3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</row>
    <row r="1074" spans="1:13" s="33" customFormat="1">
      <c r="A1074" s="71"/>
      <c r="B1074" s="3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</row>
    <row r="1075" spans="1:13" s="33" customFormat="1">
      <c r="A1075" s="71"/>
      <c r="B1075" s="3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</row>
    <row r="1076" spans="1:13" s="33" customFormat="1">
      <c r="A1076" s="71"/>
      <c r="B1076" s="3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</row>
    <row r="1077" spans="1:13" s="33" customFormat="1">
      <c r="A1077" s="71"/>
      <c r="B1077" s="3"/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</row>
    <row r="1078" spans="1:13" s="33" customFormat="1">
      <c r="A1078" s="71"/>
      <c r="B1078" s="3"/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</row>
    <row r="1079" spans="1:13" s="33" customFormat="1">
      <c r="A1079" s="71"/>
      <c r="B1079" s="3"/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</row>
    <row r="1080" spans="1:13" s="33" customFormat="1">
      <c r="A1080" s="71"/>
      <c r="B1080" s="3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</row>
    <row r="1081" spans="1:13" s="33" customFormat="1">
      <c r="A1081" s="71"/>
      <c r="B1081" s="3"/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</row>
    <row r="1082" spans="1:13" s="33" customFormat="1">
      <c r="A1082" s="71"/>
      <c r="B1082" s="3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</row>
    <row r="1083" spans="1:13" s="33" customFormat="1">
      <c r="A1083" s="71"/>
      <c r="B1083" s="3"/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</row>
    <row r="1084" spans="1:13" s="33" customFormat="1">
      <c r="A1084" s="71"/>
      <c r="B1084" s="3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</row>
    <row r="1085" spans="1:13" s="33" customFormat="1">
      <c r="A1085" s="71"/>
      <c r="B1085" s="3"/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</row>
    <row r="1086" spans="1:13" s="33" customFormat="1">
      <c r="A1086" s="71"/>
      <c r="B1086" s="3"/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</row>
    <row r="1087" spans="1:13" s="33" customFormat="1">
      <c r="A1087" s="71"/>
      <c r="B1087" s="3"/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</row>
    <row r="1088" spans="1:13" s="33" customFormat="1">
      <c r="A1088" s="71"/>
      <c r="B1088" s="3"/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</row>
    <row r="1089" spans="1:13" s="33" customFormat="1">
      <c r="A1089" s="71"/>
      <c r="B1089" s="3"/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</row>
    <row r="1090" spans="1:13" s="33" customFormat="1">
      <c r="A1090" s="71"/>
      <c r="B1090" s="3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</row>
    <row r="1091" spans="1:13" s="33" customFormat="1">
      <c r="A1091" s="71"/>
      <c r="B1091" s="3"/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</row>
    <row r="1092" spans="1:13" s="33" customFormat="1">
      <c r="A1092" s="71"/>
      <c r="B1092" s="3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</row>
    <row r="1093" spans="1:13" s="33" customFormat="1">
      <c r="A1093" s="71"/>
      <c r="B1093" s="3"/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</row>
    <row r="1094" spans="1:13" s="33" customFormat="1">
      <c r="A1094" s="71"/>
      <c r="B1094" s="3"/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</row>
    <row r="1095" spans="1:13" s="33" customFormat="1">
      <c r="A1095" s="71"/>
      <c r="B1095" s="3"/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</row>
    <row r="1096" spans="1:13" s="33" customFormat="1">
      <c r="A1096" s="71"/>
      <c r="B1096" s="3"/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</row>
    <row r="1097" spans="1:13" s="33" customFormat="1">
      <c r="A1097" s="71"/>
      <c r="B1097" s="3"/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</row>
    <row r="1098" spans="1:13" s="33" customFormat="1">
      <c r="A1098" s="71"/>
      <c r="B1098" s="3"/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</row>
    <row r="1099" spans="1:13" s="33" customFormat="1">
      <c r="A1099" s="71"/>
      <c r="B1099" s="3"/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</row>
    <row r="1100" spans="1:13" s="33" customFormat="1">
      <c r="A1100" s="71"/>
      <c r="B1100" s="3"/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</row>
    <row r="1101" spans="1:13" s="33" customFormat="1">
      <c r="A1101" s="71"/>
      <c r="B1101" s="3"/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</row>
    <row r="1102" spans="1:13" s="33" customFormat="1">
      <c r="A1102" s="71"/>
      <c r="B1102" s="3"/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</row>
    <row r="1103" spans="1:13" s="33" customFormat="1">
      <c r="A1103" s="71"/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</row>
    <row r="1104" spans="1:13" s="33" customFormat="1">
      <c r="A1104" s="71"/>
      <c r="B1104" s="3"/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</row>
    <row r="1105" spans="1:13" s="33" customFormat="1">
      <c r="A1105" s="71"/>
      <c r="B1105" s="3"/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</row>
    <row r="1106" spans="1:13" s="33" customFormat="1">
      <c r="A1106" s="71"/>
      <c r="B1106" s="3"/>
      <c r="C1106" s="3"/>
      <c r="D1106" s="3"/>
      <c r="E1106" s="3"/>
      <c r="F1106" s="3"/>
      <c r="G1106" s="3"/>
      <c r="H1106" s="3"/>
      <c r="I1106" s="3"/>
      <c r="J1106" s="3"/>
      <c r="K1106" s="3"/>
      <c r="L1106" s="3"/>
      <c r="M1106" s="3"/>
    </row>
    <row r="1107" spans="1:13" s="33" customFormat="1">
      <c r="A1107" s="71"/>
      <c r="B1107" s="3"/>
      <c r="C1107" s="3"/>
      <c r="D1107" s="3"/>
      <c r="E1107" s="3"/>
      <c r="F1107" s="3"/>
      <c r="G1107" s="3"/>
      <c r="H1107" s="3"/>
      <c r="I1107" s="3"/>
      <c r="J1107" s="3"/>
      <c r="K1107" s="3"/>
      <c r="L1107" s="3"/>
      <c r="M1107" s="3"/>
    </row>
    <row r="1108" spans="1:13" s="33" customFormat="1">
      <c r="A1108" s="71"/>
      <c r="B1108" s="3"/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3"/>
    </row>
    <row r="1109" spans="1:13" s="33" customFormat="1">
      <c r="A1109" s="71"/>
      <c r="B1109" s="3"/>
      <c r="C1109" s="3"/>
      <c r="D1109" s="3"/>
      <c r="E1109" s="3"/>
      <c r="F1109" s="3"/>
      <c r="G1109" s="3"/>
      <c r="H1109" s="3"/>
      <c r="I1109" s="3"/>
      <c r="J1109" s="3"/>
      <c r="K1109" s="3"/>
      <c r="L1109" s="3"/>
      <c r="M1109" s="3"/>
    </row>
    <row r="1110" spans="1:13" s="33" customFormat="1">
      <c r="A1110" s="71"/>
      <c r="B1110" s="3"/>
      <c r="C1110" s="3"/>
      <c r="D1110" s="3"/>
      <c r="E1110" s="3"/>
      <c r="F1110" s="3"/>
      <c r="G1110" s="3"/>
      <c r="H1110" s="3"/>
      <c r="I1110" s="3"/>
      <c r="J1110" s="3"/>
      <c r="K1110" s="3"/>
      <c r="L1110" s="3"/>
      <c r="M1110" s="3"/>
    </row>
    <row r="1111" spans="1:13" s="33" customFormat="1">
      <c r="A1111" s="71"/>
      <c r="B1111" s="3"/>
      <c r="C1111" s="3"/>
      <c r="D1111" s="3"/>
      <c r="E1111" s="3"/>
      <c r="F1111" s="3"/>
      <c r="G1111" s="3"/>
      <c r="H1111" s="3"/>
      <c r="I1111" s="3"/>
      <c r="J1111" s="3"/>
      <c r="K1111" s="3"/>
      <c r="L1111" s="3"/>
      <c r="M1111" s="3"/>
    </row>
    <row r="1112" spans="1:13" s="33" customFormat="1">
      <c r="A1112" s="71"/>
      <c r="B1112" s="3"/>
      <c r="C1112" s="3"/>
      <c r="D1112" s="3"/>
      <c r="E1112" s="3"/>
      <c r="F1112" s="3"/>
      <c r="G1112" s="3"/>
      <c r="H1112" s="3"/>
      <c r="I1112" s="3"/>
      <c r="J1112" s="3"/>
      <c r="K1112" s="3"/>
      <c r="L1112" s="3"/>
      <c r="M1112" s="3"/>
    </row>
    <row r="1113" spans="1:13" s="33" customFormat="1">
      <c r="A1113" s="71"/>
      <c r="B1113" s="3"/>
      <c r="C1113" s="3"/>
      <c r="D1113" s="3"/>
      <c r="E1113" s="3"/>
      <c r="F1113" s="3"/>
      <c r="G1113" s="3"/>
      <c r="H1113" s="3"/>
      <c r="I1113" s="3"/>
      <c r="J1113" s="3"/>
      <c r="K1113" s="3"/>
      <c r="L1113" s="3"/>
      <c r="M1113" s="3"/>
    </row>
    <row r="1114" spans="1:13" s="33" customFormat="1">
      <c r="A1114" s="71"/>
      <c r="B1114" s="3"/>
      <c r="C1114" s="3"/>
      <c r="D1114" s="3"/>
      <c r="E1114" s="3"/>
      <c r="F1114" s="3"/>
      <c r="G1114" s="3"/>
      <c r="H1114" s="3"/>
      <c r="I1114" s="3"/>
      <c r="J1114" s="3"/>
      <c r="K1114" s="3"/>
      <c r="L1114" s="3"/>
      <c r="M1114" s="3"/>
    </row>
    <row r="1115" spans="1:13" s="33" customFormat="1">
      <c r="A1115" s="71"/>
      <c r="B1115" s="3"/>
      <c r="C1115" s="3"/>
      <c r="D1115" s="3"/>
      <c r="E1115" s="3"/>
      <c r="F1115" s="3"/>
      <c r="G1115" s="3"/>
      <c r="H1115" s="3"/>
      <c r="I1115" s="3"/>
      <c r="J1115" s="3"/>
      <c r="K1115" s="3"/>
      <c r="L1115" s="3"/>
      <c r="M1115" s="3"/>
    </row>
    <row r="1116" spans="1:13" s="33" customFormat="1">
      <c r="A1116" s="71"/>
      <c r="B1116" s="3"/>
      <c r="C1116" s="3"/>
      <c r="D1116" s="3"/>
      <c r="E1116" s="3"/>
      <c r="F1116" s="3"/>
      <c r="G1116" s="3"/>
      <c r="H1116" s="3"/>
      <c r="I1116" s="3"/>
      <c r="J1116" s="3"/>
      <c r="K1116" s="3"/>
      <c r="L1116" s="3"/>
      <c r="M1116" s="3"/>
    </row>
    <row r="1117" spans="1:13" s="33" customFormat="1">
      <c r="A1117" s="71"/>
      <c r="B1117" s="3"/>
      <c r="C1117" s="3"/>
      <c r="D1117" s="3"/>
      <c r="E1117" s="3"/>
      <c r="F1117" s="3"/>
      <c r="G1117" s="3"/>
      <c r="H1117" s="3"/>
      <c r="I1117" s="3"/>
      <c r="J1117" s="3"/>
      <c r="K1117" s="3"/>
      <c r="L1117" s="3"/>
      <c r="M1117" s="3"/>
    </row>
    <row r="1118" spans="1:13" s="33" customFormat="1">
      <c r="A1118" s="71"/>
      <c r="B1118" s="3"/>
      <c r="C1118" s="3"/>
      <c r="D1118" s="3"/>
      <c r="E1118" s="3"/>
      <c r="F1118" s="3"/>
      <c r="G1118" s="3"/>
      <c r="H1118" s="3"/>
      <c r="I1118" s="3"/>
      <c r="J1118" s="3"/>
      <c r="K1118" s="3"/>
      <c r="L1118" s="3"/>
      <c r="M1118" s="3"/>
    </row>
    <row r="1119" spans="1:13" s="33" customFormat="1">
      <c r="A1119" s="71"/>
      <c r="B1119" s="3"/>
      <c r="C1119" s="3"/>
      <c r="D1119" s="3"/>
      <c r="E1119" s="3"/>
      <c r="F1119" s="3"/>
      <c r="G1119" s="3"/>
      <c r="H1119" s="3"/>
      <c r="I1119" s="3"/>
      <c r="J1119" s="3"/>
      <c r="K1119" s="3"/>
      <c r="L1119" s="3"/>
      <c r="M1119" s="3"/>
    </row>
    <row r="1120" spans="1:13" s="33" customFormat="1">
      <c r="A1120" s="71"/>
      <c r="B1120" s="3"/>
      <c r="C1120" s="3"/>
      <c r="D1120" s="3"/>
      <c r="E1120" s="3"/>
      <c r="F1120" s="3"/>
      <c r="G1120" s="3"/>
      <c r="H1120" s="3"/>
      <c r="I1120" s="3"/>
      <c r="J1120" s="3"/>
      <c r="K1120" s="3"/>
      <c r="L1120" s="3"/>
      <c r="M1120" s="3"/>
    </row>
    <row r="1121" spans="1:13" s="33" customFormat="1">
      <c r="A1121" s="71"/>
      <c r="B1121" s="3"/>
      <c r="C1121" s="3"/>
      <c r="D1121" s="3"/>
      <c r="E1121" s="3"/>
      <c r="F1121" s="3"/>
      <c r="G1121" s="3"/>
      <c r="H1121" s="3"/>
      <c r="I1121" s="3"/>
      <c r="J1121" s="3"/>
      <c r="K1121" s="3"/>
      <c r="L1121" s="3"/>
      <c r="M1121" s="3"/>
    </row>
    <row r="1122" spans="1:13" s="33" customFormat="1">
      <c r="A1122" s="71"/>
      <c r="B1122" s="3"/>
      <c r="C1122" s="3"/>
      <c r="D1122" s="3"/>
      <c r="E1122" s="3"/>
      <c r="F1122" s="3"/>
      <c r="G1122" s="3"/>
      <c r="H1122" s="3"/>
      <c r="I1122" s="3"/>
      <c r="J1122" s="3"/>
      <c r="K1122" s="3"/>
      <c r="L1122" s="3"/>
      <c r="M1122" s="3"/>
    </row>
    <row r="1123" spans="1:13" s="33" customFormat="1">
      <c r="A1123" s="71"/>
      <c r="B1123" s="3"/>
      <c r="C1123" s="3"/>
      <c r="D1123" s="3"/>
      <c r="E1123" s="3"/>
      <c r="F1123" s="3"/>
      <c r="G1123" s="3"/>
      <c r="H1123" s="3"/>
      <c r="I1123" s="3"/>
      <c r="J1123" s="3"/>
      <c r="K1123" s="3"/>
      <c r="L1123" s="3"/>
      <c r="M1123" s="3"/>
    </row>
    <row r="1124" spans="1:13" s="33" customFormat="1">
      <c r="A1124" s="71"/>
      <c r="B1124" s="3"/>
      <c r="C1124" s="3"/>
      <c r="D1124" s="3"/>
      <c r="E1124" s="3"/>
      <c r="F1124" s="3"/>
      <c r="G1124" s="3"/>
      <c r="H1124" s="3"/>
      <c r="I1124" s="3"/>
      <c r="J1124" s="3"/>
      <c r="K1124" s="3"/>
      <c r="L1124" s="3"/>
      <c r="M1124" s="3"/>
    </row>
    <row r="1125" spans="1:13" s="33" customFormat="1">
      <c r="A1125" s="71"/>
      <c r="B1125" s="3"/>
      <c r="C1125" s="3"/>
      <c r="D1125" s="3"/>
      <c r="E1125" s="3"/>
      <c r="F1125" s="3"/>
      <c r="G1125" s="3"/>
      <c r="H1125" s="3"/>
      <c r="I1125" s="3"/>
      <c r="J1125" s="3"/>
      <c r="K1125" s="3"/>
      <c r="L1125" s="3"/>
      <c r="M1125" s="3"/>
    </row>
    <row r="1126" spans="1:13" s="33" customFormat="1">
      <c r="A1126" s="71"/>
      <c r="B1126" s="3"/>
      <c r="C1126" s="3"/>
      <c r="D1126" s="3"/>
      <c r="E1126" s="3"/>
      <c r="F1126" s="3"/>
      <c r="G1126" s="3"/>
      <c r="H1126" s="3"/>
      <c r="I1126" s="3"/>
      <c r="J1126" s="3"/>
      <c r="K1126" s="3"/>
      <c r="L1126" s="3"/>
      <c r="M1126" s="3"/>
    </row>
    <row r="1127" spans="1:13" s="33" customFormat="1">
      <c r="A1127" s="71"/>
      <c r="B1127" s="3"/>
      <c r="C1127" s="3"/>
      <c r="D1127" s="3"/>
      <c r="E1127" s="3"/>
      <c r="F1127" s="3"/>
      <c r="G1127" s="3"/>
      <c r="H1127" s="3"/>
      <c r="I1127" s="3"/>
      <c r="J1127" s="3"/>
      <c r="K1127" s="3"/>
      <c r="L1127" s="3"/>
      <c r="M1127" s="3"/>
    </row>
    <row r="1128" spans="1:13" s="33" customFormat="1">
      <c r="A1128" s="71"/>
      <c r="B1128" s="3"/>
      <c r="C1128" s="3"/>
      <c r="D1128" s="3"/>
      <c r="E1128" s="3"/>
      <c r="F1128" s="3"/>
      <c r="G1128" s="3"/>
      <c r="H1128" s="3"/>
      <c r="I1128" s="3"/>
      <c r="J1128" s="3"/>
      <c r="K1128" s="3"/>
      <c r="L1128" s="3"/>
      <c r="M1128" s="3"/>
    </row>
    <row r="1129" spans="1:13" s="33" customFormat="1">
      <c r="A1129" s="71"/>
      <c r="B1129" s="3"/>
      <c r="C1129" s="3"/>
      <c r="D1129" s="3"/>
      <c r="E1129" s="3"/>
      <c r="F1129" s="3"/>
      <c r="G1129" s="3"/>
      <c r="H1129" s="3"/>
      <c r="I1129" s="3"/>
      <c r="J1129" s="3"/>
      <c r="K1129" s="3"/>
      <c r="L1129" s="3"/>
      <c r="M1129" s="3"/>
    </row>
    <row r="1130" spans="1:13" s="33" customFormat="1">
      <c r="A1130" s="71"/>
      <c r="B1130" s="3"/>
      <c r="C1130" s="3"/>
      <c r="D1130" s="3"/>
      <c r="E1130" s="3"/>
      <c r="F1130" s="3"/>
      <c r="G1130" s="3"/>
      <c r="H1130" s="3"/>
      <c r="I1130" s="3"/>
      <c r="J1130" s="3"/>
      <c r="K1130" s="3"/>
      <c r="L1130" s="3"/>
      <c r="M1130" s="3"/>
    </row>
    <row r="1131" spans="1:13" s="33" customFormat="1">
      <c r="A1131" s="71"/>
      <c r="B1131" s="3"/>
      <c r="C1131" s="3"/>
      <c r="D1131" s="3"/>
      <c r="E1131" s="3"/>
      <c r="F1131" s="3"/>
      <c r="G1131" s="3"/>
      <c r="H1131" s="3"/>
      <c r="I1131" s="3"/>
      <c r="J1131" s="3"/>
      <c r="K1131" s="3"/>
      <c r="L1131" s="3"/>
      <c r="M1131" s="3"/>
    </row>
    <row r="1132" spans="1:13" s="33" customFormat="1">
      <c r="A1132" s="71"/>
      <c r="B1132" s="3"/>
      <c r="C1132" s="3"/>
      <c r="D1132" s="3"/>
      <c r="E1132" s="3"/>
      <c r="F1132" s="3"/>
      <c r="G1132" s="3"/>
      <c r="H1132" s="3"/>
      <c r="I1132" s="3"/>
      <c r="J1132" s="3"/>
      <c r="K1132" s="3"/>
      <c r="L1132" s="3"/>
      <c r="M1132" s="3"/>
    </row>
    <row r="1133" spans="1:13" s="33" customFormat="1">
      <c r="A1133" s="71"/>
      <c r="B1133" s="3"/>
      <c r="C1133" s="3"/>
      <c r="D1133" s="3"/>
      <c r="E1133" s="3"/>
      <c r="F1133" s="3"/>
      <c r="G1133" s="3"/>
      <c r="H1133" s="3"/>
      <c r="I1133" s="3"/>
      <c r="J1133" s="3"/>
      <c r="K1133" s="3"/>
      <c r="L1133" s="3"/>
      <c r="M1133" s="3"/>
    </row>
    <row r="1134" spans="1:13" s="33" customFormat="1">
      <c r="A1134" s="71"/>
      <c r="B1134" s="3"/>
      <c r="C1134" s="3"/>
      <c r="D1134" s="3"/>
      <c r="E1134" s="3"/>
      <c r="F1134" s="3"/>
      <c r="G1134" s="3"/>
      <c r="H1134" s="3"/>
      <c r="I1134" s="3"/>
      <c r="J1134" s="3"/>
      <c r="K1134" s="3"/>
      <c r="L1134" s="3"/>
      <c r="M1134" s="3"/>
    </row>
    <row r="1135" spans="1:13" s="33" customFormat="1">
      <c r="A1135" s="71"/>
      <c r="B1135" s="3"/>
      <c r="C1135" s="3"/>
      <c r="D1135" s="3"/>
      <c r="E1135" s="3"/>
      <c r="F1135" s="3"/>
      <c r="G1135" s="3"/>
      <c r="H1135" s="3"/>
      <c r="I1135" s="3"/>
      <c r="J1135" s="3"/>
      <c r="K1135" s="3"/>
      <c r="L1135" s="3"/>
      <c r="M1135" s="3"/>
    </row>
    <row r="1136" spans="1:13" s="33" customFormat="1">
      <c r="A1136" s="71"/>
      <c r="B1136" s="3"/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M1136" s="3"/>
    </row>
    <row r="1137" spans="1:13" s="33" customFormat="1">
      <c r="A1137" s="71"/>
      <c r="B1137" s="3"/>
      <c r="C1137" s="3"/>
      <c r="D1137" s="3"/>
      <c r="E1137" s="3"/>
      <c r="F1137" s="3"/>
      <c r="G1137" s="3"/>
      <c r="H1137" s="3"/>
      <c r="I1137" s="3"/>
      <c r="J1137" s="3"/>
      <c r="K1137" s="3"/>
      <c r="L1137" s="3"/>
      <c r="M1137" s="3"/>
    </row>
    <row r="1138" spans="1:13" s="33" customFormat="1">
      <c r="A1138" s="71"/>
      <c r="B1138" s="3"/>
      <c r="C1138" s="3"/>
      <c r="D1138" s="3"/>
      <c r="E1138" s="3"/>
      <c r="F1138" s="3"/>
      <c r="G1138" s="3"/>
      <c r="H1138" s="3"/>
      <c r="I1138" s="3"/>
      <c r="J1138" s="3"/>
      <c r="K1138" s="3"/>
      <c r="L1138" s="3"/>
      <c r="M1138" s="3"/>
    </row>
    <row r="1139" spans="1:13" s="33" customFormat="1">
      <c r="A1139" s="71"/>
      <c r="B1139" s="3"/>
      <c r="C1139" s="3"/>
      <c r="D1139" s="3"/>
      <c r="E1139" s="3"/>
      <c r="F1139" s="3"/>
      <c r="G1139" s="3"/>
      <c r="H1139" s="3"/>
      <c r="I1139" s="3"/>
      <c r="J1139" s="3"/>
      <c r="K1139" s="3"/>
      <c r="L1139" s="3"/>
      <c r="M1139" s="3"/>
    </row>
    <row r="1140" spans="1:13" s="33" customFormat="1">
      <c r="A1140" s="71"/>
      <c r="B1140" s="3"/>
      <c r="C1140" s="3"/>
      <c r="D1140" s="3"/>
      <c r="E1140" s="3"/>
      <c r="F1140" s="3"/>
      <c r="G1140" s="3"/>
      <c r="H1140" s="3"/>
      <c r="I1140" s="3"/>
      <c r="J1140" s="3"/>
      <c r="K1140" s="3"/>
      <c r="L1140" s="3"/>
      <c r="M1140" s="3"/>
    </row>
    <row r="1141" spans="1:13" s="33" customFormat="1">
      <c r="A1141" s="71"/>
      <c r="B1141" s="3"/>
      <c r="C1141" s="3"/>
      <c r="D1141" s="3"/>
      <c r="E1141" s="3"/>
      <c r="F1141" s="3"/>
      <c r="G1141" s="3"/>
      <c r="H1141" s="3"/>
      <c r="I1141" s="3"/>
      <c r="J1141" s="3"/>
      <c r="K1141" s="3"/>
      <c r="L1141" s="3"/>
      <c r="M1141" s="3"/>
    </row>
    <row r="1142" spans="1:13" s="33" customFormat="1">
      <c r="A1142" s="71"/>
      <c r="B1142" s="3"/>
      <c r="C1142" s="3"/>
      <c r="D1142" s="3"/>
      <c r="E1142" s="3"/>
      <c r="F1142" s="3"/>
      <c r="G1142" s="3"/>
      <c r="H1142" s="3"/>
      <c r="I1142" s="3"/>
      <c r="J1142" s="3"/>
      <c r="K1142" s="3"/>
      <c r="L1142" s="3"/>
      <c r="M1142" s="3"/>
    </row>
    <row r="1143" spans="1:13" s="33" customFormat="1">
      <c r="A1143" s="71"/>
      <c r="B1143" s="3"/>
      <c r="C1143" s="3"/>
      <c r="D1143" s="3"/>
      <c r="E1143" s="3"/>
      <c r="F1143" s="3"/>
      <c r="G1143" s="3"/>
      <c r="H1143" s="3"/>
      <c r="I1143" s="3"/>
      <c r="J1143" s="3"/>
      <c r="K1143" s="3"/>
      <c r="L1143" s="3"/>
      <c r="M1143" s="3"/>
    </row>
    <row r="1144" spans="1:13" s="33" customFormat="1">
      <c r="A1144" s="71"/>
      <c r="B1144" s="3"/>
      <c r="C1144" s="3"/>
      <c r="D1144" s="3"/>
      <c r="E1144" s="3"/>
      <c r="F1144" s="3"/>
      <c r="G1144" s="3"/>
      <c r="H1144" s="3"/>
      <c r="I1144" s="3"/>
      <c r="J1144" s="3"/>
      <c r="K1144" s="3"/>
      <c r="L1144" s="3"/>
      <c r="M1144" s="3"/>
    </row>
    <row r="1145" spans="1:13" s="33" customFormat="1">
      <c r="A1145" s="71"/>
      <c r="B1145" s="3"/>
      <c r="C1145" s="3"/>
      <c r="D1145" s="3"/>
      <c r="E1145" s="3"/>
      <c r="F1145" s="3"/>
      <c r="G1145" s="3"/>
      <c r="H1145" s="3"/>
      <c r="I1145" s="3"/>
      <c r="J1145" s="3"/>
      <c r="K1145" s="3"/>
      <c r="L1145" s="3"/>
      <c r="M1145" s="3"/>
    </row>
    <row r="1146" spans="1:13" s="33" customFormat="1">
      <c r="A1146" s="71"/>
      <c r="B1146" s="3"/>
      <c r="C1146" s="3"/>
      <c r="D1146" s="3"/>
      <c r="E1146" s="3"/>
      <c r="F1146" s="3"/>
      <c r="G1146" s="3"/>
      <c r="H1146" s="3"/>
      <c r="I1146" s="3"/>
      <c r="J1146" s="3"/>
      <c r="K1146" s="3"/>
      <c r="L1146" s="3"/>
      <c r="M1146" s="3"/>
    </row>
    <row r="1147" spans="1:13" s="33" customFormat="1">
      <c r="A1147" s="71"/>
      <c r="B1147" s="3"/>
      <c r="C1147" s="3"/>
      <c r="D1147" s="3"/>
      <c r="E1147" s="3"/>
      <c r="F1147" s="3"/>
      <c r="G1147" s="3"/>
      <c r="H1147" s="3"/>
      <c r="I1147" s="3"/>
      <c r="J1147" s="3"/>
      <c r="K1147" s="3"/>
      <c r="L1147" s="3"/>
      <c r="M1147" s="3"/>
    </row>
    <row r="1148" spans="1:13" s="33" customFormat="1">
      <c r="A1148" s="71"/>
      <c r="B1148" s="3"/>
      <c r="C1148" s="3"/>
      <c r="D1148" s="3"/>
      <c r="E1148" s="3"/>
      <c r="F1148" s="3"/>
      <c r="G1148" s="3"/>
      <c r="H1148" s="3"/>
      <c r="I1148" s="3"/>
      <c r="J1148" s="3"/>
      <c r="K1148" s="3"/>
      <c r="L1148" s="3"/>
      <c r="M1148" s="3"/>
    </row>
    <row r="1149" spans="1:13" s="33" customFormat="1">
      <c r="A1149" s="71"/>
      <c r="B1149" s="3"/>
      <c r="C1149" s="3"/>
      <c r="D1149" s="3"/>
      <c r="E1149" s="3"/>
      <c r="F1149" s="3"/>
      <c r="G1149" s="3"/>
      <c r="H1149" s="3"/>
      <c r="I1149" s="3"/>
      <c r="J1149" s="3"/>
      <c r="K1149" s="3"/>
      <c r="L1149" s="3"/>
      <c r="M1149" s="3"/>
    </row>
    <row r="1150" spans="1:13" s="33" customFormat="1">
      <c r="A1150" s="71"/>
      <c r="B1150" s="3"/>
      <c r="C1150" s="3"/>
      <c r="D1150" s="3"/>
      <c r="E1150" s="3"/>
      <c r="F1150" s="3"/>
      <c r="G1150" s="3"/>
      <c r="H1150" s="3"/>
      <c r="I1150" s="3"/>
      <c r="J1150" s="3"/>
      <c r="K1150" s="3"/>
      <c r="L1150" s="3"/>
      <c r="M1150" s="3"/>
    </row>
    <row r="1151" spans="1:13" s="33" customFormat="1">
      <c r="A1151" s="71"/>
      <c r="B1151" s="3"/>
      <c r="C1151" s="3"/>
      <c r="D1151" s="3"/>
      <c r="E1151" s="3"/>
      <c r="F1151" s="3"/>
      <c r="G1151" s="3"/>
      <c r="H1151" s="3"/>
      <c r="I1151" s="3"/>
      <c r="J1151" s="3"/>
      <c r="K1151" s="3"/>
      <c r="L1151" s="3"/>
      <c r="M1151" s="3"/>
    </row>
    <row r="1152" spans="1:13" s="33" customFormat="1">
      <c r="A1152" s="71"/>
      <c r="B1152" s="3"/>
      <c r="C1152" s="3"/>
      <c r="D1152" s="3"/>
      <c r="E1152" s="3"/>
      <c r="F1152" s="3"/>
      <c r="G1152" s="3"/>
      <c r="H1152" s="3"/>
      <c r="I1152" s="3"/>
      <c r="J1152" s="3"/>
      <c r="K1152" s="3"/>
      <c r="L1152" s="3"/>
      <c r="M1152" s="3"/>
    </row>
    <row r="1153" spans="1:13" s="33" customFormat="1">
      <c r="A1153" s="71"/>
      <c r="B1153" s="3"/>
      <c r="C1153" s="3"/>
      <c r="D1153" s="3"/>
      <c r="E1153" s="3"/>
      <c r="F1153" s="3"/>
      <c r="G1153" s="3"/>
      <c r="H1153" s="3"/>
      <c r="I1153" s="3"/>
      <c r="J1153" s="3"/>
      <c r="K1153" s="3"/>
      <c r="L1153" s="3"/>
      <c r="M1153" s="3"/>
    </row>
    <row r="1154" spans="1:13" s="33" customFormat="1">
      <c r="A1154" s="71"/>
      <c r="B1154" s="3"/>
      <c r="C1154" s="3"/>
      <c r="D1154" s="3"/>
      <c r="E1154" s="3"/>
      <c r="F1154" s="3"/>
      <c r="G1154" s="3"/>
      <c r="H1154" s="3"/>
      <c r="I1154" s="3"/>
      <c r="J1154" s="3"/>
      <c r="K1154" s="3"/>
      <c r="L1154" s="3"/>
      <c r="M1154" s="3"/>
    </row>
    <row r="1155" spans="1:13" s="33" customFormat="1">
      <c r="A1155" s="71"/>
      <c r="B1155" s="3"/>
      <c r="C1155" s="3"/>
      <c r="D1155" s="3"/>
      <c r="E1155" s="3"/>
      <c r="F1155" s="3"/>
      <c r="G1155" s="3"/>
      <c r="H1155" s="3"/>
      <c r="I1155" s="3"/>
      <c r="J1155" s="3"/>
      <c r="K1155" s="3"/>
      <c r="L1155" s="3"/>
      <c r="M1155" s="3"/>
    </row>
    <row r="1156" spans="1:13" s="33" customFormat="1">
      <c r="A1156" s="71"/>
      <c r="B1156" s="3"/>
      <c r="C1156" s="3"/>
      <c r="D1156" s="3"/>
      <c r="E1156" s="3"/>
      <c r="F1156" s="3"/>
      <c r="G1156" s="3"/>
      <c r="H1156" s="3"/>
      <c r="I1156" s="3"/>
      <c r="J1156" s="3"/>
      <c r="K1156" s="3"/>
      <c r="L1156" s="3"/>
      <c r="M1156" s="3"/>
    </row>
    <row r="1157" spans="1:13" s="33" customFormat="1">
      <c r="A1157" s="71"/>
      <c r="B1157" s="3"/>
      <c r="C1157" s="3"/>
      <c r="D1157" s="3"/>
      <c r="E1157" s="3"/>
      <c r="F1157" s="3"/>
      <c r="G1157" s="3"/>
      <c r="H1157" s="3"/>
      <c r="I1157" s="3"/>
      <c r="J1157" s="3"/>
      <c r="K1157" s="3"/>
      <c r="L1157" s="3"/>
      <c r="M1157" s="3"/>
    </row>
    <row r="1158" spans="1:13" s="33" customFormat="1">
      <c r="A1158" s="71"/>
      <c r="B1158" s="3"/>
      <c r="C1158" s="3"/>
      <c r="D1158" s="3"/>
      <c r="E1158" s="3"/>
      <c r="F1158" s="3"/>
      <c r="G1158" s="3"/>
      <c r="H1158" s="3"/>
      <c r="I1158" s="3"/>
      <c r="J1158" s="3"/>
      <c r="K1158" s="3"/>
      <c r="L1158" s="3"/>
      <c r="M1158" s="3"/>
    </row>
    <row r="1159" spans="1:13" s="33" customFormat="1">
      <c r="A1159" s="71"/>
      <c r="B1159" s="3"/>
      <c r="C1159" s="3"/>
      <c r="D1159" s="3"/>
      <c r="E1159" s="3"/>
      <c r="F1159" s="3"/>
      <c r="G1159" s="3"/>
      <c r="H1159" s="3"/>
      <c r="I1159" s="3"/>
      <c r="J1159" s="3"/>
      <c r="K1159" s="3"/>
      <c r="L1159" s="3"/>
      <c r="M1159" s="3"/>
    </row>
    <row r="1160" spans="1:13" s="33" customFormat="1">
      <c r="A1160" s="71"/>
      <c r="B1160" s="3"/>
      <c r="C1160" s="3"/>
      <c r="D1160" s="3"/>
      <c r="E1160" s="3"/>
      <c r="F1160" s="3"/>
      <c r="G1160" s="3"/>
      <c r="H1160" s="3"/>
      <c r="I1160" s="3"/>
      <c r="J1160" s="3"/>
      <c r="K1160" s="3"/>
      <c r="L1160" s="3"/>
      <c r="M1160" s="3"/>
    </row>
    <row r="1161" spans="1:13" s="33" customFormat="1">
      <c r="A1161" s="71"/>
      <c r="B1161" s="3"/>
      <c r="C1161" s="3"/>
      <c r="D1161" s="3"/>
      <c r="E1161" s="3"/>
      <c r="F1161" s="3"/>
      <c r="G1161" s="3"/>
      <c r="H1161" s="3"/>
      <c r="I1161" s="3"/>
      <c r="J1161" s="3"/>
      <c r="K1161" s="3"/>
      <c r="L1161" s="3"/>
      <c r="M1161" s="3"/>
    </row>
    <row r="1162" spans="1:13" s="33" customFormat="1">
      <c r="A1162" s="71"/>
      <c r="B1162" s="3"/>
      <c r="C1162" s="3"/>
      <c r="D1162" s="3"/>
      <c r="E1162" s="3"/>
      <c r="F1162" s="3"/>
      <c r="G1162" s="3"/>
      <c r="H1162" s="3"/>
      <c r="I1162" s="3"/>
      <c r="J1162" s="3"/>
      <c r="K1162" s="3"/>
      <c r="L1162" s="3"/>
      <c r="M1162" s="3"/>
    </row>
    <row r="1163" spans="1:13" s="33" customFormat="1">
      <c r="A1163" s="71"/>
      <c r="B1163" s="3"/>
      <c r="C1163" s="3"/>
      <c r="D1163" s="3"/>
      <c r="E1163" s="3"/>
      <c r="F1163" s="3"/>
      <c r="G1163" s="3"/>
      <c r="H1163" s="3"/>
      <c r="I1163" s="3"/>
      <c r="J1163" s="3"/>
      <c r="K1163" s="3"/>
      <c r="L1163" s="3"/>
      <c r="M1163" s="3"/>
    </row>
    <row r="1164" spans="1:13" s="33" customFormat="1">
      <c r="A1164" s="71"/>
      <c r="B1164" s="3"/>
      <c r="C1164" s="3"/>
      <c r="D1164" s="3"/>
      <c r="E1164" s="3"/>
      <c r="F1164" s="3"/>
      <c r="G1164" s="3"/>
      <c r="H1164" s="3"/>
      <c r="I1164" s="3"/>
      <c r="J1164" s="3"/>
      <c r="K1164" s="3"/>
      <c r="L1164" s="3"/>
      <c r="M1164" s="3"/>
    </row>
    <row r="1165" spans="1:13" s="33" customFormat="1">
      <c r="A1165" s="71"/>
      <c r="B1165" s="3"/>
      <c r="C1165" s="3"/>
      <c r="D1165" s="3"/>
      <c r="E1165" s="3"/>
      <c r="F1165" s="3"/>
      <c r="G1165" s="3"/>
      <c r="H1165" s="3"/>
      <c r="I1165" s="3"/>
      <c r="J1165" s="3"/>
      <c r="K1165" s="3"/>
      <c r="L1165" s="3"/>
      <c r="M1165" s="3"/>
    </row>
    <row r="1166" spans="1:13" s="33" customFormat="1">
      <c r="A1166" s="71"/>
      <c r="B1166" s="3"/>
      <c r="C1166" s="3"/>
      <c r="D1166" s="3"/>
      <c r="E1166" s="3"/>
      <c r="F1166" s="3"/>
      <c r="G1166" s="3"/>
      <c r="H1166" s="3"/>
      <c r="I1166" s="3"/>
      <c r="J1166" s="3"/>
      <c r="K1166" s="3"/>
      <c r="L1166" s="3"/>
      <c r="M1166" s="3"/>
    </row>
    <row r="1167" spans="1:13" s="33" customFormat="1">
      <c r="A1167" s="71"/>
      <c r="B1167" s="3"/>
      <c r="C1167" s="3"/>
      <c r="D1167" s="3"/>
      <c r="E1167" s="3"/>
      <c r="F1167" s="3"/>
      <c r="G1167" s="3"/>
      <c r="H1167" s="3"/>
      <c r="I1167" s="3"/>
      <c r="J1167" s="3"/>
      <c r="K1167" s="3"/>
      <c r="L1167" s="3"/>
      <c r="M1167" s="3"/>
    </row>
    <row r="1168" spans="1:13" s="33" customFormat="1">
      <c r="A1168" s="71"/>
      <c r="B1168" s="3"/>
      <c r="C1168" s="3"/>
      <c r="D1168" s="3"/>
      <c r="E1168" s="3"/>
      <c r="F1168" s="3"/>
      <c r="G1168" s="3"/>
      <c r="H1168" s="3"/>
      <c r="I1168" s="3"/>
      <c r="J1168" s="3"/>
      <c r="K1168" s="3"/>
      <c r="L1168" s="3"/>
      <c r="M1168" s="3"/>
    </row>
    <row r="1169" spans="1:13" s="33" customFormat="1">
      <c r="A1169" s="71"/>
      <c r="B1169" s="3"/>
      <c r="C1169" s="3"/>
      <c r="D1169" s="3"/>
      <c r="E1169" s="3"/>
      <c r="F1169" s="3"/>
      <c r="G1169" s="3"/>
      <c r="H1169" s="3"/>
      <c r="I1169" s="3"/>
      <c r="J1169" s="3"/>
      <c r="K1169" s="3"/>
      <c r="L1169" s="3"/>
      <c r="M1169" s="3"/>
    </row>
    <row r="1170" spans="1:13" s="33" customFormat="1">
      <c r="A1170" s="71"/>
      <c r="B1170" s="3"/>
      <c r="C1170" s="3"/>
      <c r="D1170" s="3"/>
      <c r="E1170" s="3"/>
      <c r="F1170" s="3"/>
      <c r="G1170" s="3"/>
      <c r="H1170" s="3"/>
      <c r="I1170" s="3"/>
      <c r="J1170" s="3"/>
      <c r="K1170" s="3"/>
      <c r="L1170" s="3"/>
      <c r="M1170" s="3"/>
    </row>
    <row r="1171" spans="1:13" s="33" customFormat="1">
      <c r="A1171" s="71"/>
      <c r="B1171" s="3"/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3"/>
    </row>
    <row r="1172" spans="1:13" s="33" customFormat="1">
      <c r="A1172" s="71"/>
      <c r="B1172" s="3"/>
      <c r="C1172" s="3"/>
      <c r="D1172" s="3"/>
      <c r="E1172" s="3"/>
      <c r="F1172" s="3"/>
      <c r="G1172" s="3"/>
      <c r="H1172" s="3"/>
      <c r="I1172" s="3"/>
      <c r="J1172" s="3"/>
      <c r="K1172" s="3"/>
      <c r="L1172" s="3"/>
      <c r="M1172" s="3"/>
    </row>
    <row r="1173" spans="1:13" s="33" customFormat="1">
      <c r="A1173" s="71"/>
      <c r="B1173" s="3"/>
      <c r="C1173" s="3"/>
      <c r="D1173" s="3"/>
      <c r="E1173" s="3"/>
      <c r="F1173" s="3"/>
      <c r="G1173" s="3"/>
      <c r="H1173" s="3"/>
      <c r="I1173" s="3"/>
      <c r="J1173" s="3"/>
      <c r="K1173" s="3"/>
      <c r="L1173" s="3"/>
      <c r="M1173" s="3"/>
    </row>
    <row r="1174" spans="1:13" s="33" customFormat="1">
      <c r="A1174" s="71"/>
      <c r="B1174" s="3"/>
      <c r="C1174" s="3"/>
      <c r="D1174" s="3"/>
      <c r="E1174" s="3"/>
      <c r="F1174" s="3"/>
      <c r="G1174" s="3"/>
      <c r="H1174" s="3"/>
      <c r="I1174" s="3"/>
      <c r="J1174" s="3"/>
      <c r="K1174" s="3"/>
      <c r="L1174" s="3"/>
      <c r="M1174" s="3"/>
    </row>
    <row r="1175" spans="1:13" s="33" customFormat="1">
      <c r="A1175" s="71"/>
      <c r="B1175" s="3"/>
      <c r="C1175" s="3"/>
      <c r="D1175" s="3"/>
      <c r="E1175" s="3"/>
      <c r="F1175" s="3"/>
      <c r="G1175" s="3"/>
      <c r="H1175" s="3"/>
      <c r="I1175" s="3"/>
      <c r="J1175" s="3"/>
      <c r="K1175" s="3"/>
      <c r="L1175" s="3"/>
      <c r="M1175" s="3"/>
    </row>
    <row r="1176" spans="1:13" s="33" customFormat="1">
      <c r="A1176" s="71"/>
      <c r="B1176" s="3"/>
      <c r="C1176" s="3"/>
      <c r="D1176" s="3"/>
      <c r="E1176" s="3"/>
      <c r="F1176" s="3"/>
      <c r="G1176" s="3"/>
      <c r="H1176" s="3"/>
      <c r="I1176" s="3"/>
      <c r="J1176" s="3"/>
      <c r="K1176" s="3"/>
      <c r="L1176" s="3"/>
      <c r="M1176" s="3"/>
    </row>
    <row r="1177" spans="1:13" s="33" customFormat="1">
      <c r="A1177" s="71"/>
      <c r="B1177" s="3"/>
      <c r="C1177" s="3"/>
      <c r="D1177" s="3"/>
      <c r="E1177" s="3"/>
      <c r="F1177" s="3"/>
      <c r="G1177" s="3"/>
      <c r="H1177" s="3"/>
      <c r="I1177" s="3"/>
      <c r="J1177" s="3"/>
      <c r="K1177" s="3"/>
      <c r="L1177" s="3"/>
      <c r="M1177" s="3"/>
    </row>
    <row r="1178" spans="1:13" s="33" customFormat="1">
      <c r="A1178" s="71"/>
      <c r="B1178" s="3"/>
      <c r="C1178" s="3"/>
      <c r="D1178" s="3"/>
      <c r="E1178" s="3"/>
      <c r="F1178" s="3"/>
      <c r="G1178" s="3"/>
      <c r="H1178" s="3"/>
      <c r="I1178" s="3"/>
      <c r="J1178" s="3"/>
      <c r="K1178" s="3"/>
      <c r="L1178" s="3"/>
      <c r="M1178" s="3"/>
    </row>
    <row r="1179" spans="1:13" s="33" customFormat="1">
      <c r="A1179" s="71"/>
      <c r="B1179" s="3"/>
      <c r="C1179" s="3"/>
      <c r="D1179" s="3"/>
      <c r="E1179" s="3"/>
      <c r="F1179" s="3"/>
      <c r="G1179" s="3"/>
      <c r="H1179" s="3"/>
      <c r="I1179" s="3"/>
      <c r="J1179" s="3"/>
      <c r="K1179" s="3"/>
      <c r="L1179" s="3"/>
      <c r="M1179" s="3"/>
    </row>
    <row r="1180" spans="1:13" s="33" customFormat="1">
      <c r="A1180" s="71"/>
      <c r="B1180" s="3"/>
      <c r="C1180" s="3"/>
      <c r="D1180" s="3"/>
      <c r="E1180" s="3"/>
      <c r="F1180" s="3"/>
      <c r="G1180" s="3"/>
      <c r="H1180" s="3"/>
      <c r="I1180" s="3"/>
      <c r="J1180" s="3"/>
      <c r="K1180" s="3"/>
      <c r="L1180" s="3"/>
      <c r="M1180" s="3"/>
    </row>
    <row r="1181" spans="1:13" s="33" customFormat="1">
      <c r="A1181" s="71"/>
      <c r="B1181" s="3"/>
      <c r="C1181" s="3"/>
      <c r="D1181" s="3"/>
      <c r="E1181" s="3"/>
      <c r="F1181" s="3"/>
      <c r="G1181" s="3"/>
      <c r="H1181" s="3"/>
      <c r="I1181" s="3"/>
      <c r="J1181" s="3"/>
      <c r="K1181" s="3"/>
      <c r="L1181" s="3"/>
      <c r="M1181" s="3"/>
    </row>
    <row r="1182" spans="1:13" s="33" customFormat="1">
      <c r="A1182" s="71"/>
      <c r="B1182" s="3"/>
      <c r="C1182" s="3"/>
      <c r="D1182" s="3"/>
      <c r="E1182" s="3"/>
      <c r="F1182" s="3"/>
      <c r="G1182" s="3"/>
      <c r="H1182" s="3"/>
      <c r="I1182" s="3"/>
      <c r="J1182" s="3"/>
      <c r="K1182" s="3"/>
      <c r="L1182" s="3"/>
      <c r="M1182" s="3"/>
    </row>
    <row r="1183" spans="1:13" s="33" customFormat="1">
      <c r="A1183" s="71"/>
      <c r="B1183" s="3"/>
      <c r="C1183" s="3"/>
      <c r="D1183" s="3"/>
      <c r="E1183" s="3"/>
      <c r="F1183" s="3"/>
      <c r="G1183" s="3"/>
      <c r="H1183" s="3"/>
      <c r="I1183" s="3"/>
      <c r="J1183" s="3"/>
      <c r="K1183" s="3"/>
      <c r="L1183" s="3"/>
      <c r="M1183" s="3"/>
    </row>
    <row r="1184" spans="1:13" s="33" customFormat="1">
      <c r="A1184" s="71"/>
      <c r="B1184" s="3"/>
      <c r="C1184" s="3"/>
      <c r="D1184" s="3"/>
      <c r="E1184" s="3"/>
      <c r="F1184" s="3"/>
      <c r="G1184" s="3"/>
      <c r="H1184" s="3"/>
      <c r="I1184" s="3"/>
      <c r="J1184" s="3"/>
      <c r="K1184" s="3"/>
      <c r="L1184" s="3"/>
      <c r="M1184" s="3"/>
    </row>
    <row r="1185" spans="1:13" s="33" customFormat="1">
      <c r="A1185" s="71"/>
      <c r="B1185" s="3"/>
      <c r="C1185" s="3"/>
      <c r="D1185" s="3"/>
      <c r="E1185" s="3"/>
      <c r="F1185" s="3"/>
      <c r="G1185" s="3"/>
      <c r="H1185" s="3"/>
      <c r="I1185" s="3"/>
      <c r="J1185" s="3"/>
      <c r="K1185" s="3"/>
      <c r="L1185" s="3"/>
      <c r="M1185" s="3"/>
    </row>
    <row r="1186" spans="1:13" s="33" customFormat="1">
      <c r="A1186" s="71"/>
      <c r="B1186" s="3"/>
      <c r="C1186" s="3"/>
      <c r="D1186" s="3"/>
      <c r="E1186" s="3"/>
      <c r="F1186" s="3"/>
      <c r="G1186" s="3"/>
      <c r="H1186" s="3"/>
      <c r="I1186" s="3"/>
      <c r="J1186" s="3"/>
      <c r="K1186" s="3"/>
      <c r="L1186" s="3"/>
      <c r="M1186" s="3"/>
    </row>
    <row r="1187" spans="1:13" s="33" customFormat="1">
      <c r="A1187" s="71"/>
      <c r="B1187" s="3"/>
      <c r="C1187" s="3"/>
      <c r="D1187" s="3"/>
      <c r="E1187" s="3"/>
      <c r="F1187" s="3"/>
      <c r="G1187" s="3"/>
      <c r="H1187" s="3"/>
      <c r="I1187" s="3"/>
      <c r="J1187" s="3"/>
      <c r="K1187" s="3"/>
      <c r="L1187" s="3"/>
      <c r="M1187" s="3"/>
    </row>
    <row r="1188" spans="1:13" s="33" customFormat="1">
      <c r="A1188" s="71"/>
      <c r="B1188" s="3"/>
      <c r="C1188" s="3"/>
      <c r="D1188" s="3"/>
      <c r="E1188" s="3"/>
      <c r="F1188" s="3"/>
      <c r="G1188" s="3"/>
      <c r="H1188" s="3"/>
      <c r="I1188" s="3"/>
      <c r="J1188" s="3"/>
      <c r="K1188" s="3"/>
      <c r="L1188" s="3"/>
      <c r="M1188" s="3"/>
    </row>
    <row r="1189" spans="1:13" s="33" customFormat="1">
      <c r="A1189" s="71"/>
      <c r="B1189" s="3"/>
      <c r="C1189" s="3"/>
      <c r="D1189" s="3"/>
      <c r="E1189" s="3"/>
      <c r="F1189" s="3"/>
      <c r="G1189" s="3"/>
      <c r="H1189" s="3"/>
      <c r="I1189" s="3"/>
      <c r="J1189" s="3"/>
      <c r="K1189" s="3"/>
      <c r="L1189" s="3"/>
      <c r="M1189" s="3"/>
    </row>
    <row r="1190" spans="1:13" s="33" customFormat="1">
      <c r="A1190" s="71"/>
      <c r="B1190" s="3"/>
      <c r="C1190" s="3"/>
      <c r="D1190" s="3"/>
      <c r="E1190" s="3"/>
      <c r="F1190" s="3"/>
      <c r="G1190" s="3"/>
      <c r="H1190" s="3"/>
      <c r="I1190" s="3"/>
      <c r="J1190" s="3"/>
      <c r="K1190" s="3"/>
      <c r="L1190" s="3"/>
      <c r="M1190" s="3"/>
    </row>
    <row r="1191" spans="1:13" s="33" customFormat="1">
      <c r="A1191" s="71"/>
      <c r="B1191" s="3"/>
      <c r="C1191" s="3"/>
      <c r="D1191" s="3"/>
      <c r="E1191" s="3"/>
      <c r="F1191" s="3"/>
      <c r="G1191" s="3"/>
      <c r="H1191" s="3"/>
      <c r="I1191" s="3"/>
      <c r="J1191" s="3"/>
      <c r="K1191" s="3"/>
      <c r="L1191" s="3"/>
      <c r="M1191" s="3"/>
    </row>
    <row r="1192" spans="1:13" s="33" customFormat="1">
      <c r="A1192" s="71"/>
      <c r="B1192" s="3"/>
      <c r="C1192" s="3"/>
      <c r="D1192" s="3"/>
      <c r="E1192" s="3"/>
      <c r="F1192" s="3"/>
      <c r="G1192" s="3"/>
      <c r="H1192" s="3"/>
      <c r="I1192" s="3"/>
      <c r="J1192" s="3"/>
      <c r="K1192" s="3"/>
      <c r="L1192" s="3"/>
      <c r="M1192" s="3"/>
    </row>
    <row r="1193" spans="1:13" s="33" customFormat="1">
      <c r="A1193" s="71"/>
      <c r="B1193" s="3"/>
      <c r="C1193" s="3"/>
      <c r="D1193" s="3"/>
      <c r="E1193" s="3"/>
      <c r="F1193" s="3"/>
      <c r="G1193" s="3"/>
      <c r="H1193" s="3"/>
      <c r="I1193" s="3"/>
      <c r="J1193" s="3"/>
      <c r="K1193" s="3"/>
      <c r="L1193" s="3"/>
      <c r="M1193" s="3"/>
    </row>
    <row r="1194" spans="1:13" s="33" customFormat="1">
      <c r="A1194" s="71"/>
      <c r="B1194" s="3"/>
      <c r="C1194" s="3"/>
      <c r="D1194" s="3"/>
      <c r="E1194" s="3"/>
      <c r="F1194" s="3"/>
      <c r="G1194" s="3"/>
      <c r="H1194" s="3"/>
      <c r="I1194" s="3"/>
      <c r="J1194" s="3"/>
      <c r="K1194" s="3"/>
      <c r="L1194" s="3"/>
      <c r="M1194" s="3"/>
    </row>
    <row r="1195" spans="1:13" s="33" customFormat="1">
      <c r="A1195" s="71"/>
      <c r="B1195" s="3"/>
      <c r="C1195" s="3"/>
      <c r="D1195" s="3"/>
      <c r="E1195" s="3"/>
      <c r="F1195" s="3"/>
      <c r="G1195" s="3"/>
      <c r="H1195" s="3"/>
      <c r="I1195" s="3"/>
      <c r="J1195" s="3"/>
      <c r="K1195" s="3"/>
      <c r="L1195" s="3"/>
      <c r="M1195" s="3"/>
    </row>
    <row r="1196" spans="1:13" s="33" customFormat="1">
      <c r="A1196" s="71"/>
      <c r="B1196" s="3"/>
      <c r="C1196" s="3"/>
      <c r="D1196" s="3"/>
      <c r="E1196" s="3"/>
      <c r="F1196" s="3"/>
      <c r="G1196" s="3"/>
      <c r="H1196" s="3"/>
      <c r="I1196" s="3"/>
      <c r="J1196" s="3"/>
      <c r="K1196" s="3"/>
      <c r="L1196" s="3"/>
      <c r="M1196" s="3"/>
    </row>
    <row r="1197" spans="1:13" s="33" customFormat="1">
      <c r="A1197" s="71"/>
      <c r="B1197" s="3"/>
      <c r="C1197" s="3"/>
      <c r="D1197" s="3"/>
      <c r="E1197" s="3"/>
      <c r="F1197" s="3"/>
      <c r="G1197" s="3"/>
      <c r="H1197" s="3"/>
      <c r="I1197" s="3"/>
      <c r="J1197" s="3"/>
      <c r="K1197" s="3"/>
      <c r="L1197" s="3"/>
      <c r="M1197" s="3"/>
    </row>
    <row r="1198" spans="1:13" s="33" customFormat="1">
      <c r="A1198" s="71"/>
      <c r="B1198" s="3"/>
      <c r="C1198" s="3"/>
      <c r="D1198" s="3"/>
      <c r="E1198" s="3"/>
      <c r="F1198" s="3"/>
      <c r="G1198" s="3"/>
      <c r="H1198" s="3"/>
      <c r="I1198" s="3"/>
      <c r="J1198" s="3"/>
      <c r="K1198" s="3"/>
      <c r="L1198" s="3"/>
      <c r="M1198" s="3"/>
    </row>
    <row r="1199" spans="1:13" s="33" customFormat="1">
      <c r="A1199" s="71"/>
      <c r="B1199" s="3"/>
      <c r="C1199" s="3"/>
      <c r="D1199" s="3"/>
      <c r="E1199" s="3"/>
      <c r="F1199" s="3"/>
      <c r="G1199" s="3"/>
      <c r="H1199" s="3"/>
      <c r="I1199" s="3"/>
      <c r="J1199" s="3"/>
      <c r="K1199" s="3"/>
      <c r="L1199" s="3"/>
      <c r="M1199" s="3"/>
    </row>
    <row r="1200" spans="1:13" s="33" customFormat="1">
      <c r="A1200" s="71"/>
      <c r="B1200" s="3"/>
      <c r="C1200" s="3"/>
      <c r="D1200" s="3"/>
      <c r="E1200" s="3"/>
      <c r="F1200" s="3"/>
      <c r="G1200" s="3"/>
      <c r="H1200" s="3"/>
      <c r="I1200" s="3"/>
      <c r="J1200" s="3"/>
      <c r="K1200" s="3"/>
      <c r="L1200" s="3"/>
      <c r="M1200" s="3"/>
    </row>
    <row r="1201" spans="1:13" s="33" customFormat="1">
      <c r="A1201" s="71"/>
      <c r="B1201" s="3"/>
      <c r="C1201" s="3"/>
      <c r="D1201" s="3"/>
      <c r="E1201" s="3"/>
      <c r="F1201" s="3"/>
      <c r="G1201" s="3"/>
      <c r="H1201" s="3"/>
      <c r="I1201" s="3"/>
      <c r="J1201" s="3"/>
      <c r="K1201" s="3"/>
      <c r="L1201" s="3"/>
      <c r="M1201" s="3"/>
    </row>
    <row r="1202" spans="1:13" s="33" customFormat="1">
      <c r="A1202" s="71"/>
      <c r="B1202" s="3"/>
      <c r="C1202" s="3"/>
      <c r="D1202" s="3"/>
      <c r="E1202" s="3"/>
      <c r="F1202" s="3"/>
      <c r="G1202" s="3"/>
      <c r="H1202" s="3"/>
      <c r="I1202" s="3"/>
      <c r="J1202" s="3"/>
      <c r="K1202" s="3"/>
      <c r="L1202" s="3"/>
      <c r="M1202" s="3"/>
    </row>
    <row r="1203" spans="1:13" s="33" customFormat="1">
      <c r="A1203" s="71"/>
      <c r="B1203" s="3"/>
      <c r="C1203" s="3"/>
      <c r="D1203" s="3"/>
      <c r="E1203" s="3"/>
      <c r="F1203" s="3"/>
      <c r="G1203" s="3"/>
      <c r="H1203" s="3"/>
      <c r="I1203" s="3"/>
      <c r="J1203" s="3"/>
      <c r="K1203" s="3"/>
      <c r="L1203" s="3"/>
      <c r="M1203" s="3"/>
    </row>
    <row r="1204" spans="1:13" s="33" customFormat="1">
      <c r="A1204" s="71"/>
      <c r="B1204" s="3"/>
      <c r="C1204" s="3"/>
      <c r="D1204" s="3"/>
      <c r="E1204" s="3"/>
      <c r="F1204" s="3"/>
      <c r="G1204" s="3"/>
      <c r="H1204" s="3"/>
      <c r="I1204" s="3"/>
      <c r="J1204" s="3"/>
      <c r="K1204" s="3"/>
      <c r="L1204" s="3"/>
      <c r="M1204" s="3"/>
    </row>
    <row r="1205" spans="1:13" s="33" customFormat="1">
      <c r="A1205" s="71"/>
      <c r="B1205" s="3"/>
      <c r="C1205" s="3"/>
      <c r="D1205" s="3"/>
      <c r="E1205" s="3"/>
      <c r="F1205" s="3"/>
      <c r="G1205" s="3"/>
      <c r="H1205" s="3"/>
      <c r="I1205" s="3"/>
      <c r="J1205" s="3"/>
      <c r="K1205" s="3"/>
      <c r="L1205" s="3"/>
      <c r="M1205" s="3"/>
    </row>
    <row r="1206" spans="1:13" s="33" customFormat="1">
      <c r="A1206" s="71"/>
      <c r="B1206" s="3"/>
      <c r="C1206" s="3"/>
      <c r="D1206" s="3"/>
      <c r="E1206" s="3"/>
      <c r="F1206" s="3"/>
      <c r="G1206" s="3"/>
      <c r="H1206" s="3"/>
      <c r="I1206" s="3"/>
      <c r="J1206" s="3"/>
      <c r="K1206" s="3"/>
      <c r="L1206" s="3"/>
      <c r="M1206" s="3"/>
    </row>
    <row r="1207" spans="1:13" s="33" customFormat="1">
      <c r="A1207" s="71"/>
      <c r="B1207" s="3"/>
      <c r="C1207" s="3"/>
      <c r="D1207" s="3"/>
      <c r="E1207" s="3"/>
      <c r="F1207" s="3"/>
      <c r="G1207" s="3"/>
      <c r="H1207" s="3"/>
      <c r="I1207" s="3"/>
      <c r="J1207" s="3"/>
      <c r="K1207" s="3"/>
      <c r="L1207" s="3"/>
      <c r="M1207" s="3"/>
    </row>
    <row r="1208" spans="1:13" s="33" customFormat="1">
      <c r="A1208" s="71"/>
      <c r="B1208" s="3"/>
      <c r="C1208" s="3"/>
      <c r="D1208" s="3"/>
      <c r="E1208" s="3"/>
      <c r="F1208" s="3"/>
      <c r="G1208" s="3"/>
      <c r="H1208" s="3"/>
      <c r="I1208" s="3"/>
      <c r="J1208" s="3"/>
      <c r="K1208" s="3"/>
      <c r="L1208" s="3"/>
      <c r="M1208" s="3"/>
    </row>
    <row r="1209" spans="1:13" s="33" customFormat="1">
      <c r="A1209" s="71"/>
      <c r="B1209" s="3"/>
      <c r="C1209" s="3"/>
      <c r="D1209" s="3"/>
      <c r="E1209" s="3"/>
      <c r="F1209" s="3"/>
      <c r="G1209" s="3"/>
      <c r="H1209" s="3"/>
      <c r="I1209" s="3"/>
      <c r="J1209" s="3"/>
      <c r="K1209" s="3"/>
      <c r="L1209" s="3"/>
      <c r="M1209" s="3"/>
    </row>
    <row r="1210" spans="1:13" s="33" customFormat="1">
      <c r="A1210" s="71"/>
      <c r="B1210" s="3"/>
      <c r="C1210" s="3"/>
      <c r="D1210" s="3"/>
      <c r="E1210" s="3"/>
      <c r="F1210" s="3"/>
      <c r="G1210" s="3"/>
      <c r="H1210" s="3"/>
      <c r="I1210" s="3"/>
      <c r="J1210" s="3"/>
      <c r="K1210" s="3"/>
      <c r="L1210" s="3"/>
      <c r="M1210" s="3"/>
    </row>
    <row r="1211" spans="1:13" s="33" customFormat="1">
      <c r="A1211" s="71"/>
      <c r="B1211" s="3"/>
      <c r="C1211" s="3"/>
      <c r="D1211" s="3"/>
      <c r="E1211" s="3"/>
      <c r="F1211" s="3"/>
      <c r="G1211" s="3"/>
      <c r="H1211" s="3"/>
      <c r="I1211" s="3"/>
      <c r="J1211" s="3"/>
      <c r="K1211" s="3"/>
      <c r="L1211" s="3"/>
      <c r="M1211" s="3"/>
    </row>
    <row r="1212" spans="1:13" s="33" customFormat="1">
      <c r="A1212" s="71"/>
      <c r="B1212" s="3"/>
      <c r="C1212" s="3"/>
      <c r="D1212" s="3"/>
      <c r="E1212" s="3"/>
      <c r="F1212" s="3"/>
      <c r="G1212" s="3"/>
      <c r="H1212" s="3"/>
      <c r="I1212" s="3"/>
      <c r="J1212" s="3"/>
      <c r="K1212" s="3"/>
      <c r="L1212" s="3"/>
      <c r="M1212" s="3"/>
    </row>
    <row r="1213" spans="1:13" s="33" customFormat="1">
      <c r="A1213" s="71"/>
      <c r="B1213" s="3"/>
      <c r="C1213" s="3"/>
      <c r="D1213" s="3"/>
      <c r="E1213" s="3"/>
      <c r="F1213" s="3"/>
      <c r="G1213" s="3"/>
      <c r="H1213" s="3"/>
      <c r="I1213" s="3"/>
      <c r="J1213" s="3"/>
      <c r="K1213" s="3"/>
      <c r="L1213" s="3"/>
      <c r="M1213" s="3"/>
    </row>
    <row r="1214" spans="1:13" s="33" customFormat="1">
      <c r="A1214" s="71"/>
      <c r="B1214" s="3"/>
      <c r="C1214" s="3"/>
      <c r="D1214" s="3"/>
      <c r="E1214" s="3"/>
      <c r="F1214" s="3"/>
      <c r="G1214" s="3"/>
      <c r="H1214" s="3"/>
      <c r="I1214" s="3"/>
      <c r="J1214" s="3"/>
      <c r="K1214" s="3"/>
      <c r="L1214" s="3"/>
      <c r="M1214" s="3"/>
    </row>
    <row r="1215" spans="1:13" s="33" customFormat="1">
      <c r="A1215" s="71"/>
      <c r="B1215" s="3"/>
      <c r="C1215" s="3"/>
      <c r="D1215" s="3"/>
      <c r="E1215" s="3"/>
      <c r="F1215" s="3"/>
      <c r="G1215" s="3"/>
      <c r="H1215" s="3"/>
      <c r="I1215" s="3"/>
      <c r="J1215" s="3"/>
      <c r="K1215" s="3"/>
      <c r="L1215" s="3"/>
      <c r="M1215" s="3"/>
    </row>
    <row r="1216" spans="1:13" s="33" customFormat="1">
      <c r="A1216" s="71"/>
      <c r="B1216" s="3"/>
      <c r="C1216" s="3"/>
      <c r="D1216" s="3"/>
      <c r="E1216" s="3"/>
      <c r="F1216" s="3"/>
      <c r="G1216" s="3"/>
      <c r="H1216" s="3"/>
      <c r="I1216" s="3"/>
      <c r="J1216" s="3"/>
      <c r="K1216" s="3"/>
      <c r="L1216" s="3"/>
      <c r="M1216" s="3"/>
    </row>
    <row r="1217" spans="1:13" s="33" customFormat="1">
      <c r="A1217" s="71"/>
      <c r="B1217" s="3"/>
      <c r="C1217" s="3"/>
      <c r="D1217" s="3"/>
      <c r="E1217" s="3"/>
      <c r="F1217" s="3"/>
      <c r="G1217" s="3"/>
      <c r="H1217" s="3"/>
      <c r="I1217" s="3"/>
      <c r="J1217" s="3"/>
      <c r="K1217" s="3"/>
      <c r="L1217" s="3"/>
      <c r="M1217" s="3"/>
    </row>
    <row r="1218" spans="1:13" s="33" customFormat="1">
      <c r="A1218" s="71"/>
      <c r="B1218" s="3"/>
      <c r="C1218" s="3"/>
      <c r="D1218" s="3"/>
      <c r="E1218" s="3"/>
      <c r="F1218" s="3"/>
      <c r="G1218" s="3"/>
      <c r="H1218" s="3"/>
      <c r="I1218" s="3"/>
      <c r="J1218" s="3"/>
      <c r="K1218" s="3"/>
      <c r="L1218" s="3"/>
      <c r="M1218" s="3"/>
    </row>
    <row r="1219" spans="1:13" s="33" customFormat="1">
      <c r="A1219" s="71"/>
      <c r="B1219" s="3"/>
      <c r="C1219" s="3"/>
      <c r="D1219" s="3"/>
      <c r="E1219" s="3"/>
      <c r="F1219" s="3"/>
      <c r="G1219" s="3"/>
      <c r="H1219" s="3"/>
      <c r="I1219" s="3"/>
      <c r="J1219" s="3"/>
      <c r="K1219" s="3"/>
      <c r="L1219" s="3"/>
      <c r="M1219" s="3"/>
    </row>
    <row r="1220" spans="1:13" s="33" customFormat="1">
      <c r="A1220" s="71"/>
      <c r="B1220" s="3"/>
      <c r="C1220" s="3"/>
      <c r="D1220" s="3"/>
      <c r="E1220" s="3"/>
      <c r="F1220" s="3"/>
      <c r="G1220" s="3"/>
      <c r="H1220" s="3"/>
      <c r="I1220" s="3"/>
      <c r="J1220" s="3"/>
      <c r="K1220" s="3"/>
      <c r="L1220" s="3"/>
      <c r="M1220" s="3"/>
    </row>
    <row r="1221" spans="1:13" s="33" customFormat="1">
      <c r="A1221" s="71"/>
      <c r="B1221" s="3"/>
      <c r="C1221" s="3"/>
      <c r="D1221" s="3"/>
      <c r="E1221" s="3"/>
      <c r="F1221" s="3"/>
      <c r="G1221" s="3"/>
      <c r="H1221" s="3"/>
      <c r="I1221" s="3"/>
      <c r="J1221" s="3"/>
      <c r="K1221" s="3"/>
      <c r="L1221" s="3"/>
      <c r="M1221" s="3"/>
    </row>
    <row r="1222" spans="1:13" s="33" customFormat="1">
      <c r="A1222" s="71"/>
      <c r="B1222" s="3"/>
      <c r="C1222" s="3"/>
      <c r="D1222" s="3"/>
      <c r="E1222" s="3"/>
      <c r="F1222" s="3"/>
      <c r="G1222" s="3"/>
      <c r="H1222" s="3"/>
      <c r="I1222" s="3"/>
      <c r="J1222" s="3"/>
      <c r="K1222" s="3"/>
      <c r="L1222" s="3"/>
      <c r="M1222" s="3"/>
    </row>
    <row r="1223" spans="1:13" s="33" customFormat="1">
      <c r="A1223" s="71"/>
      <c r="B1223" s="3"/>
      <c r="C1223" s="3"/>
      <c r="D1223" s="3"/>
      <c r="E1223" s="3"/>
      <c r="F1223" s="3"/>
      <c r="G1223" s="3"/>
      <c r="H1223" s="3"/>
      <c r="I1223" s="3"/>
      <c r="J1223" s="3"/>
      <c r="K1223" s="3"/>
      <c r="L1223" s="3"/>
      <c r="M1223" s="3"/>
    </row>
    <row r="1224" spans="1:13" s="33" customFormat="1">
      <c r="A1224" s="71"/>
      <c r="B1224" s="3"/>
      <c r="C1224" s="3"/>
      <c r="D1224" s="3"/>
      <c r="E1224" s="3"/>
      <c r="F1224" s="3"/>
      <c r="G1224" s="3"/>
      <c r="H1224" s="3"/>
      <c r="I1224" s="3"/>
      <c r="J1224" s="3"/>
      <c r="K1224" s="3"/>
      <c r="L1224" s="3"/>
      <c r="M1224" s="3"/>
    </row>
    <row r="1225" spans="1:13" s="33" customFormat="1">
      <c r="A1225" s="71"/>
      <c r="B1225" s="3"/>
      <c r="C1225" s="3"/>
      <c r="D1225" s="3"/>
      <c r="E1225" s="3"/>
      <c r="F1225" s="3"/>
      <c r="G1225" s="3"/>
      <c r="H1225" s="3"/>
      <c r="I1225" s="3"/>
      <c r="J1225" s="3"/>
      <c r="K1225" s="3"/>
      <c r="L1225" s="3"/>
      <c r="M1225" s="3"/>
    </row>
    <row r="1226" spans="1:13" s="33" customFormat="1">
      <c r="A1226" s="71"/>
      <c r="B1226" s="3"/>
      <c r="C1226" s="3"/>
      <c r="D1226" s="3"/>
      <c r="E1226" s="3"/>
      <c r="F1226" s="3"/>
      <c r="G1226" s="3"/>
      <c r="H1226" s="3"/>
      <c r="I1226" s="3"/>
      <c r="J1226" s="3"/>
      <c r="K1226" s="3"/>
      <c r="L1226" s="3"/>
      <c r="M1226" s="3"/>
    </row>
    <row r="1227" spans="1:13" s="33" customFormat="1">
      <c r="A1227" s="71"/>
      <c r="B1227" s="3"/>
      <c r="C1227" s="3"/>
      <c r="D1227" s="3"/>
      <c r="E1227" s="3"/>
      <c r="F1227" s="3"/>
      <c r="G1227" s="3"/>
      <c r="H1227" s="3"/>
      <c r="I1227" s="3"/>
      <c r="J1227" s="3"/>
      <c r="K1227" s="3"/>
      <c r="L1227" s="3"/>
      <c r="M1227" s="3"/>
    </row>
    <row r="1228" spans="1:13" s="33" customFormat="1">
      <c r="A1228" s="71"/>
      <c r="B1228" s="3"/>
      <c r="C1228" s="3"/>
      <c r="D1228" s="3"/>
      <c r="E1228" s="3"/>
      <c r="F1228" s="3"/>
      <c r="G1228" s="3"/>
      <c r="H1228" s="3"/>
      <c r="I1228" s="3"/>
      <c r="J1228" s="3"/>
      <c r="K1228" s="3"/>
      <c r="L1228" s="3"/>
      <c r="M1228" s="3"/>
    </row>
    <row r="1229" spans="1:13" s="33" customFormat="1">
      <c r="A1229" s="71"/>
      <c r="B1229" s="3"/>
      <c r="C1229" s="3"/>
      <c r="D1229" s="3"/>
      <c r="E1229" s="3"/>
      <c r="F1229" s="3"/>
      <c r="G1229" s="3"/>
      <c r="H1229" s="3"/>
      <c r="I1229" s="3"/>
      <c r="J1229" s="3"/>
      <c r="K1229" s="3"/>
      <c r="L1229" s="3"/>
      <c r="M1229" s="3"/>
    </row>
    <row r="1230" spans="1:13" s="33" customFormat="1">
      <c r="A1230" s="71"/>
      <c r="B1230" s="3"/>
      <c r="C1230" s="3"/>
      <c r="D1230" s="3"/>
      <c r="E1230" s="3"/>
      <c r="F1230" s="3"/>
      <c r="G1230" s="3"/>
      <c r="H1230" s="3"/>
      <c r="I1230" s="3"/>
      <c r="J1230" s="3"/>
      <c r="K1230" s="3"/>
      <c r="L1230" s="3"/>
      <c r="M1230" s="3"/>
    </row>
    <row r="1231" spans="1:13" s="33" customFormat="1">
      <c r="A1231" s="71"/>
      <c r="B1231" s="3"/>
      <c r="C1231" s="3"/>
      <c r="D1231" s="3"/>
      <c r="E1231" s="3"/>
      <c r="F1231" s="3"/>
      <c r="G1231" s="3"/>
      <c r="H1231" s="3"/>
      <c r="I1231" s="3"/>
      <c r="J1231" s="3"/>
      <c r="K1231" s="3"/>
      <c r="L1231" s="3"/>
      <c r="M1231" s="3"/>
    </row>
    <row r="1232" spans="1:13" s="33" customFormat="1">
      <c r="A1232" s="71"/>
      <c r="B1232" s="3"/>
      <c r="C1232" s="3"/>
      <c r="D1232" s="3"/>
      <c r="E1232" s="3"/>
      <c r="F1232" s="3"/>
      <c r="G1232" s="3"/>
      <c r="H1232" s="3"/>
      <c r="I1232" s="3"/>
      <c r="J1232" s="3"/>
      <c r="K1232" s="3"/>
      <c r="L1232" s="3"/>
      <c r="M1232" s="3"/>
    </row>
    <row r="1233" spans="1:13" s="33" customFormat="1">
      <c r="A1233" s="71"/>
      <c r="B1233" s="3"/>
      <c r="C1233" s="3"/>
      <c r="D1233" s="3"/>
      <c r="E1233" s="3"/>
      <c r="F1233" s="3"/>
      <c r="G1233" s="3"/>
      <c r="H1233" s="3"/>
      <c r="I1233" s="3"/>
      <c r="J1233" s="3"/>
      <c r="K1233" s="3"/>
      <c r="L1233" s="3"/>
      <c r="M1233" s="3"/>
    </row>
    <row r="1234" spans="1:13" s="33" customFormat="1">
      <c r="A1234" s="71"/>
      <c r="B1234" s="3"/>
      <c r="C1234" s="3"/>
      <c r="D1234" s="3"/>
      <c r="E1234" s="3"/>
      <c r="F1234" s="3"/>
      <c r="G1234" s="3"/>
      <c r="H1234" s="3"/>
      <c r="I1234" s="3"/>
      <c r="J1234" s="3"/>
      <c r="K1234" s="3"/>
      <c r="L1234" s="3"/>
      <c r="M1234" s="3"/>
    </row>
    <row r="1235" spans="1:13" s="33" customFormat="1">
      <c r="A1235" s="71"/>
      <c r="B1235" s="3"/>
      <c r="C1235" s="3"/>
      <c r="D1235" s="3"/>
      <c r="E1235" s="3"/>
      <c r="F1235" s="3"/>
      <c r="G1235" s="3"/>
      <c r="H1235" s="3"/>
      <c r="I1235" s="3"/>
      <c r="J1235" s="3"/>
      <c r="K1235" s="3"/>
      <c r="L1235" s="3"/>
      <c r="M1235" s="3"/>
    </row>
    <row r="1236" spans="1:13" s="33" customFormat="1">
      <c r="A1236" s="71"/>
      <c r="B1236" s="3"/>
      <c r="C1236" s="3"/>
      <c r="D1236" s="3"/>
      <c r="E1236" s="3"/>
      <c r="F1236" s="3"/>
      <c r="G1236" s="3"/>
      <c r="H1236" s="3"/>
      <c r="I1236" s="3"/>
      <c r="J1236" s="3"/>
      <c r="K1236" s="3"/>
      <c r="L1236" s="3"/>
      <c r="M1236" s="3"/>
    </row>
    <row r="1237" spans="1:13" s="33" customFormat="1">
      <c r="A1237" s="71"/>
      <c r="B1237" s="3"/>
      <c r="C1237" s="3"/>
      <c r="D1237" s="3"/>
      <c r="E1237" s="3"/>
      <c r="F1237" s="3"/>
      <c r="G1237" s="3"/>
      <c r="H1237" s="3"/>
      <c r="I1237" s="3"/>
      <c r="J1237" s="3"/>
      <c r="K1237" s="3"/>
      <c r="L1237" s="3"/>
      <c r="M1237" s="3"/>
    </row>
    <row r="1238" spans="1:13" s="33" customFormat="1">
      <c r="A1238" s="71"/>
      <c r="B1238" s="3"/>
      <c r="C1238" s="3"/>
      <c r="D1238" s="3"/>
      <c r="E1238" s="3"/>
      <c r="F1238" s="3"/>
      <c r="G1238" s="3"/>
      <c r="H1238" s="3"/>
      <c r="I1238" s="3"/>
      <c r="J1238" s="3"/>
      <c r="K1238" s="3"/>
      <c r="L1238" s="3"/>
      <c r="M1238" s="3"/>
    </row>
    <row r="1239" spans="1:13" s="33" customFormat="1">
      <c r="A1239" s="71"/>
      <c r="B1239" s="3"/>
      <c r="C1239" s="3"/>
      <c r="D1239" s="3"/>
      <c r="E1239" s="3"/>
      <c r="F1239" s="3"/>
      <c r="G1239" s="3"/>
      <c r="H1239" s="3"/>
      <c r="I1239" s="3"/>
      <c r="J1239" s="3"/>
      <c r="K1239" s="3"/>
      <c r="L1239" s="3"/>
      <c r="M1239" s="3"/>
    </row>
    <row r="1240" spans="1:13" s="33" customFormat="1">
      <c r="A1240" s="71"/>
      <c r="B1240" s="3"/>
      <c r="C1240" s="3"/>
      <c r="D1240" s="3"/>
      <c r="E1240" s="3"/>
      <c r="F1240" s="3"/>
      <c r="G1240" s="3"/>
      <c r="H1240" s="3"/>
      <c r="I1240" s="3"/>
      <c r="J1240" s="3"/>
      <c r="K1240" s="3"/>
      <c r="L1240" s="3"/>
      <c r="M1240" s="3"/>
    </row>
    <row r="1241" spans="1:13" s="33" customFormat="1">
      <c r="A1241" s="71"/>
      <c r="B1241" s="3"/>
      <c r="C1241" s="3"/>
      <c r="D1241" s="3"/>
      <c r="E1241" s="3"/>
      <c r="F1241" s="3"/>
      <c r="G1241" s="3"/>
      <c r="H1241" s="3"/>
      <c r="I1241" s="3"/>
      <c r="J1241" s="3"/>
      <c r="K1241" s="3"/>
      <c r="L1241" s="3"/>
      <c r="M1241" s="3"/>
    </row>
    <row r="1242" spans="1:13" s="33" customFormat="1">
      <c r="A1242" s="71"/>
      <c r="B1242" s="3"/>
      <c r="C1242" s="3"/>
      <c r="D1242" s="3"/>
      <c r="E1242" s="3"/>
      <c r="F1242" s="3"/>
      <c r="G1242" s="3"/>
      <c r="H1242" s="3"/>
      <c r="I1242" s="3"/>
      <c r="J1242" s="3"/>
      <c r="K1242" s="3"/>
      <c r="L1242" s="3"/>
      <c r="M1242" s="3"/>
    </row>
    <row r="1243" spans="1:13" s="33" customFormat="1">
      <c r="A1243" s="71"/>
      <c r="B1243" s="3"/>
      <c r="C1243" s="3"/>
      <c r="D1243" s="3"/>
      <c r="E1243" s="3"/>
      <c r="F1243" s="3"/>
      <c r="G1243" s="3"/>
      <c r="H1243" s="3"/>
      <c r="I1243" s="3"/>
      <c r="J1243" s="3"/>
      <c r="K1243" s="3"/>
      <c r="L1243" s="3"/>
      <c r="M1243" s="3"/>
    </row>
    <row r="1244" spans="1:13" s="33" customFormat="1">
      <c r="A1244" s="71"/>
      <c r="B1244" s="3"/>
      <c r="C1244" s="3"/>
      <c r="D1244" s="3"/>
      <c r="E1244" s="3"/>
      <c r="F1244" s="3"/>
      <c r="G1244" s="3"/>
      <c r="H1244" s="3"/>
      <c r="I1244" s="3"/>
      <c r="J1244" s="3"/>
      <c r="K1244" s="3"/>
      <c r="L1244" s="3"/>
      <c r="M1244" s="3"/>
    </row>
    <row r="1245" spans="1:13" s="33" customFormat="1">
      <c r="A1245" s="71"/>
      <c r="B1245" s="3"/>
      <c r="C1245" s="3"/>
      <c r="D1245" s="3"/>
      <c r="E1245" s="3"/>
      <c r="F1245" s="3"/>
      <c r="G1245" s="3"/>
      <c r="H1245" s="3"/>
      <c r="I1245" s="3"/>
      <c r="J1245" s="3"/>
      <c r="K1245" s="3"/>
      <c r="L1245" s="3"/>
      <c r="M1245" s="3"/>
    </row>
    <row r="1246" spans="1:13" s="33" customFormat="1">
      <c r="A1246" s="71"/>
      <c r="B1246" s="3"/>
      <c r="C1246" s="3"/>
      <c r="D1246" s="3"/>
      <c r="E1246" s="3"/>
      <c r="F1246" s="3"/>
      <c r="G1246" s="3"/>
      <c r="H1246" s="3"/>
      <c r="I1246" s="3"/>
      <c r="J1246" s="3"/>
      <c r="K1246" s="3"/>
      <c r="L1246" s="3"/>
      <c r="M1246" s="3"/>
    </row>
    <row r="1247" spans="1:13" s="33" customFormat="1">
      <c r="A1247" s="71"/>
      <c r="B1247" s="3"/>
      <c r="C1247" s="3"/>
      <c r="D1247" s="3"/>
      <c r="E1247" s="3"/>
      <c r="F1247" s="3"/>
      <c r="G1247" s="3"/>
      <c r="H1247" s="3"/>
      <c r="I1247" s="3"/>
      <c r="J1247" s="3"/>
      <c r="K1247" s="3"/>
      <c r="L1247" s="3"/>
      <c r="M1247" s="3"/>
    </row>
    <row r="1248" spans="1:13" s="33" customFormat="1">
      <c r="A1248" s="71"/>
      <c r="B1248" s="3"/>
      <c r="C1248" s="3"/>
      <c r="D1248" s="3"/>
      <c r="E1248" s="3"/>
      <c r="F1248" s="3"/>
      <c r="G1248" s="3"/>
      <c r="H1248" s="3"/>
      <c r="I1248" s="3"/>
      <c r="J1248" s="3"/>
      <c r="K1248" s="3"/>
      <c r="L1248" s="3"/>
      <c r="M1248" s="3"/>
    </row>
    <row r="1249" spans="1:13" s="33" customFormat="1">
      <c r="A1249" s="71"/>
      <c r="B1249" s="3"/>
      <c r="C1249" s="3"/>
      <c r="D1249" s="3"/>
      <c r="E1249" s="3"/>
      <c r="F1249" s="3"/>
      <c r="G1249" s="3"/>
      <c r="H1249" s="3"/>
      <c r="I1249" s="3"/>
      <c r="J1249" s="3"/>
      <c r="K1249" s="3"/>
      <c r="L1249" s="3"/>
      <c r="M1249" s="3"/>
    </row>
    <row r="1250" spans="1:13" s="33" customFormat="1">
      <c r="A1250" s="71"/>
      <c r="B1250" s="3"/>
      <c r="C1250" s="3"/>
      <c r="D1250" s="3"/>
      <c r="E1250" s="3"/>
      <c r="F1250" s="3"/>
      <c r="G1250" s="3"/>
      <c r="H1250" s="3"/>
      <c r="I1250" s="3"/>
      <c r="J1250" s="3"/>
      <c r="K1250" s="3"/>
      <c r="L1250" s="3"/>
      <c r="M1250" s="3"/>
    </row>
    <row r="1251" spans="1:13" s="33" customFormat="1">
      <c r="A1251" s="71"/>
      <c r="B1251" s="3"/>
      <c r="C1251" s="3"/>
      <c r="D1251" s="3"/>
      <c r="E1251" s="3"/>
      <c r="F1251" s="3"/>
      <c r="G1251" s="3"/>
      <c r="H1251" s="3"/>
      <c r="I1251" s="3"/>
      <c r="J1251" s="3"/>
      <c r="K1251" s="3"/>
      <c r="L1251" s="3"/>
      <c r="M1251" s="3"/>
    </row>
    <row r="1252" spans="1:13" s="33" customFormat="1">
      <c r="A1252" s="71"/>
      <c r="B1252" s="3"/>
      <c r="C1252" s="3"/>
      <c r="D1252" s="3"/>
      <c r="E1252" s="3"/>
      <c r="F1252" s="3"/>
      <c r="G1252" s="3"/>
      <c r="H1252" s="3"/>
      <c r="I1252" s="3"/>
      <c r="J1252" s="3"/>
      <c r="K1252" s="3"/>
      <c r="L1252" s="3"/>
      <c r="M1252" s="3"/>
    </row>
    <row r="1253" spans="1:13" s="33" customFormat="1">
      <c r="A1253" s="71"/>
      <c r="B1253" s="3"/>
      <c r="C1253" s="3"/>
      <c r="D1253" s="3"/>
      <c r="E1253" s="3"/>
      <c r="F1253" s="3"/>
      <c r="G1253" s="3"/>
      <c r="H1253" s="3"/>
      <c r="I1253" s="3"/>
      <c r="J1253" s="3"/>
      <c r="K1253" s="3"/>
      <c r="L1253" s="3"/>
      <c r="M1253" s="3"/>
    </row>
    <row r="1254" spans="1:13" s="33" customFormat="1">
      <c r="A1254" s="71"/>
      <c r="B1254" s="3"/>
      <c r="C1254" s="3"/>
      <c r="D1254" s="3"/>
      <c r="E1254" s="3"/>
      <c r="F1254" s="3"/>
      <c r="G1254" s="3"/>
      <c r="H1254" s="3"/>
      <c r="I1254" s="3"/>
      <c r="J1254" s="3"/>
      <c r="K1254" s="3"/>
      <c r="L1254" s="3"/>
      <c r="M1254" s="3"/>
    </row>
    <row r="1255" spans="1:13" s="33" customFormat="1">
      <c r="A1255" s="71"/>
      <c r="B1255" s="3"/>
      <c r="C1255" s="3"/>
      <c r="D1255" s="3"/>
      <c r="E1255" s="3"/>
      <c r="F1255" s="3"/>
      <c r="G1255" s="3"/>
      <c r="H1255" s="3"/>
      <c r="I1255" s="3"/>
      <c r="J1255" s="3"/>
      <c r="K1255" s="3"/>
      <c r="L1255" s="3"/>
      <c r="M1255" s="3"/>
    </row>
    <row r="1256" spans="1:13" s="33" customFormat="1">
      <c r="A1256" s="71"/>
      <c r="B1256" s="3"/>
      <c r="C1256" s="3"/>
      <c r="D1256" s="3"/>
      <c r="E1256" s="3"/>
      <c r="F1256" s="3"/>
      <c r="G1256" s="3"/>
      <c r="H1256" s="3"/>
      <c r="I1256" s="3"/>
      <c r="J1256" s="3"/>
      <c r="K1256" s="3"/>
      <c r="L1256" s="3"/>
      <c r="M1256" s="3"/>
    </row>
    <row r="1257" spans="1:13" s="33" customFormat="1">
      <c r="A1257" s="71"/>
      <c r="B1257" s="3"/>
      <c r="C1257" s="3"/>
      <c r="D1257" s="3"/>
      <c r="E1257" s="3"/>
      <c r="F1257" s="3"/>
      <c r="G1257" s="3"/>
      <c r="H1257" s="3"/>
      <c r="I1257" s="3"/>
      <c r="J1257" s="3"/>
      <c r="K1257" s="3"/>
      <c r="L1257" s="3"/>
      <c r="M1257" s="3"/>
    </row>
    <row r="1258" spans="1:13" s="33" customFormat="1">
      <c r="A1258" s="71"/>
      <c r="B1258" s="3"/>
      <c r="C1258" s="3"/>
      <c r="D1258" s="3"/>
      <c r="E1258" s="3"/>
      <c r="F1258" s="3"/>
      <c r="G1258" s="3"/>
      <c r="H1258" s="3"/>
      <c r="I1258" s="3"/>
      <c r="J1258" s="3"/>
      <c r="K1258" s="3"/>
      <c r="L1258" s="3"/>
      <c r="M1258" s="3"/>
    </row>
    <row r="1259" spans="1:13" s="33" customFormat="1">
      <c r="A1259" s="71"/>
      <c r="B1259" s="3"/>
      <c r="C1259" s="3"/>
      <c r="D1259" s="3"/>
      <c r="E1259" s="3"/>
      <c r="F1259" s="3"/>
      <c r="G1259" s="3"/>
      <c r="H1259" s="3"/>
      <c r="I1259" s="3"/>
      <c r="J1259" s="3"/>
      <c r="K1259" s="3"/>
      <c r="L1259" s="3"/>
      <c r="M1259" s="3"/>
    </row>
    <row r="1260" spans="1:13" s="33" customFormat="1">
      <c r="A1260" s="71"/>
      <c r="B1260" s="3"/>
      <c r="C1260" s="3"/>
      <c r="D1260" s="3"/>
      <c r="E1260" s="3"/>
      <c r="F1260" s="3"/>
      <c r="G1260" s="3"/>
      <c r="H1260" s="3"/>
      <c r="I1260" s="3"/>
      <c r="J1260" s="3"/>
      <c r="K1260" s="3"/>
      <c r="L1260" s="3"/>
      <c r="M1260" s="3"/>
    </row>
    <row r="1261" spans="1:13" s="33" customFormat="1">
      <c r="A1261" s="71"/>
      <c r="B1261" s="3"/>
      <c r="C1261" s="3"/>
      <c r="D1261" s="3"/>
      <c r="E1261" s="3"/>
      <c r="F1261" s="3"/>
      <c r="G1261" s="3"/>
      <c r="H1261" s="3"/>
      <c r="I1261" s="3"/>
      <c r="J1261" s="3"/>
      <c r="K1261" s="3"/>
      <c r="L1261" s="3"/>
      <c r="M1261" s="3"/>
    </row>
    <row r="1262" spans="1:13" s="33" customFormat="1">
      <c r="A1262" s="71"/>
      <c r="B1262" s="3"/>
      <c r="C1262" s="3"/>
      <c r="D1262" s="3"/>
      <c r="E1262" s="3"/>
      <c r="F1262" s="3"/>
      <c r="G1262" s="3"/>
      <c r="H1262" s="3"/>
      <c r="I1262" s="3"/>
      <c r="J1262" s="3"/>
      <c r="K1262" s="3"/>
      <c r="L1262" s="3"/>
      <c r="M1262" s="3"/>
    </row>
    <row r="1263" spans="1:13" s="33" customFormat="1">
      <c r="A1263" s="71"/>
      <c r="B1263" s="3"/>
      <c r="C1263" s="3"/>
      <c r="D1263" s="3"/>
      <c r="E1263" s="3"/>
      <c r="F1263" s="3"/>
      <c r="G1263" s="3"/>
      <c r="H1263" s="3"/>
      <c r="I1263" s="3"/>
      <c r="J1263" s="3"/>
      <c r="K1263" s="3"/>
      <c r="L1263" s="3"/>
      <c r="M1263" s="3"/>
    </row>
    <row r="1264" spans="1:13" s="33" customFormat="1">
      <c r="A1264" s="71"/>
      <c r="B1264" s="3"/>
      <c r="C1264" s="3"/>
      <c r="D1264" s="3"/>
      <c r="E1264" s="3"/>
      <c r="F1264" s="3"/>
      <c r="G1264" s="3"/>
      <c r="H1264" s="3"/>
      <c r="I1264" s="3"/>
      <c r="J1264" s="3"/>
      <c r="K1264" s="3"/>
      <c r="L1264" s="3"/>
      <c r="M1264" s="3"/>
    </row>
    <row r="1265" spans="1:13" s="33" customFormat="1">
      <c r="A1265" s="71"/>
      <c r="B1265" s="3"/>
      <c r="C1265" s="3"/>
      <c r="D1265" s="3"/>
      <c r="E1265" s="3"/>
      <c r="F1265" s="3"/>
      <c r="G1265" s="3"/>
      <c r="H1265" s="3"/>
      <c r="I1265" s="3"/>
      <c r="J1265" s="3"/>
      <c r="K1265" s="3"/>
      <c r="L1265" s="3"/>
      <c r="M1265" s="3"/>
    </row>
    <row r="1266" spans="1:13" s="33" customFormat="1">
      <c r="A1266" s="71"/>
      <c r="B1266" s="3"/>
      <c r="C1266" s="3"/>
      <c r="D1266" s="3"/>
      <c r="E1266" s="3"/>
      <c r="F1266" s="3"/>
      <c r="G1266" s="3"/>
      <c r="H1266" s="3"/>
      <c r="I1266" s="3"/>
      <c r="J1266" s="3"/>
      <c r="K1266" s="3"/>
      <c r="L1266" s="3"/>
      <c r="M1266" s="3"/>
    </row>
    <row r="1267" spans="1:13" s="33" customFormat="1">
      <c r="A1267" s="71"/>
      <c r="B1267" s="3"/>
      <c r="C1267" s="3"/>
      <c r="D1267" s="3"/>
      <c r="E1267" s="3"/>
      <c r="F1267" s="3"/>
      <c r="G1267" s="3"/>
      <c r="H1267" s="3"/>
      <c r="I1267" s="3"/>
      <c r="J1267" s="3"/>
      <c r="K1267" s="3"/>
      <c r="L1267" s="3"/>
      <c r="M1267" s="3"/>
    </row>
    <row r="1268" spans="1:13" s="33" customFormat="1">
      <c r="A1268" s="71"/>
      <c r="B1268" s="3"/>
      <c r="C1268" s="3"/>
      <c r="D1268" s="3"/>
      <c r="E1268" s="3"/>
      <c r="F1268" s="3"/>
      <c r="G1268" s="3"/>
      <c r="H1268" s="3"/>
      <c r="I1268" s="3"/>
      <c r="J1268" s="3"/>
      <c r="K1268" s="3"/>
      <c r="L1268" s="3"/>
      <c r="M1268" s="3"/>
    </row>
    <row r="1269" spans="1:13" s="33" customFormat="1">
      <c r="A1269" s="71"/>
      <c r="B1269" s="3"/>
      <c r="C1269" s="3"/>
      <c r="D1269" s="3"/>
      <c r="E1269" s="3"/>
      <c r="F1269" s="3"/>
      <c r="G1269" s="3"/>
      <c r="H1269" s="3"/>
      <c r="I1269" s="3"/>
      <c r="J1269" s="3"/>
      <c r="K1269" s="3"/>
      <c r="L1269" s="3"/>
      <c r="M1269" s="3"/>
    </row>
    <row r="1270" spans="1:13" s="33" customFormat="1">
      <c r="A1270" s="71"/>
      <c r="B1270" s="3"/>
      <c r="C1270" s="3"/>
      <c r="D1270" s="3"/>
      <c r="E1270" s="3"/>
      <c r="F1270" s="3"/>
      <c r="G1270" s="3"/>
      <c r="H1270" s="3"/>
      <c r="I1270" s="3"/>
      <c r="J1270" s="3"/>
      <c r="K1270" s="3"/>
      <c r="L1270" s="3"/>
      <c r="M1270" s="3"/>
    </row>
    <row r="1271" spans="1:13" s="33" customFormat="1">
      <c r="A1271" s="71"/>
      <c r="B1271" s="3"/>
      <c r="C1271" s="3"/>
      <c r="D1271" s="3"/>
      <c r="E1271" s="3"/>
      <c r="F1271" s="3"/>
      <c r="G1271" s="3"/>
      <c r="H1271" s="3"/>
      <c r="I1271" s="3"/>
      <c r="J1271" s="3"/>
      <c r="K1271" s="3"/>
      <c r="L1271" s="3"/>
      <c r="M1271" s="3"/>
    </row>
    <row r="1272" spans="1:13" s="33" customFormat="1">
      <c r="A1272" s="71"/>
      <c r="B1272" s="3"/>
      <c r="C1272" s="3"/>
      <c r="D1272" s="3"/>
      <c r="E1272" s="3"/>
      <c r="F1272" s="3"/>
      <c r="G1272" s="3"/>
      <c r="H1272" s="3"/>
      <c r="I1272" s="3"/>
      <c r="J1272" s="3"/>
      <c r="K1272" s="3"/>
      <c r="L1272" s="3"/>
      <c r="M1272" s="3"/>
    </row>
    <row r="1273" spans="1:13" s="33" customFormat="1">
      <c r="A1273" s="71"/>
      <c r="B1273" s="3"/>
      <c r="C1273" s="3"/>
      <c r="D1273" s="3"/>
      <c r="E1273" s="3"/>
      <c r="F1273" s="3"/>
      <c r="G1273" s="3"/>
      <c r="H1273" s="3"/>
      <c r="I1273" s="3"/>
      <c r="J1273" s="3"/>
      <c r="K1273" s="3"/>
      <c r="L1273" s="3"/>
      <c r="M1273" s="3"/>
    </row>
    <row r="1274" spans="1:13" s="33" customFormat="1">
      <c r="A1274" s="71"/>
      <c r="B1274" s="3"/>
      <c r="C1274" s="3"/>
      <c r="D1274" s="3"/>
      <c r="E1274" s="3"/>
      <c r="F1274" s="3"/>
      <c r="G1274" s="3"/>
      <c r="H1274" s="3"/>
      <c r="I1274" s="3"/>
      <c r="J1274" s="3"/>
      <c r="K1274" s="3"/>
      <c r="L1274" s="3"/>
      <c r="M1274" s="3"/>
    </row>
    <row r="1275" spans="1:13" s="33" customFormat="1">
      <c r="A1275" s="71"/>
      <c r="B1275" s="3"/>
      <c r="C1275" s="3"/>
      <c r="D1275" s="3"/>
      <c r="E1275" s="3"/>
      <c r="F1275" s="3"/>
      <c r="G1275" s="3"/>
      <c r="H1275" s="3"/>
      <c r="I1275" s="3"/>
      <c r="J1275" s="3"/>
      <c r="K1275" s="3"/>
      <c r="L1275" s="3"/>
      <c r="M1275" s="3"/>
    </row>
    <row r="1276" spans="1:13" s="33" customFormat="1">
      <c r="A1276" s="71"/>
      <c r="B1276" s="3"/>
      <c r="C1276" s="3"/>
      <c r="D1276" s="3"/>
      <c r="E1276" s="3"/>
      <c r="F1276" s="3"/>
      <c r="G1276" s="3"/>
      <c r="H1276" s="3"/>
      <c r="I1276" s="3"/>
      <c r="J1276" s="3"/>
      <c r="K1276" s="3"/>
      <c r="L1276" s="3"/>
      <c r="M1276" s="3"/>
    </row>
    <row r="1277" spans="1:13" s="33" customFormat="1">
      <c r="A1277" s="71"/>
      <c r="B1277" s="3"/>
      <c r="C1277" s="3"/>
      <c r="D1277" s="3"/>
      <c r="E1277" s="3"/>
      <c r="F1277" s="3"/>
      <c r="G1277" s="3"/>
      <c r="H1277" s="3"/>
      <c r="I1277" s="3"/>
      <c r="J1277" s="3"/>
      <c r="K1277" s="3"/>
      <c r="L1277" s="3"/>
      <c r="M1277" s="3"/>
    </row>
    <row r="1278" spans="1:13" s="33" customFormat="1">
      <c r="A1278" s="71"/>
      <c r="B1278" s="3"/>
      <c r="C1278" s="3"/>
      <c r="D1278" s="3"/>
      <c r="E1278" s="3"/>
      <c r="F1278" s="3"/>
      <c r="G1278" s="3"/>
      <c r="H1278" s="3"/>
      <c r="I1278" s="3"/>
      <c r="J1278" s="3"/>
      <c r="K1278" s="3"/>
      <c r="L1278" s="3"/>
      <c r="M1278" s="3"/>
    </row>
    <row r="1279" spans="1:13" s="33" customFormat="1">
      <c r="A1279" s="71"/>
      <c r="B1279" s="3"/>
      <c r="C1279" s="3"/>
      <c r="D1279" s="3"/>
      <c r="E1279" s="3"/>
      <c r="F1279" s="3"/>
      <c r="G1279" s="3"/>
      <c r="H1279" s="3"/>
      <c r="I1279" s="3"/>
      <c r="J1279" s="3"/>
      <c r="K1279" s="3"/>
      <c r="L1279" s="3"/>
      <c r="M1279" s="3"/>
    </row>
    <row r="1280" spans="1:13" s="33" customFormat="1">
      <c r="A1280" s="71"/>
      <c r="B1280" s="3"/>
      <c r="C1280" s="3"/>
      <c r="D1280" s="3"/>
      <c r="E1280" s="3"/>
      <c r="F1280" s="3"/>
      <c r="G1280" s="3"/>
      <c r="H1280" s="3"/>
      <c r="I1280" s="3"/>
      <c r="J1280" s="3"/>
      <c r="K1280" s="3"/>
      <c r="L1280" s="3"/>
      <c r="M1280" s="3"/>
    </row>
    <row r="1281" spans="1:13" s="33" customFormat="1">
      <c r="A1281" s="71"/>
      <c r="B1281" s="3"/>
      <c r="C1281" s="3"/>
      <c r="D1281" s="3"/>
      <c r="E1281" s="3"/>
      <c r="F1281" s="3"/>
      <c r="G1281" s="3"/>
      <c r="H1281" s="3"/>
      <c r="I1281" s="3"/>
      <c r="J1281" s="3"/>
      <c r="K1281" s="3"/>
      <c r="L1281" s="3"/>
      <c r="M1281" s="3"/>
    </row>
    <row r="1282" spans="1:13" s="33" customFormat="1">
      <c r="A1282" s="71"/>
      <c r="B1282" s="3"/>
      <c r="C1282" s="3"/>
      <c r="D1282" s="3"/>
      <c r="E1282" s="3"/>
      <c r="F1282" s="3"/>
      <c r="G1282" s="3"/>
      <c r="H1282" s="3"/>
      <c r="I1282" s="3"/>
      <c r="J1282" s="3"/>
      <c r="K1282" s="3"/>
      <c r="L1282" s="3"/>
      <c r="M1282" s="3"/>
    </row>
    <row r="1283" spans="1:13" s="33" customFormat="1">
      <c r="A1283" s="71"/>
      <c r="B1283" s="3"/>
      <c r="C1283" s="3"/>
      <c r="D1283" s="3"/>
      <c r="E1283" s="3"/>
      <c r="F1283" s="3"/>
      <c r="G1283" s="3"/>
      <c r="H1283" s="3"/>
      <c r="I1283" s="3"/>
      <c r="J1283" s="3"/>
      <c r="K1283" s="3"/>
      <c r="L1283" s="3"/>
      <c r="M1283" s="3"/>
    </row>
    <row r="1284" spans="1:13" s="33" customFormat="1">
      <c r="A1284" s="71"/>
      <c r="B1284" s="3"/>
      <c r="C1284" s="3"/>
      <c r="D1284" s="3"/>
      <c r="E1284" s="3"/>
      <c r="F1284" s="3"/>
      <c r="G1284" s="3"/>
      <c r="H1284" s="3"/>
      <c r="I1284" s="3"/>
      <c r="J1284" s="3"/>
      <c r="K1284" s="3"/>
      <c r="L1284" s="3"/>
      <c r="M1284" s="3"/>
    </row>
    <row r="1285" spans="1:13" s="33" customFormat="1">
      <c r="A1285" s="71"/>
      <c r="B1285" s="3"/>
      <c r="C1285" s="3"/>
      <c r="D1285" s="3"/>
      <c r="E1285" s="3"/>
      <c r="F1285" s="3"/>
      <c r="G1285" s="3"/>
      <c r="H1285" s="3"/>
      <c r="I1285" s="3"/>
      <c r="J1285" s="3"/>
      <c r="K1285" s="3"/>
      <c r="L1285" s="3"/>
      <c r="M1285" s="3"/>
    </row>
    <row r="1286" spans="1:13" s="33" customFormat="1">
      <c r="A1286" s="71"/>
      <c r="B1286" s="3"/>
      <c r="C1286" s="3"/>
      <c r="D1286" s="3"/>
      <c r="E1286" s="3"/>
      <c r="F1286" s="3"/>
      <c r="G1286" s="3"/>
      <c r="H1286" s="3"/>
      <c r="I1286" s="3"/>
      <c r="J1286" s="3"/>
      <c r="K1286" s="3"/>
      <c r="L1286" s="3"/>
      <c r="M1286" s="3"/>
    </row>
    <row r="1287" spans="1:13" s="33" customFormat="1">
      <c r="A1287" s="71"/>
      <c r="B1287" s="3"/>
      <c r="C1287" s="3"/>
      <c r="D1287" s="3"/>
      <c r="E1287" s="3"/>
      <c r="F1287" s="3"/>
      <c r="G1287" s="3"/>
      <c r="H1287" s="3"/>
      <c r="I1287" s="3"/>
      <c r="J1287" s="3"/>
      <c r="K1287" s="3"/>
      <c r="L1287" s="3"/>
      <c r="M1287" s="3"/>
    </row>
    <row r="1288" spans="1:13" s="33" customFormat="1">
      <c r="A1288" s="71"/>
      <c r="B1288" s="3"/>
      <c r="C1288" s="3"/>
      <c r="D1288" s="3"/>
      <c r="E1288" s="3"/>
      <c r="F1288" s="3"/>
      <c r="G1288" s="3"/>
      <c r="H1288" s="3"/>
      <c r="I1288" s="3"/>
      <c r="J1288" s="3"/>
      <c r="K1288" s="3"/>
      <c r="L1288" s="3"/>
      <c r="M1288" s="3"/>
    </row>
    <row r="1289" spans="1:13" s="33" customFormat="1">
      <c r="A1289" s="71"/>
      <c r="B1289" s="3"/>
      <c r="C1289" s="3"/>
      <c r="D1289" s="3"/>
      <c r="E1289" s="3"/>
      <c r="F1289" s="3"/>
      <c r="G1289" s="3"/>
      <c r="H1289" s="3"/>
      <c r="I1289" s="3"/>
      <c r="J1289" s="3"/>
      <c r="K1289" s="3"/>
      <c r="L1289" s="3"/>
      <c r="M1289" s="3"/>
    </row>
    <row r="1290" spans="1:13" s="33" customFormat="1">
      <c r="A1290" s="71"/>
      <c r="B1290" s="3"/>
      <c r="C1290" s="3"/>
      <c r="D1290" s="3"/>
      <c r="E1290" s="3"/>
      <c r="F1290" s="3"/>
      <c r="G1290" s="3"/>
      <c r="H1290" s="3"/>
      <c r="I1290" s="3"/>
      <c r="J1290" s="3"/>
      <c r="K1290" s="3"/>
      <c r="L1290" s="3"/>
      <c r="M1290" s="3"/>
    </row>
    <row r="1291" spans="1:13" s="33" customFormat="1">
      <c r="A1291" s="71"/>
      <c r="B1291" s="3"/>
      <c r="C1291" s="3"/>
      <c r="D1291" s="3"/>
      <c r="E1291" s="3"/>
      <c r="F1291" s="3"/>
      <c r="G1291" s="3"/>
      <c r="H1291" s="3"/>
      <c r="I1291" s="3"/>
      <c r="J1291" s="3"/>
      <c r="K1291" s="3"/>
      <c r="L1291" s="3"/>
      <c r="M1291" s="3"/>
    </row>
    <row r="1292" spans="1:13" s="33" customFormat="1">
      <c r="A1292" s="71"/>
      <c r="B1292" s="3"/>
      <c r="C1292" s="3"/>
      <c r="D1292" s="3"/>
      <c r="E1292" s="3"/>
      <c r="F1292" s="3"/>
      <c r="G1292" s="3"/>
      <c r="H1292" s="3"/>
      <c r="I1292" s="3"/>
      <c r="J1292" s="3"/>
      <c r="K1292" s="3"/>
      <c r="L1292" s="3"/>
      <c r="M1292" s="3"/>
    </row>
    <row r="1293" spans="1:13" s="33" customFormat="1">
      <c r="A1293" s="71"/>
      <c r="B1293" s="3"/>
      <c r="C1293" s="3"/>
      <c r="D1293" s="3"/>
      <c r="E1293" s="3"/>
      <c r="F1293" s="3"/>
      <c r="G1293" s="3"/>
      <c r="H1293" s="3"/>
      <c r="I1293" s="3"/>
      <c r="J1293" s="3"/>
      <c r="K1293" s="3"/>
      <c r="L1293" s="3"/>
      <c r="M1293" s="3"/>
    </row>
    <row r="1294" spans="1:13" s="33" customFormat="1">
      <c r="A1294" s="71"/>
      <c r="B1294" s="3"/>
      <c r="C1294" s="3"/>
      <c r="D1294" s="3"/>
      <c r="E1294" s="3"/>
      <c r="F1294" s="3"/>
      <c r="G1294" s="3"/>
      <c r="H1294" s="3"/>
      <c r="I1294" s="3"/>
      <c r="J1294" s="3"/>
      <c r="K1294" s="3"/>
      <c r="L1294" s="3"/>
      <c r="M1294" s="3"/>
    </row>
    <row r="1295" spans="1:13" s="33" customFormat="1">
      <c r="A1295" s="71"/>
      <c r="B1295" s="3"/>
      <c r="C1295" s="3"/>
      <c r="D1295" s="3"/>
      <c r="E1295" s="3"/>
      <c r="F1295" s="3"/>
      <c r="G1295" s="3"/>
      <c r="H1295" s="3"/>
      <c r="I1295" s="3"/>
      <c r="J1295" s="3"/>
      <c r="K1295" s="3"/>
      <c r="L1295" s="3"/>
      <c r="M1295" s="3"/>
    </row>
    <row r="1296" spans="1:13" s="33" customFormat="1">
      <c r="A1296" s="71"/>
      <c r="B1296" s="3"/>
      <c r="C1296" s="3"/>
      <c r="D1296" s="3"/>
      <c r="E1296" s="3"/>
      <c r="F1296" s="3"/>
      <c r="G1296" s="3"/>
      <c r="H1296" s="3"/>
      <c r="I1296" s="3"/>
      <c r="J1296" s="3"/>
      <c r="K1296" s="3"/>
      <c r="L1296" s="3"/>
      <c r="M1296" s="3"/>
    </row>
    <row r="1297" spans="1:13" s="33" customFormat="1">
      <c r="A1297" s="71"/>
      <c r="B1297" s="3"/>
      <c r="C1297" s="3"/>
      <c r="D1297" s="3"/>
      <c r="E1297" s="3"/>
      <c r="F1297" s="3"/>
      <c r="G1297" s="3"/>
      <c r="H1297" s="3"/>
      <c r="I1297" s="3"/>
      <c r="J1297" s="3"/>
      <c r="K1297" s="3"/>
      <c r="L1297" s="3"/>
      <c r="M1297" s="3"/>
    </row>
    <row r="1298" spans="1:13" s="33" customFormat="1">
      <c r="A1298" s="71"/>
      <c r="B1298" s="3"/>
      <c r="C1298" s="3"/>
      <c r="D1298" s="3"/>
      <c r="E1298" s="3"/>
      <c r="F1298" s="3"/>
      <c r="G1298" s="3"/>
      <c r="H1298" s="3"/>
      <c r="I1298" s="3"/>
      <c r="J1298" s="3"/>
      <c r="K1298" s="3"/>
      <c r="L1298" s="3"/>
      <c r="M1298" s="3"/>
    </row>
    <row r="1299" spans="1:13" s="33" customFormat="1">
      <c r="A1299" s="71"/>
      <c r="B1299" s="3"/>
      <c r="C1299" s="3"/>
      <c r="D1299" s="3"/>
      <c r="E1299" s="3"/>
      <c r="F1299" s="3"/>
      <c r="G1299" s="3"/>
      <c r="H1299" s="3"/>
      <c r="I1299" s="3"/>
      <c r="J1299" s="3"/>
      <c r="K1299" s="3"/>
      <c r="L1299" s="3"/>
      <c r="M1299" s="3"/>
    </row>
    <row r="1300" spans="1:13" s="33" customFormat="1">
      <c r="A1300" s="71"/>
      <c r="B1300" s="3"/>
      <c r="C1300" s="3"/>
      <c r="D1300" s="3"/>
      <c r="E1300" s="3"/>
      <c r="F1300" s="3"/>
      <c r="G1300" s="3"/>
      <c r="H1300" s="3"/>
      <c r="I1300" s="3"/>
      <c r="J1300" s="3"/>
      <c r="K1300" s="3"/>
      <c r="L1300" s="3"/>
      <c r="M1300" s="3"/>
    </row>
    <row r="1301" spans="1:13" s="33" customFormat="1">
      <c r="A1301" s="71"/>
      <c r="B1301" s="3"/>
      <c r="C1301" s="3"/>
      <c r="D1301" s="3"/>
      <c r="E1301" s="3"/>
      <c r="F1301" s="3"/>
      <c r="G1301" s="3"/>
      <c r="H1301" s="3"/>
      <c r="I1301" s="3"/>
      <c r="J1301" s="3"/>
      <c r="K1301" s="3"/>
      <c r="L1301" s="3"/>
      <c r="M1301" s="3"/>
    </row>
    <row r="1302" spans="1:13" s="33" customFormat="1">
      <c r="A1302" s="71"/>
      <c r="B1302" s="3"/>
      <c r="C1302" s="3"/>
      <c r="D1302" s="3"/>
      <c r="E1302" s="3"/>
      <c r="F1302" s="3"/>
      <c r="G1302" s="3"/>
      <c r="H1302" s="3"/>
      <c r="I1302" s="3"/>
      <c r="J1302" s="3"/>
      <c r="K1302" s="3"/>
      <c r="L1302" s="3"/>
      <c r="M1302" s="3"/>
    </row>
    <row r="1303" spans="1:13" s="33" customFormat="1">
      <c r="A1303" s="71"/>
      <c r="B1303" s="3"/>
      <c r="C1303" s="3"/>
      <c r="D1303" s="3"/>
      <c r="E1303" s="3"/>
      <c r="F1303" s="3"/>
      <c r="G1303" s="3"/>
      <c r="H1303" s="3"/>
      <c r="I1303" s="3"/>
      <c r="J1303" s="3"/>
      <c r="K1303" s="3"/>
      <c r="L1303" s="3"/>
      <c r="M1303" s="3"/>
    </row>
    <row r="1304" spans="1:13" s="33" customFormat="1">
      <c r="A1304" s="71"/>
      <c r="B1304" s="3"/>
      <c r="C1304" s="3"/>
      <c r="D1304" s="3"/>
      <c r="E1304" s="3"/>
      <c r="F1304" s="3"/>
      <c r="G1304" s="3"/>
      <c r="H1304" s="3"/>
      <c r="I1304" s="3"/>
      <c r="J1304" s="3"/>
      <c r="K1304" s="3"/>
      <c r="L1304" s="3"/>
      <c r="M1304" s="3"/>
    </row>
    <row r="1305" spans="1:13" s="33" customFormat="1">
      <c r="A1305" s="71"/>
      <c r="B1305" s="3"/>
      <c r="C1305" s="3"/>
      <c r="D1305" s="3"/>
      <c r="E1305" s="3"/>
      <c r="F1305" s="3"/>
      <c r="G1305" s="3"/>
      <c r="H1305" s="3"/>
      <c r="I1305" s="3"/>
      <c r="J1305" s="3"/>
      <c r="K1305" s="3"/>
      <c r="L1305" s="3"/>
      <c r="M1305" s="3"/>
    </row>
    <row r="1306" spans="1:13" s="33" customFormat="1">
      <c r="A1306" s="71"/>
      <c r="B1306" s="3"/>
      <c r="C1306" s="3"/>
      <c r="D1306" s="3"/>
      <c r="E1306" s="3"/>
      <c r="F1306" s="3"/>
      <c r="G1306" s="3"/>
      <c r="H1306" s="3"/>
      <c r="I1306" s="3"/>
      <c r="J1306" s="3"/>
      <c r="K1306" s="3"/>
      <c r="L1306" s="3"/>
      <c r="M1306" s="3"/>
    </row>
    <row r="1307" spans="1:13" s="33" customFormat="1">
      <c r="A1307" s="71"/>
      <c r="B1307" s="3"/>
      <c r="C1307" s="3"/>
      <c r="D1307" s="3"/>
      <c r="E1307" s="3"/>
      <c r="F1307" s="3"/>
      <c r="G1307" s="3"/>
      <c r="H1307" s="3"/>
      <c r="I1307" s="3"/>
      <c r="J1307" s="3"/>
      <c r="K1307" s="3"/>
      <c r="L1307" s="3"/>
      <c r="M1307" s="3"/>
    </row>
    <row r="1308" spans="1:13" s="33" customFormat="1">
      <c r="A1308" s="71"/>
      <c r="B1308" s="3"/>
      <c r="C1308" s="3"/>
      <c r="D1308" s="3"/>
      <c r="E1308" s="3"/>
      <c r="F1308" s="3"/>
      <c r="G1308" s="3"/>
      <c r="H1308" s="3"/>
      <c r="I1308" s="3"/>
      <c r="J1308" s="3"/>
      <c r="K1308" s="3"/>
      <c r="L1308" s="3"/>
      <c r="M1308" s="3"/>
    </row>
    <row r="1309" spans="1:13" s="33" customFormat="1">
      <c r="A1309" s="71"/>
      <c r="B1309" s="3"/>
      <c r="C1309" s="3"/>
      <c r="D1309" s="3"/>
      <c r="E1309" s="3"/>
      <c r="F1309" s="3"/>
      <c r="G1309" s="3"/>
      <c r="H1309" s="3"/>
      <c r="I1309" s="3"/>
      <c r="J1309" s="3"/>
      <c r="K1309" s="3"/>
      <c r="L1309" s="3"/>
      <c r="M1309" s="3"/>
    </row>
    <row r="1310" spans="1:13" s="33" customFormat="1">
      <c r="A1310" s="71"/>
      <c r="B1310" s="3"/>
      <c r="C1310" s="3"/>
      <c r="D1310" s="3"/>
      <c r="E1310" s="3"/>
      <c r="F1310" s="3"/>
      <c r="G1310" s="3"/>
      <c r="H1310" s="3"/>
      <c r="I1310" s="3"/>
      <c r="J1310" s="3"/>
      <c r="K1310" s="3"/>
      <c r="L1310" s="3"/>
      <c r="M1310" s="3"/>
    </row>
    <row r="1311" spans="1:13" s="33" customFormat="1">
      <c r="A1311" s="71"/>
      <c r="B1311" s="3"/>
      <c r="C1311" s="3"/>
      <c r="D1311" s="3"/>
      <c r="E1311" s="3"/>
      <c r="F1311" s="3"/>
      <c r="G1311" s="3"/>
      <c r="H1311" s="3"/>
      <c r="I1311" s="3"/>
      <c r="J1311" s="3"/>
      <c r="K1311" s="3"/>
      <c r="L1311" s="3"/>
      <c r="M1311" s="3"/>
    </row>
    <row r="1312" spans="1:13" s="33" customFormat="1">
      <c r="A1312" s="71"/>
      <c r="B1312" s="3"/>
      <c r="C1312" s="3"/>
      <c r="D1312" s="3"/>
      <c r="E1312" s="3"/>
      <c r="F1312" s="3"/>
      <c r="G1312" s="3"/>
      <c r="H1312" s="3"/>
      <c r="I1312" s="3"/>
      <c r="J1312" s="3"/>
      <c r="K1312" s="3"/>
      <c r="L1312" s="3"/>
      <c r="M1312" s="3"/>
    </row>
    <row r="1313" spans="1:13" s="33" customFormat="1">
      <c r="A1313" s="71"/>
      <c r="B1313" s="3"/>
      <c r="C1313" s="3"/>
      <c r="D1313" s="3"/>
      <c r="E1313" s="3"/>
      <c r="F1313" s="3"/>
      <c r="G1313" s="3"/>
      <c r="H1313" s="3"/>
      <c r="I1313" s="3"/>
      <c r="J1313" s="3"/>
      <c r="K1313" s="3"/>
      <c r="L1313" s="3"/>
      <c r="M1313" s="3"/>
    </row>
    <row r="1314" spans="1:13" s="33" customFormat="1">
      <c r="A1314" s="71"/>
      <c r="B1314" s="3"/>
      <c r="C1314" s="3"/>
      <c r="D1314" s="3"/>
      <c r="E1314" s="3"/>
      <c r="F1314" s="3"/>
      <c r="G1314" s="3"/>
      <c r="H1314" s="3"/>
      <c r="I1314" s="3"/>
      <c r="J1314" s="3"/>
      <c r="K1314" s="3"/>
      <c r="L1314" s="3"/>
      <c r="M1314" s="3"/>
    </row>
    <row r="1315" spans="1:13" s="33" customFormat="1">
      <c r="A1315" s="71"/>
      <c r="B1315" s="3"/>
      <c r="C1315" s="3"/>
      <c r="D1315" s="3"/>
      <c r="E1315" s="3"/>
      <c r="F1315" s="3"/>
      <c r="G1315" s="3"/>
      <c r="H1315" s="3"/>
      <c r="I1315" s="3"/>
      <c r="J1315" s="3"/>
      <c r="K1315" s="3"/>
      <c r="L1315" s="3"/>
      <c r="M1315" s="3"/>
    </row>
    <row r="1316" spans="1:13" s="33" customFormat="1">
      <c r="A1316" s="71"/>
      <c r="B1316" s="3"/>
      <c r="C1316" s="3"/>
      <c r="D1316" s="3"/>
      <c r="E1316" s="3"/>
      <c r="F1316" s="3"/>
      <c r="G1316" s="3"/>
      <c r="H1316" s="3"/>
      <c r="I1316" s="3"/>
      <c r="J1316" s="3"/>
      <c r="K1316" s="3"/>
      <c r="L1316" s="3"/>
      <c r="M1316" s="3"/>
    </row>
    <row r="1317" spans="1:13" s="33" customFormat="1">
      <c r="A1317" s="71"/>
      <c r="B1317" s="3"/>
      <c r="C1317" s="3"/>
      <c r="D1317" s="3"/>
      <c r="E1317" s="3"/>
      <c r="F1317" s="3"/>
      <c r="G1317" s="3"/>
      <c r="H1317" s="3"/>
      <c r="I1317" s="3"/>
      <c r="J1317" s="3"/>
      <c r="K1317" s="3"/>
      <c r="L1317" s="3"/>
      <c r="M1317" s="3"/>
    </row>
    <row r="1318" spans="1:13" s="33" customFormat="1">
      <c r="A1318" s="71"/>
      <c r="B1318" s="3"/>
      <c r="C1318" s="3"/>
      <c r="D1318" s="3"/>
      <c r="E1318" s="3"/>
      <c r="F1318" s="3"/>
      <c r="G1318" s="3"/>
      <c r="H1318" s="3"/>
      <c r="I1318" s="3"/>
      <c r="J1318" s="3"/>
      <c r="K1318" s="3"/>
      <c r="L1318" s="3"/>
      <c r="M1318" s="3"/>
    </row>
    <row r="1319" spans="1:13" s="33" customFormat="1">
      <c r="A1319" s="71"/>
      <c r="B1319" s="3"/>
      <c r="C1319" s="3"/>
      <c r="D1319" s="3"/>
      <c r="E1319" s="3"/>
      <c r="F1319" s="3"/>
      <c r="G1319" s="3"/>
      <c r="H1319" s="3"/>
      <c r="I1319" s="3"/>
      <c r="J1319" s="3"/>
      <c r="K1319" s="3"/>
      <c r="L1319" s="3"/>
      <c r="M1319" s="3"/>
    </row>
    <row r="1320" spans="1:13" s="33" customFormat="1">
      <c r="A1320" s="71"/>
      <c r="B1320" s="3"/>
      <c r="C1320" s="3"/>
      <c r="D1320" s="3"/>
      <c r="E1320" s="3"/>
      <c r="F1320" s="3"/>
      <c r="G1320" s="3"/>
      <c r="H1320" s="3"/>
      <c r="I1320" s="3"/>
      <c r="J1320" s="3"/>
      <c r="K1320" s="3"/>
      <c r="L1320" s="3"/>
      <c r="M1320" s="3"/>
    </row>
    <row r="1321" spans="1:13" s="33" customFormat="1">
      <c r="A1321" s="71"/>
      <c r="B1321" s="3"/>
      <c r="C1321" s="3"/>
      <c r="D1321" s="3"/>
      <c r="E1321" s="3"/>
      <c r="F1321" s="3"/>
      <c r="G1321" s="3"/>
      <c r="H1321" s="3"/>
      <c r="I1321" s="3"/>
      <c r="J1321" s="3"/>
      <c r="K1321" s="3"/>
      <c r="L1321" s="3"/>
      <c r="M1321" s="3"/>
    </row>
    <row r="1322" spans="1:13" s="33" customFormat="1">
      <c r="A1322" s="71"/>
      <c r="B1322" s="3"/>
      <c r="C1322" s="3"/>
      <c r="D1322" s="3"/>
      <c r="E1322" s="3"/>
      <c r="F1322" s="3"/>
      <c r="G1322" s="3"/>
      <c r="H1322" s="3"/>
      <c r="I1322" s="3"/>
      <c r="J1322" s="3"/>
      <c r="K1322" s="3"/>
      <c r="L1322" s="3"/>
      <c r="M1322" s="3"/>
    </row>
    <row r="1323" spans="1:13" s="33" customFormat="1">
      <c r="A1323" s="71"/>
      <c r="B1323" s="3"/>
      <c r="C1323" s="3"/>
      <c r="D1323" s="3"/>
      <c r="E1323" s="3"/>
      <c r="F1323" s="3"/>
      <c r="G1323" s="3"/>
      <c r="H1323" s="3"/>
      <c r="I1323" s="3"/>
      <c r="J1323" s="3"/>
      <c r="K1323" s="3"/>
      <c r="L1323" s="3"/>
      <c r="M1323" s="3"/>
    </row>
    <row r="1324" spans="1:13" s="33" customFormat="1">
      <c r="A1324" s="71"/>
      <c r="B1324" s="3"/>
      <c r="C1324" s="3"/>
      <c r="D1324" s="3"/>
      <c r="E1324" s="3"/>
      <c r="F1324" s="3"/>
      <c r="G1324" s="3"/>
      <c r="H1324" s="3"/>
      <c r="I1324" s="3"/>
      <c r="J1324" s="3"/>
      <c r="K1324" s="3"/>
      <c r="L1324" s="3"/>
      <c r="M1324" s="3"/>
    </row>
    <row r="1325" spans="1:13" s="33" customFormat="1">
      <c r="A1325" s="71"/>
      <c r="B1325" s="3"/>
      <c r="C1325" s="3"/>
      <c r="D1325" s="3"/>
      <c r="E1325" s="3"/>
      <c r="F1325" s="3"/>
      <c r="G1325" s="3"/>
      <c r="H1325" s="3"/>
      <c r="I1325" s="3"/>
      <c r="J1325" s="3"/>
      <c r="K1325" s="3"/>
      <c r="L1325" s="3"/>
      <c r="M1325" s="3"/>
    </row>
    <row r="1326" spans="1:13" s="33" customFormat="1">
      <c r="A1326" s="71"/>
      <c r="B1326" s="3"/>
      <c r="C1326" s="3"/>
      <c r="D1326" s="3"/>
      <c r="E1326" s="3"/>
      <c r="F1326" s="3"/>
      <c r="G1326" s="3"/>
      <c r="H1326" s="3"/>
      <c r="I1326" s="3"/>
      <c r="J1326" s="3"/>
      <c r="K1326" s="3"/>
      <c r="L1326" s="3"/>
      <c r="M1326" s="3"/>
    </row>
    <row r="1327" spans="1:13" s="33" customFormat="1">
      <c r="A1327" s="71"/>
      <c r="B1327" s="3"/>
      <c r="C1327" s="3"/>
      <c r="D1327" s="3"/>
      <c r="E1327" s="3"/>
      <c r="F1327" s="3"/>
      <c r="G1327" s="3"/>
      <c r="H1327" s="3"/>
      <c r="I1327" s="3"/>
      <c r="J1327" s="3"/>
      <c r="K1327" s="3"/>
      <c r="L1327" s="3"/>
      <c r="M1327" s="3"/>
    </row>
    <row r="1328" spans="1:13" s="33" customFormat="1">
      <c r="A1328" s="71"/>
      <c r="B1328" s="3"/>
      <c r="C1328" s="3"/>
      <c r="D1328" s="3"/>
      <c r="E1328" s="3"/>
      <c r="F1328" s="3"/>
      <c r="G1328" s="3"/>
      <c r="H1328" s="3"/>
      <c r="I1328" s="3"/>
      <c r="J1328" s="3"/>
      <c r="K1328" s="3"/>
      <c r="L1328" s="3"/>
      <c r="M1328" s="3"/>
    </row>
    <row r="1329" spans="1:13" s="33" customFormat="1">
      <c r="A1329" s="71"/>
      <c r="B1329" s="3"/>
      <c r="C1329" s="3"/>
      <c r="D1329" s="3"/>
      <c r="E1329" s="3"/>
      <c r="F1329" s="3"/>
      <c r="G1329" s="3"/>
      <c r="H1329" s="3"/>
      <c r="I1329" s="3"/>
      <c r="J1329" s="3"/>
      <c r="K1329" s="3"/>
      <c r="L1329" s="3"/>
      <c r="M1329" s="3"/>
    </row>
    <row r="1330" spans="1:13" s="33" customFormat="1">
      <c r="A1330" s="71"/>
      <c r="B1330" s="3"/>
      <c r="C1330" s="3"/>
      <c r="D1330" s="3"/>
      <c r="E1330" s="3"/>
      <c r="F1330" s="3"/>
      <c r="G1330" s="3"/>
      <c r="H1330" s="3"/>
      <c r="I1330" s="3"/>
      <c r="J1330" s="3"/>
      <c r="K1330" s="3"/>
      <c r="L1330" s="3"/>
      <c r="M1330" s="3"/>
    </row>
    <row r="1331" spans="1:13" s="33" customFormat="1">
      <c r="A1331" s="71"/>
      <c r="B1331" s="3"/>
      <c r="C1331" s="3"/>
      <c r="D1331" s="3"/>
      <c r="E1331" s="3"/>
      <c r="F1331" s="3"/>
      <c r="G1331" s="3"/>
      <c r="H1331" s="3"/>
      <c r="I1331" s="3"/>
      <c r="J1331" s="3"/>
      <c r="K1331" s="3"/>
      <c r="L1331" s="3"/>
      <c r="M1331" s="3"/>
    </row>
    <row r="1332" spans="1:13" s="33" customFormat="1">
      <c r="A1332" s="71"/>
      <c r="B1332" s="3"/>
      <c r="C1332" s="3"/>
      <c r="D1332" s="3"/>
      <c r="E1332" s="3"/>
      <c r="F1332" s="3"/>
      <c r="G1332" s="3"/>
      <c r="H1332" s="3"/>
      <c r="I1332" s="3"/>
      <c r="J1332" s="3"/>
      <c r="K1332" s="3"/>
      <c r="L1332" s="3"/>
      <c r="M1332" s="3"/>
    </row>
    <row r="1333" spans="1:13" s="33" customFormat="1">
      <c r="A1333" s="71"/>
      <c r="B1333" s="3"/>
      <c r="C1333" s="3"/>
      <c r="D1333" s="3"/>
      <c r="E1333" s="3"/>
      <c r="F1333" s="3"/>
      <c r="G1333" s="3"/>
      <c r="H1333" s="3"/>
      <c r="I1333" s="3"/>
      <c r="J1333" s="3"/>
      <c r="K1333" s="3"/>
      <c r="L1333" s="3"/>
      <c r="M1333" s="3"/>
    </row>
    <row r="1334" spans="1:13" s="33" customFormat="1">
      <c r="A1334" s="71"/>
      <c r="B1334" s="3"/>
      <c r="C1334" s="3"/>
      <c r="D1334" s="3"/>
      <c r="E1334" s="3"/>
      <c r="F1334" s="3"/>
      <c r="G1334" s="3"/>
      <c r="H1334" s="3"/>
      <c r="I1334" s="3"/>
      <c r="J1334" s="3"/>
      <c r="K1334" s="3"/>
      <c r="L1334" s="3"/>
      <c r="M1334" s="3"/>
    </row>
    <row r="1335" spans="1:13" s="33" customFormat="1">
      <c r="A1335" s="71"/>
      <c r="B1335" s="3"/>
      <c r="C1335" s="3"/>
      <c r="D1335" s="3"/>
      <c r="E1335" s="3"/>
      <c r="F1335" s="3"/>
      <c r="G1335" s="3"/>
      <c r="H1335" s="3"/>
      <c r="I1335" s="3"/>
      <c r="J1335" s="3"/>
      <c r="K1335" s="3"/>
      <c r="L1335" s="3"/>
      <c r="M1335" s="3"/>
    </row>
    <row r="1336" spans="1:13" s="33" customFormat="1">
      <c r="A1336" s="71"/>
      <c r="B1336" s="3"/>
      <c r="C1336" s="3"/>
      <c r="D1336" s="3"/>
      <c r="E1336" s="3"/>
      <c r="F1336" s="3"/>
      <c r="G1336" s="3"/>
      <c r="H1336" s="3"/>
      <c r="I1336" s="3"/>
      <c r="J1336" s="3"/>
      <c r="K1336" s="3"/>
      <c r="L1336" s="3"/>
      <c r="M1336" s="3"/>
    </row>
    <row r="1337" spans="1:13" s="33" customFormat="1">
      <c r="A1337" s="71"/>
      <c r="B1337" s="3"/>
      <c r="C1337" s="3"/>
      <c r="D1337" s="3"/>
      <c r="E1337" s="3"/>
      <c r="F1337" s="3"/>
      <c r="G1337" s="3"/>
      <c r="H1337" s="3"/>
      <c r="I1337" s="3"/>
      <c r="J1337" s="3"/>
      <c r="K1337" s="3"/>
      <c r="L1337" s="3"/>
      <c r="M1337" s="3"/>
    </row>
    <row r="1338" spans="1:13" s="33" customFormat="1">
      <c r="A1338" s="71"/>
      <c r="B1338" s="3"/>
      <c r="C1338" s="3"/>
      <c r="D1338" s="3"/>
      <c r="E1338" s="3"/>
      <c r="F1338" s="3"/>
      <c r="G1338" s="3"/>
      <c r="H1338" s="3"/>
      <c r="I1338" s="3"/>
      <c r="J1338" s="3"/>
      <c r="K1338" s="3"/>
      <c r="L1338" s="3"/>
      <c r="M1338" s="3"/>
    </row>
    <row r="1339" spans="1:13" s="33" customFormat="1">
      <c r="A1339" s="71"/>
      <c r="B1339" s="3"/>
      <c r="C1339" s="3"/>
      <c r="D1339" s="3"/>
      <c r="E1339" s="3"/>
      <c r="F1339" s="3"/>
      <c r="G1339" s="3"/>
      <c r="H1339" s="3"/>
      <c r="I1339" s="3"/>
      <c r="J1339" s="3"/>
      <c r="K1339" s="3"/>
      <c r="L1339" s="3"/>
      <c r="M1339" s="3"/>
    </row>
    <row r="1340" spans="1:13" s="33" customFormat="1">
      <c r="A1340" s="71"/>
      <c r="B1340" s="3"/>
      <c r="C1340" s="3"/>
      <c r="D1340" s="3"/>
      <c r="E1340" s="3"/>
      <c r="F1340" s="3"/>
      <c r="G1340" s="3"/>
      <c r="H1340" s="3"/>
      <c r="I1340" s="3"/>
      <c r="J1340" s="3"/>
      <c r="K1340" s="3"/>
      <c r="L1340" s="3"/>
      <c r="M1340" s="3"/>
    </row>
    <row r="1341" spans="1:13" s="33" customFormat="1">
      <c r="A1341" s="71"/>
      <c r="B1341" s="3"/>
      <c r="C1341" s="3"/>
      <c r="D1341" s="3"/>
      <c r="E1341" s="3"/>
      <c r="F1341" s="3"/>
      <c r="G1341" s="3"/>
      <c r="H1341" s="3"/>
      <c r="I1341" s="3"/>
      <c r="J1341" s="3"/>
      <c r="K1341" s="3"/>
      <c r="L1341" s="3"/>
      <c r="M1341" s="3"/>
    </row>
    <row r="1342" spans="1:13" s="33" customFormat="1">
      <c r="A1342" s="71"/>
      <c r="B1342" s="3"/>
      <c r="C1342" s="3"/>
      <c r="D1342" s="3"/>
      <c r="E1342" s="3"/>
      <c r="F1342" s="3"/>
      <c r="G1342" s="3"/>
      <c r="H1342" s="3"/>
      <c r="I1342" s="3"/>
      <c r="J1342" s="3"/>
      <c r="K1342" s="3"/>
      <c r="L1342" s="3"/>
      <c r="M1342" s="3"/>
    </row>
    <row r="1343" spans="1:13" s="33" customFormat="1">
      <c r="A1343" s="71"/>
      <c r="B1343" s="3"/>
      <c r="C1343" s="3"/>
      <c r="D1343" s="3"/>
      <c r="E1343" s="3"/>
      <c r="F1343" s="3"/>
      <c r="G1343" s="3"/>
      <c r="H1343" s="3"/>
      <c r="I1343" s="3"/>
      <c r="J1343" s="3"/>
      <c r="K1343" s="3"/>
      <c r="L1343" s="3"/>
      <c r="M1343" s="3"/>
    </row>
    <row r="1344" spans="1:13" s="33" customFormat="1">
      <c r="A1344" s="71"/>
      <c r="B1344" s="3"/>
      <c r="C1344" s="3"/>
      <c r="D1344" s="3"/>
      <c r="E1344" s="3"/>
      <c r="F1344" s="3"/>
      <c r="G1344" s="3"/>
      <c r="H1344" s="3"/>
      <c r="I1344" s="3"/>
      <c r="J1344" s="3"/>
      <c r="K1344" s="3"/>
      <c r="L1344" s="3"/>
      <c r="M1344" s="3"/>
    </row>
    <row r="1345" spans="1:13" s="33" customFormat="1">
      <c r="A1345" s="71"/>
      <c r="B1345" s="3"/>
      <c r="C1345" s="3"/>
      <c r="D1345" s="3"/>
      <c r="E1345" s="3"/>
      <c r="F1345" s="3"/>
      <c r="G1345" s="3"/>
      <c r="H1345" s="3"/>
      <c r="I1345" s="3"/>
      <c r="J1345" s="3"/>
      <c r="K1345" s="3"/>
      <c r="L1345" s="3"/>
      <c r="M1345" s="3"/>
    </row>
    <row r="1346" spans="1:13" s="33" customFormat="1">
      <c r="A1346" s="71"/>
      <c r="B1346" s="3"/>
      <c r="C1346" s="3"/>
      <c r="D1346" s="3"/>
      <c r="E1346" s="3"/>
      <c r="F1346" s="3"/>
      <c r="G1346" s="3"/>
      <c r="H1346" s="3"/>
      <c r="I1346" s="3"/>
      <c r="J1346" s="3"/>
      <c r="K1346" s="3"/>
      <c r="L1346" s="3"/>
      <c r="M1346" s="3"/>
    </row>
    <row r="1347" spans="1:13" s="33" customFormat="1">
      <c r="A1347" s="71"/>
      <c r="B1347" s="3"/>
      <c r="C1347" s="3"/>
      <c r="D1347" s="3"/>
      <c r="E1347" s="3"/>
      <c r="F1347" s="3"/>
      <c r="G1347" s="3"/>
      <c r="H1347" s="3"/>
      <c r="I1347" s="3"/>
      <c r="J1347" s="3"/>
      <c r="K1347" s="3"/>
      <c r="L1347" s="3"/>
      <c r="M1347" s="3"/>
    </row>
    <row r="1348" spans="1:13" s="33" customFormat="1">
      <c r="A1348" s="71"/>
      <c r="B1348" s="3"/>
      <c r="C1348" s="3"/>
      <c r="D1348" s="3"/>
      <c r="E1348" s="3"/>
      <c r="F1348" s="3"/>
      <c r="G1348" s="3"/>
      <c r="H1348" s="3"/>
      <c r="I1348" s="3"/>
      <c r="J1348" s="3"/>
      <c r="K1348" s="3"/>
      <c r="L1348" s="3"/>
      <c r="M1348" s="3"/>
    </row>
    <row r="1349" spans="1:13" s="33" customFormat="1">
      <c r="A1349" s="71"/>
      <c r="B1349" s="3"/>
      <c r="C1349" s="3"/>
      <c r="D1349" s="3"/>
      <c r="E1349" s="3"/>
      <c r="F1349" s="3"/>
      <c r="G1349" s="3"/>
      <c r="H1349" s="3"/>
      <c r="I1349" s="3"/>
      <c r="J1349" s="3"/>
      <c r="K1349" s="3"/>
      <c r="L1349" s="3"/>
      <c r="M1349" s="3"/>
    </row>
    <row r="1350" spans="1:13" s="33" customFormat="1">
      <c r="A1350" s="71"/>
      <c r="B1350" s="3"/>
      <c r="C1350" s="3"/>
      <c r="D1350" s="3"/>
      <c r="E1350" s="3"/>
      <c r="F1350" s="3"/>
      <c r="G1350" s="3"/>
      <c r="H1350" s="3"/>
      <c r="I1350" s="3"/>
      <c r="J1350" s="3"/>
      <c r="K1350" s="3"/>
      <c r="L1350" s="3"/>
      <c r="M1350" s="3"/>
    </row>
    <row r="1351" spans="1:13" s="33" customFormat="1">
      <c r="A1351" s="71"/>
      <c r="B1351" s="3"/>
      <c r="C1351" s="3"/>
      <c r="D1351" s="3"/>
      <c r="E1351" s="3"/>
      <c r="F1351" s="3"/>
      <c r="G1351" s="3"/>
      <c r="H1351" s="3"/>
      <c r="I1351" s="3"/>
      <c r="J1351" s="3"/>
      <c r="K1351" s="3"/>
      <c r="L1351" s="3"/>
      <c r="M1351" s="3"/>
    </row>
    <row r="1352" spans="1:13" s="33" customFormat="1">
      <c r="A1352" s="71"/>
      <c r="B1352" s="3"/>
      <c r="C1352" s="3"/>
      <c r="D1352" s="3"/>
      <c r="E1352" s="3"/>
      <c r="F1352" s="3"/>
      <c r="G1352" s="3"/>
      <c r="H1352" s="3"/>
      <c r="I1352" s="3"/>
      <c r="J1352" s="3"/>
      <c r="K1352" s="3"/>
      <c r="L1352" s="3"/>
      <c r="M1352" s="3"/>
    </row>
    <row r="1353" spans="1:13" s="33" customFormat="1">
      <c r="A1353" s="71"/>
      <c r="B1353" s="3"/>
      <c r="C1353" s="3"/>
      <c r="D1353" s="3"/>
      <c r="E1353" s="3"/>
      <c r="F1353" s="3"/>
      <c r="G1353" s="3"/>
      <c r="H1353" s="3"/>
      <c r="I1353" s="3"/>
      <c r="J1353" s="3"/>
      <c r="K1353" s="3"/>
      <c r="L1353" s="3"/>
      <c r="M1353" s="3"/>
    </row>
    <row r="1354" spans="1:13" s="33" customFormat="1">
      <c r="A1354" s="71"/>
      <c r="B1354" s="3"/>
      <c r="C1354" s="3"/>
      <c r="D1354" s="3"/>
      <c r="E1354" s="3"/>
      <c r="F1354" s="3"/>
      <c r="G1354" s="3"/>
      <c r="H1354" s="3"/>
      <c r="I1354" s="3"/>
      <c r="J1354" s="3"/>
      <c r="K1354" s="3"/>
      <c r="L1354" s="3"/>
      <c r="M1354" s="3"/>
    </row>
    <row r="1355" spans="1:13" s="33" customFormat="1">
      <c r="A1355" s="71"/>
      <c r="B1355" s="3"/>
      <c r="C1355" s="3"/>
      <c r="D1355" s="3"/>
      <c r="E1355" s="3"/>
      <c r="F1355" s="3"/>
      <c r="G1355" s="3"/>
      <c r="H1355" s="3"/>
      <c r="I1355" s="3"/>
      <c r="J1355" s="3"/>
      <c r="K1355" s="3"/>
      <c r="L1355" s="3"/>
      <c r="M1355" s="3"/>
    </row>
    <row r="1356" spans="1:13" s="33" customFormat="1">
      <c r="A1356" s="71"/>
      <c r="B1356" s="3"/>
      <c r="C1356" s="3"/>
      <c r="D1356" s="3"/>
      <c r="E1356" s="3"/>
      <c r="F1356" s="3"/>
      <c r="G1356" s="3"/>
      <c r="H1356" s="3"/>
      <c r="I1356" s="3"/>
      <c r="J1356" s="3"/>
      <c r="K1356" s="3"/>
      <c r="L1356" s="3"/>
      <c r="M1356" s="3"/>
    </row>
    <row r="1357" spans="1:13" s="33" customFormat="1">
      <c r="A1357" s="71"/>
      <c r="B1357" s="3"/>
      <c r="C1357" s="3"/>
      <c r="D1357" s="3"/>
      <c r="E1357" s="3"/>
      <c r="F1357" s="3"/>
      <c r="G1357" s="3"/>
      <c r="H1357" s="3"/>
      <c r="I1357" s="3"/>
      <c r="J1357" s="3"/>
      <c r="K1357" s="3"/>
      <c r="L1357" s="3"/>
      <c r="M1357" s="3"/>
    </row>
    <row r="1358" spans="1:13" s="33" customFormat="1">
      <c r="A1358" s="71"/>
      <c r="B1358" s="3"/>
      <c r="C1358" s="3"/>
      <c r="D1358" s="3"/>
      <c r="E1358" s="3"/>
      <c r="F1358" s="3"/>
      <c r="G1358" s="3"/>
      <c r="H1358" s="3"/>
      <c r="I1358" s="3"/>
      <c r="J1358" s="3"/>
      <c r="K1358" s="3"/>
      <c r="L1358" s="3"/>
      <c r="M1358" s="3"/>
    </row>
    <row r="1359" spans="1:13" s="33" customFormat="1">
      <c r="A1359" s="71"/>
      <c r="B1359" s="3"/>
      <c r="C1359" s="3"/>
      <c r="D1359" s="3"/>
      <c r="E1359" s="3"/>
      <c r="F1359" s="3"/>
      <c r="G1359" s="3"/>
      <c r="H1359" s="3"/>
      <c r="I1359" s="3"/>
      <c r="J1359" s="3"/>
      <c r="K1359" s="3"/>
      <c r="L1359" s="3"/>
      <c r="M1359" s="3"/>
    </row>
    <row r="1360" spans="1:13" s="33" customFormat="1">
      <c r="A1360" s="71"/>
      <c r="B1360" s="3"/>
      <c r="C1360" s="3"/>
      <c r="D1360" s="3"/>
      <c r="E1360" s="3"/>
      <c r="F1360" s="3"/>
      <c r="G1360" s="3"/>
      <c r="H1360" s="3"/>
      <c r="I1360" s="3"/>
      <c r="J1360" s="3"/>
      <c r="K1360" s="3"/>
      <c r="L1360" s="3"/>
      <c r="M1360" s="3"/>
    </row>
    <row r="1361" spans="1:13" s="33" customFormat="1">
      <c r="A1361" s="71"/>
      <c r="B1361" s="3"/>
      <c r="C1361" s="3"/>
      <c r="D1361" s="3"/>
      <c r="E1361" s="3"/>
      <c r="F1361" s="3"/>
      <c r="G1361" s="3"/>
      <c r="H1361" s="3"/>
      <c r="I1361" s="3"/>
      <c r="J1361" s="3"/>
      <c r="K1361" s="3"/>
      <c r="L1361" s="3"/>
      <c r="M1361" s="3"/>
    </row>
    <row r="1362" spans="1:13" s="33" customFormat="1">
      <c r="A1362" s="71"/>
      <c r="B1362" s="3"/>
      <c r="C1362" s="3"/>
      <c r="D1362" s="3"/>
      <c r="E1362" s="3"/>
      <c r="F1362" s="3"/>
      <c r="G1362" s="3"/>
      <c r="H1362" s="3"/>
      <c r="I1362" s="3"/>
      <c r="J1362" s="3"/>
      <c r="K1362" s="3"/>
      <c r="L1362" s="3"/>
      <c r="M1362" s="3"/>
    </row>
    <row r="1363" spans="1:13" s="33" customFormat="1">
      <c r="A1363" s="71"/>
      <c r="B1363" s="3"/>
      <c r="C1363" s="3"/>
      <c r="D1363" s="3"/>
      <c r="E1363" s="3"/>
      <c r="F1363" s="3"/>
      <c r="G1363" s="3"/>
      <c r="H1363" s="3"/>
      <c r="I1363" s="3"/>
      <c r="J1363" s="3"/>
      <c r="K1363" s="3"/>
      <c r="L1363" s="3"/>
      <c r="M1363" s="3"/>
    </row>
    <row r="1364" spans="1:13" s="33" customFormat="1">
      <c r="A1364" s="71"/>
      <c r="B1364" s="3"/>
      <c r="C1364" s="3"/>
      <c r="D1364" s="3"/>
      <c r="E1364" s="3"/>
      <c r="F1364" s="3"/>
      <c r="G1364" s="3"/>
      <c r="H1364" s="3"/>
      <c r="I1364" s="3"/>
      <c r="J1364" s="3"/>
      <c r="K1364" s="3"/>
      <c r="L1364" s="3"/>
      <c r="M1364" s="3"/>
    </row>
    <row r="1365" spans="1:13" s="33" customFormat="1">
      <c r="A1365" s="71"/>
      <c r="B1365" s="3"/>
      <c r="C1365" s="3"/>
      <c r="D1365" s="3"/>
      <c r="E1365" s="3"/>
      <c r="F1365" s="3"/>
      <c r="G1365" s="3"/>
      <c r="H1365" s="3"/>
      <c r="I1365" s="3"/>
      <c r="J1365" s="3"/>
      <c r="K1365" s="3"/>
      <c r="L1365" s="3"/>
      <c r="M1365" s="3"/>
    </row>
    <row r="1366" spans="1:13" s="33" customFormat="1">
      <c r="A1366" s="71"/>
      <c r="B1366" s="3"/>
      <c r="C1366" s="3"/>
      <c r="D1366" s="3"/>
      <c r="E1366" s="3"/>
      <c r="F1366" s="3"/>
      <c r="G1366" s="3"/>
      <c r="H1366" s="3"/>
      <c r="I1366" s="3"/>
      <c r="J1366" s="3"/>
      <c r="K1366" s="3"/>
      <c r="L1366" s="3"/>
      <c r="M1366" s="3"/>
    </row>
    <row r="1367" spans="1:13" s="33" customFormat="1">
      <c r="A1367" s="71"/>
      <c r="B1367" s="3"/>
      <c r="C1367" s="3"/>
      <c r="D1367" s="3"/>
      <c r="E1367" s="3"/>
      <c r="F1367" s="3"/>
      <c r="G1367" s="3"/>
      <c r="H1367" s="3"/>
      <c r="I1367" s="3"/>
      <c r="J1367" s="3"/>
      <c r="K1367" s="3"/>
      <c r="L1367" s="3"/>
      <c r="M1367" s="3"/>
    </row>
    <row r="1368" spans="1:13" s="33" customFormat="1">
      <c r="A1368" s="71"/>
      <c r="B1368" s="3"/>
      <c r="C1368" s="3"/>
      <c r="D1368" s="3"/>
      <c r="E1368" s="3"/>
      <c r="F1368" s="3"/>
      <c r="G1368" s="3"/>
      <c r="H1368" s="3"/>
      <c r="I1368" s="3"/>
      <c r="J1368" s="3"/>
      <c r="K1368" s="3"/>
      <c r="L1368" s="3"/>
      <c r="M1368" s="3"/>
    </row>
    <row r="1369" spans="1:13" s="33" customFormat="1">
      <c r="A1369" s="71"/>
      <c r="B1369" s="3"/>
      <c r="C1369" s="3"/>
      <c r="D1369" s="3"/>
      <c r="E1369" s="3"/>
      <c r="F1369" s="3"/>
      <c r="G1369" s="3"/>
      <c r="H1369" s="3"/>
      <c r="I1369" s="3"/>
      <c r="J1369" s="3"/>
      <c r="K1369" s="3"/>
      <c r="L1369" s="3"/>
      <c r="M1369" s="3"/>
    </row>
    <row r="1370" spans="1:13" s="33" customFormat="1">
      <c r="A1370" s="71"/>
      <c r="B1370" s="3"/>
      <c r="C1370" s="3"/>
      <c r="D1370" s="3"/>
      <c r="E1370" s="3"/>
      <c r="F1370" s="3"/>
      <c r="G1370" s="3"/>
      <c r="H1370" s="3"/>
      <c r="I1370" s="3"/>
      <c r="J1370" s="3"/>
      <c r="K1370" s="3"/>
      <c r="L1370" s="3"/>
      <c r="M1370" s="3"/>
    </row>
    <row r="1371" spans="1:13" s="33" customFormat="1">
      <c r="A1371" s="71"/>
      <c r="B1371" s="3"/>
      <c r="C1371" s="3"/>
      <c r="D1371" s="3"/>
      <c r="E1371" s="3"/>
      <c r="F1371" s="3"/>
      <c r="G1371" s="3"/>
      <c r="H1371" s="3"/>
      <c r="I1371" s="3"/>
      <c r="J1371" s="3"/>
      <c r="K1371" s="3"/>
      <c r="L1371" s="3"/>
      <c r="M1371" s="3"/>
    </row>
    <row r="1372" spans="1:13" s="33" customFormat="1">
      <c r="A1372" s="71"/>
      <c r="B1372" s="3"/>
      <c r="C1372" s="3"/>
      <c r="D1372" s="3"/>
      <c r="E1372" s="3"/>
      <c r="F1372" s="3"/>
      <c r="G1372" s="3"/>
      <c r="H1372" s="3"/>
      <c r="I1372" s="3"/>
      <c r="J1372" s="3"/>
      <c r="K1372" s="3"/>
      <c r="L1372" s="3"/>
      <c r="M1372" s="3"/>
    </row>
    <row r="1373" spans="1:13" s="33" customFormat="1">
      <c r="A1373" s="71"/>
      <c r="B1373" s="3"/>
      <c r="C1373" s="3"/>
      <c r="D1373" s="3"/>
      <c r="E1373" s="3"/>
      <c r="F1373" s="3"/>
      <c r="G1373" s="3"/>
      <c r="H1373" s="3"/>
      <c r="I1373" s="3"/>
      <c r="J1373" s="3"/>
      <c r="K1373" s="3"/>
      <c r="L1373" s="3"/>
      <c r="M1373" s="3"/>
    </row>
    <row r="1374" spans="1:13" s="33" customFormat="1">
      <c r="A1374" s="71"/>
      <c r="B1374" s="3"/>
      <c r="C1374" s="3"/>
      <c r="D1374" s="3"/>
      <c r="E1374" s="3"/>
      <c r="F1374" s="3"/>
      <c r="G1374" s="3"/>
      <c r="H1374" s="3"/>
      <c r="I1374" s="3"/>
      <c r="J1374" s="3"/>
      <c r="K1374" s="3"/>
      <c r="L1374" s="3"/>
      <c r="M1374" s="3"/>
    </row>
    <row r="1375" spans="1:13" s="33" customFormat="1">
      <c r="A1375" s="71"/>
      <c r="B1375" s="3"/>
      <c r="C1375" s="3"/>
      <c r="D1375" s="3"/>
      <c r="E1375" s="3"/>
      <c r="F1375" s="3"/>
      <c r="G1375" s="3"/>
      <c r="H1375" s="3"/>
      <c r="I1375" s="3"/>
      <c r="J1375" s="3"/>
      <c r="K1375" s="3"/>
      <c r="L1375" s="3"/>
      <c r="M1375" s="3"/>
    </row>
    <row r="1376" spans="1:13" s="33" customFormat="1">
      <c r="A1376" s="71"/>
      <c r="B1376" s="3"/>
      <c r="C1376" s="3"/>
      <c r="D1376" s="3"/>
      <c r="E1376" s="3"/>
      <c r="F1376" s="3"/>
      <c r="G1376" s="3"/>
      <c r="H1376" s="3"/>
      <c r="I1376" s="3"/>
      <c r="J1376" s="3"/>
      <c r="K1376" s="3"/>
      <c r="L1376" s="3"/>
      <c r="M1376" s="3"/>
    </row>
    <row r="1377" spans="1:13" s="33" customFormat="1">
      <c r="A1377" s="71"/>
      <c r="B1377" s="3"/>
      <c r="C1377" s="3"/>
      <c r="D1377" s="3"/>
      <c r="E1377" s="3"/>
      <c r="F1377" s="3"/>
      <c r="G1377" s="3"/>
      <c r="H1377" s="3"/>
      <c r="I1377" s="3"/>
      <c r="J1377" s="3"/>
      <c r="K1377" s="3"/>
      <c r="L1377" s="3"/>
      <c r="M1377" s="3"/>
    </row>
    <row r="1378" spans="1:13" s="33" customFormat="1">
      <c r="A1378" s="71"/>
      <c r="B1378" s="3"/>
      <c r="C1378" s="3"/>
      <c r="D1378" s="3"/>
      <c r="E1378" s="3"/>
      <c r="F1378" s="3"/>
      <c r="G1378" s="3"/>
      <c r="H1378" s="3"/>
      <c r="I1378" s="3"/>
      <c r="J1378" s="3"/>
      <c r="K1378" s="3"/>
      <c r="L1378" s="3"/>
      <c r="M1378" s="3"/>
    </row>
    <row r="1379" spans="1:13" s="33" customFormat="1">
      <c r="A1379" s="71"/>
      <c r="B1379" s="3"/>
      <c r="C1379" s="3"/>
      <c r="D1379" s="3"/>
      <c r="E1379" s="3"/>
      <c r="F1379" s="3"/>
      <c r="G1379" s="3"/>
      <c r="H1379" s="3"/>
      <c r="I1379" s="3"/>
      <c r="J1379" s="3"/>
      <c r="K1379" s="3"/>
      <c r="L1379" s="3"/>
      <c r="M1379" s="3"/>
    </row>
    <row r="1380" spans="1:13" s="33" customFormat="1">
      <c r="A1380" s="71"/>
      <c r="B1380" s="3"/>
      <c r="C1380" s="3"/>
      <c r="D1380" s="3"/>
      <c r="E1380" s="3"/>
      <c r="F1380" s="3"/>
      <c r="G1380" s="3"/>
      <c r="H1380" s="3"/>
      <c r="I1380" s="3"/>
      <c r="J1380" s="3"/>
      <c r="K1380" s="3"/>
      <c r="L1380" s="3"/>
      <c r="M1380" s="3"/>
    </row>
    <row r="1381" spans="1:13" s="33" customFormat="1">
      <c r="A1381" s="71"/>
      <c r="B1381" s="3"/>
      <c r="C1381" s="3"/>
      <c r="D1381" s="3"/>
      <c r="E1381" s="3"/>
      <c r="F1381" s="3"/>
      <c r="G1381" s="3"/>
      <c r="H1381" s="3"/>
      <c r="I1381" s="3"/>
      <c r="J1381" s="3"/>
      <c r="K1381" s="3"/>
      <c r="L1381" s="3"/>
      <c r="M1381" s="3"/>
    </row>
    <row r="1382" spans="1:13" s="33" customFormat="1">
      <c r="A1382" s="71"/>
      <c r="B1382" s="3"/>
      <c r="C1382" s="3"/>
      <c r="D1382" s="3"/>
      <c r="E1382" s="3"/>
      <c r="F1382" s="3"/>
      <c r="G1382" s="3"/>
      <c r="H1382" s="3"/>
      <c r="I1382" s="3"/>
      <c r="J1382" s="3"/>
      <c r="K1382" s="3"/>
      <c r="L1382" s="3"/>
      <c r="M1382" s="3"/>
    </row>
    <row r="1383" spans="1:13" s="33" customFormat="1">
      <c r="A1383" s="71"/>
      <c r="B1383" s="3"/>
      <c r="C1383" s="3"/>
      <c r="D1383" s="3"/>
      <c r="E1383" s="3"/>
      <c r="F1383" s="3"/>
      <c r="G1383" s="3"/>
      <c r="H1383" s="3"/>
      <c r="I1383" s="3"/>
      <c r="J1383" s="3"/>
      <c r="K1383" s="3"/>
      <c r="L1383" s="3"/>
      <c r="M1383" s="3"/>
    </row>
    <row r="1384" spans="1:13" s="33" customFormat="1">
      <c r="A1384" s="71"/>
      <c r="B1384" s="3"/>
      <c r="C1384" s="3"/>
      <c r="D1384" s="3"/>
      <c r="E1384" s="3"/>
      <c r="F1384" s="3"/>
      <c r="G1384" s="3"/>
      <c r="H1384" s="3"/>
      <c r="I1384" s="3"/>
      <c r="J1384" s="3"/>
      <c r="K1384" s="3"/>
      <c r="L1384" s="3"/>
      <c r="M1384" s="3"/>
    </row>
    <row r="1385" spans="1:13" s="33" customFormat="1">
      <c r="A1385" s="71"/>
      <c r="B1385" s="3"/>
      <c r="C1385" s="3"/>
      <c r="D1385" s="3"/>
      <c r="E1385" s="3"/>
      <c r="F1385" s="3"/>
      <c r="G1385" s="3"/>
      <c r="H1385" s="3"/>
      <c r="I1385" s="3"/>
      <c r="J1385" s="3"/>
      <c r="K1385" s="3"/>
      <c r="L1385" s="3"/>
      <c r="M1385" s="3"/>
    </row>
    <row r="1386" spans="1:13" s="33" customFormat="1">
      <c r="A1386" s="71"/>
      <c r="B1386" s="3"/>
      <c r="C1386" s="3"/>
      <c r="D1386" s="3"/>
      <c r="E1386" s="3"/>
      <c r="F1386" s="3"/>
      <c r="G1386" s="3"/>
      <c r="H1386" s="3"/>
      <c r="I1386" s="3"/>
      <c r="J1386" s="3"/>
      <c r="K1386" s="3"/>
      <c r="L1386" s="3"/>
      <c r="M1386" s="3"/>
    </row>
    <row r="1387" spans="1:13" s="33" customFormat="1">
      <c r="A1387" s="71"/>
      <c r="B1387" s="3"/>
      <c r="C1387" s="3"/>
      <c r="D1387" s="3"/>
      <c r="E1387" s="3"/>
      <c r="F1387" s="3"/>
      <c r="G1387" s="3"/>
      <c r="H1387" s="3"/>
      <c r="I1387" s="3"/>
      <c r="J1387" s="3"/>
      <c r="K1387" s="3"/>
      <c r="L1387" s="3"/>
      <c r="M1387" s="3"/>
    </row>
    <row r="1388" spans="1:13" s="33" customFormat="1">
      <c r="A1388" s="71"/>
      <c r="B1388" s="3"/>
      <c r="C1388" s="3"/>
      <c r="D1388" s="3"/>
      <c r="E1388" s="3"/>
      <c r="F1388" s="3"/>
      <c r="G1388" s="3"/>
      <c r="H1388" s="3"/>
      <c r="I1388" s="3"/>
      <c r="J1388" s="3"/>
      <c r="K1388" s="3"/>
      <c r="L1388" s="3"/>
      <c r="M1388" s="3"/>
    </row>
    <row r="1389" spans="1:13" s="33" customFormat="1">
      <c r="A1389" s="71"/>
      <c r="B1389" s="3"/>
      <c r="C1389" s="3"/>
      <c r="D1389" s="3"/>
      <c r="E1389" s="3"/>
      <c r="F1389" s="3"/>
      <c r="G1389" s="3"/>
      <c r="H1389" s="3"/>
      <c r="I1389" s="3"/>
      <c r="J1389" s="3"/>
      <c r="K1389" s="3"/>
      <c r="L1389" s="3"/>
      <c r="M1389" s="3"/>
    </row>
    <row r="1390" spans="1:13" s="33" customFormat="1">
      <c r="A1390" s="71"/>
      <c r="B1390" s="3"/>
      <c r="C1390" s="3"/>
      <c r="D1390" s="3"/>
      <c r="E1390" s="3"/>
      <c r="F1390" s="3"/>
      <c r="G1390" s="3"/>
      <c r="H1390" s="3"/>
      <c r="I1390" s="3"/>
      <c r="J1390" s="3"/>
      <c r="K1390" s="3"/>
      <c r="L1390" s="3"/>
      <c r="M1390" s="3"/>
    </row>
    <row r="1391" spans="1:13" s="33" customFormat="1">
      <c r="A1391" s="71"/>
      <c r="B1391" s="3"/>
      <c r="C1391" s="3"/>
      <c r="D1391" s="3"/>
      <c r="E1391" s="3"/>
      <c r="F1391" s="3"/>
      <c r="G1391" s="3"/>
      <c r="H1391" s="3"/>
      <c r="I1391" s="3"/>
      <c r="J1391" s="3"/>
      <c r="K1391" s="3"/>
      <c r="L1391" s="3"/>
      <c r="M1391" s="3"/>
    </row>
    <row r="1392" spans="1:13" s="33" customFormat="1">
      <c r="A1392" s="71"/>
      <c r="B1392" s="3"/>
      <c r="C1392" s="3"/>
      <c r="D1392" s="3"/>
      <c r="E1392" s="3"/>
      <c r="F1392" s="3"/>
      <c r="G1392" s="3"/>
      <c r="H1392" s="3"/>
      <c r="I1392" s="3"/>
      <c r="J1392" s="3"/>
      <c r="K1392" s="3"/>
      <c r="L1392" s="3"/>
      <c r="M1392" s="3"/>
    </row>
    <row r="1393" spans="1:13" s="33" customFormat="1">
      <c r="A1393" s="71"/>
      <c r="B1393" s="3"/>
      <c r="C1393" s="3"/>
      <c r="D1393" s="3"/>
      <c r="E1393" s="3"/>
      <c r="F1393" s="3"/>
      <c r="G1393" s="3"/>
      <c r="H1393" s="3"/>
      <c r="I1393" s="3"/>
      <c r="J1393" s="3"/>
      <c r="K1393" s="3"/>
      <c r="L1393" s="3"/>
      <c r="M1393" s="3"/>
    </row>
    <row r="1394" spans="1:13" s="33" customFormat="1">
      <c r="A1394" s="71"/>
      <c r="B1394" s="3"/>
      <c r="C1394" s="3"/>
      <c r="D1394" s="3"/>
      <c r="E1394" s="3"/>
      <c r="F1394" s="3"/>
      <c r="G1394" s="3"/>
      <c r="H1394" s="3"/>
      <c r="I1394" s="3"/>
      <c r="J1394" s="3"/>
      <c r="K1394" s="3"/>
      <c r="L1394" s="3"/>
      <c r="M1394" s="3"/>
    </row>
    <row r="1395" spans="1:13" s="33" customFormat="1">
      <c r="A1395" s="71"/>
      <c r="B1395" s="3"/>
      <c r="C1395" s="3"/>
      <c r="D1395" s="3"/>
      <c r="E1395" s="3"/>
      <c r="F1395" s="3"/>
      <c r="G1395" s="3"/>
      <c r="H1395" s="3"/>
      <c r="I1395" s="3"/>
      <c r="J1395" s="3"/>
      <c r="K1395" s="3"/>
      <c r="L1395" s="3"/>
      <c r="M1395" s="3"/>
    </row>
    <row r="1396" spans="1:13" s="33" customFormat="1">
      <c r="A1396" s="71"/>
      <c r="B1396" s="3"/>
      <c r="C1396" s="3"/>
      <c r="D1396" s="3"/>
      <c r="E1396" s="3"/>
      <c r="F1396" s="3"/>
      <c r="G1396" s="3"/>
      <c r="H1396" s="3"/>
      <c r="I1396" s="3"/>
      <c r="J1396" s="3"/>
      <c r="K1396" s="3"/>
      <c r="L1396" s="3"/>
      <c r="M1396" s="3"/>
    </row>
    <row r="1397" spans="1:13" s="33" customFormat="1">
      <c r="A1397" s="71"/>
      <c r="B1397" s="3"/>
      <c r="C1397" s="3"/>
      <c r="D1397" s="3"/>
      <c r="E1397" s="3"/>
      <c r="F1397" s="3"/>
      <c r="G1397" s="3"/>
      <c r="H1397" s="3"/>
      <c r="I1397" s="3"/>
      <c r="J1397" s="3"/>
      <c r="K1397" s="3"/>
      <c r="L1397" s="3"/>
      <c r="M1397" s="3"/>
    </row>
    <row r="1398" spans="1:13" s="33" customFormat="1">
      <c r="A1398" s="71"/>
      <c r="B1398" s="3"/>
      <c r="C1398" s="3"/>
      <c r="D1398" s="3"/>
      <c r="E1398" s="3"/>
      <c r="F1398" s="3"/>
      <c r="G1398" s="3"/>
      <c r="H1398" s="3"/>
      <c r="I1398" s="3"/>
      <c r="J1398" s="3"/>
      <c r="K1398" s="3"/>
      <c r="L1398" s="3"/>
      <c r="M1398" s="3"/>
    </row>
    <row r="1399" spans="1:13" s="33" customFormat="1">
      <c r="A1399" s="71"/>
      <c r="B1399" s="3"/>
      <c r="C1399" s="3"/>
      <c r="D1399" s="3"/>
      <c r="E1399" s="3"/>
      <c r="F1399" s="3"/>
      <c r="G1399" s="3"/>
      <c r="H1399" s="3"/>
      <c r="I1399" s="3"/>
      <c r="J1399" s="3"/>
      <c r="K1399" s="3"/>
      <c r="L1399" s="3"/>
      <c r="M1399" s="3"/>
    </row>
    <row r="1400" spans="1:13" s="33" customFormat="1">
      <c r="A1400" s="71"/>
      <c r="B1400" s="3"/>
      <c r="C1400" s="3"/>
      <c r="D1400" s="3"/>
      <c r="E1400" s="3"/>
      <c r="F1400" s="3"/>
      <c r="G1400" s="3"/>
      <c r="H1400" s="3"/>
      <c r="I1400" s="3"/>
      <c r="J1400" s="3"/>
      <c r="K1400" s="3"/>
      <c r="L1400" s="3"/>
      <c r="M1400" s="3"/>
    </row>
    <row r="1401" spans="1:13" s="33" customFormat="1">
      <c r="A1401" s="71"/>
      <c r="B1401" s="3"/>
      <c r="C1401" s="3"/>
      <c r="D1401" s="3"/>
      <c r="E1401" s="3"/>
      <c r="F1401" s="3"/>
      <c r="G1401" s="3"/>
      <c r="H1401" s="3"/>
      <c r="I1401" s="3"/>
      <c r="J1401" s="3"/>
      <c r="K1401" s="3"/>
      <c r="L1401" s="3"/>
      <c r="M1401" s="3"/>
    </row>
    <row r="1402" spans="1:13" s="33" customFormat="1">
      <c r="A1402" s="71"/>
      <c r="B1402" s="3"/>
      <c r="C1402" s="3"/>
      <c r="D1402" s="3"/>
      <c r="E1402" s="3"/>
      <c r="F1402" s="3"/>
      <c r="G1402" s="3"/>
      <c r="H1402" s="3"/>
      <c r="I1402" s="3"/>
      <c r="J1402" s="3"/>
      <c r="K1402" s="3"/>
      <c r="L1402" s="3"/>
      <c r="M1402" s="3"/>
    </row>
    <row r="1403" spans="1:13" s="33" customFormat="1">
      <c r="A1403" s="71"/>
      <c r="B1403" s="3"/>
      <c r="C1403" s="3"/>
      <c r="D1403" s="3"/>
      <c r="E1403" s="3"/>
      <c r="F1403" s="3"/>
      <c r="G1403" s="3"/>
      <c r="H1403" s="3"/>
      <c r="I1403" s="3"/>
      <c r="J1403" s="3"/>
      <c r="K1403" s="3"/>
      <c r="L1403" s="3"/>
      <c r="M1403" s="3"/>
    </row>
    <row r="1404" spans="1:13" s="33" customFormat="1">
      <c r="A1404" s="71"/>
      <c r="B1404" s="3"/>
      <c r="C1404" s="3"/>
      <c r="D1404" s="3"/>
      <c r="E1404" s="3"/>
      <c r="F1404" s="3"/>
      <c r="G1404" s="3"/>
      <c r="H1404" s="3"/>
      <c r="I1404" s="3"/>
      <c r="J1404" s="3"/>
      <c r="K1404" s="3"/>
      <c r="L1404" s="3"/>
      <c r="M1404" s="3"/>
    </row>
    <row r="1405" spans="1:13" s="33" customFormat="1">
      <c r="A1405" s="71"/>
      <c r="B1405" s="3"/>
      <c r="C1405" s="3"/>
      <c r="D1405" s="3"/>
      <c r="E1405" s="3"/>
      <c r="F1405" s="3"/>
      <c r="G1405" s="3"/>
      <c r="H1405" s="3"/>
      <c r="I1405" s="3"/>
      <c r="J1405" s="3"/>
      <c r="K1405" s="3"/>
      <c r="L1405" s="3"/>
      <c r="M1405" s="3"/>
    </row>
    <row r="1406" spans="1:13" s="33" customFormat="1">
      <c r="A1406" s="71"/>
      <c r="B1406" s="3"/>
      <c r="C1406" s="3"/>
      <c r="D1406" s="3"/>
      <c r="E1406" s="3"/>
      <c r="F1406" s="3"/>
      <c r="G1406" s="3"/>
      <c r="H1406" s="3"/>
      <c r="I1406" s="3"/>
      <c r="J1406" s="3"/>
      <c r="K1406" s="3"/>
      <c r="L1406" s="3"/>
      <c r="M1406" s="3"/>
    </row>
    <row r="1407" spans="1:13" s="33" customFormat="1">
      <c r="A1407" s="71"/>
      <c r="B1407" s="3"/>
      <c r="C1407" s="3"/>
      <c r="D1407" s="3"/>
      <c r="E1407" s="3"/>
      <c r="F1407" s="3"/>
      <c r="G1407" s="3"/>
      <c r="H1407" s="3"/>
      <c r="I1407" s="3"/>
      <c r="J1407" s="3"/>
      <c r="K1407" s="3"/>
      <c r="L1407" s="3"/>
      <c r="M1407" s="3"/>
    </row>
    <row r="1408" spans="1:13" s="33" customFormat="1">
      <c r="A1408" s="71"/>
      <c r="B1408" s="3"/>
      <c r="C1408" s="3"/>
      <c r="D1408" s="3"/>
      <c r="E1408" s="3"/>
      <c r="F1408" s="3"/>
      <c r="G1408" s="3"/>
      <c r="H1408" s="3"/>
      <c r="I1408" s="3"/>
      <c r="J1408" s="3"/>
      <c r="K1408" s="3"/>
      <c r="L1408" s="3"/>
      <c r="M1408" s="3"/>
    </row>
    <row r="1409" spans="1:13" s="33" customFormat="1">
      <c r="A1409" s="71"/>
      <c r="B1409" s="3"/>
      <c r="C1409" s="3"/>
      <c r="D1409" s="3"/>
      <c r="E1409" s="3"/>
      <c r="F1409" s="3"/>
      <c r="G1409" s="3"/>
      <c r="H1409" s="3"/>
      <c r="I1409" s="3"/>
      <c r="J1409" s="3"/>
      <c r="K1409" s="3"/>
      <c r="L1409" s="3"/>
      <c r="M1409" s="3"/>
    </row>
    <row r="1410" spans="1:13" s="33" customFormat="1">
      <c r="A1410" s="71"/>
      <c r="B1410" s="3"/>
      <c r="C1410" s="3"/>
      <c r="D1410" s="3"/>
      <c r="E1410" s="3"/>
      <c r="F1410" s="3"/>
      <c r="G1410" s="3"/>
      <c r="H1410" s="3"/>
      <c r="I1410" s="3"/>
      <c r="J1410" s="3"/>
      <c r="K1410" s="3"/>
      <c r="L1410" s="3"/>
      <c r="M1410" s="3"/>
    </row>
    <row r="1411" spans="1:13" s="33" customFormat="1">
      <c r="A1411" s="71"/>
      <c r="B1411" s="3"/>
      <c r="C1411" s="3"/>
      <c r="D1411" s="3"/>
      <c r="E1411" s="3"/>
      <c r="F1411" s="3"/>
      <c r="G1411" s="3"/>
      <c r="H1411" s="3"/>
      <c r="I1411" s="3"/>
      <c r="J1411" s="3"/>
      <c r="K1411" s="3"/>
      <c r="L1411" s="3"/>
      <c r="M1411" s="3"/>
    </row>
    <row r="1412" spans="1:13" s="33" customFormat="1">
      <c r="A1412" s="71"/>
      <c r="B1412" s="3"/>
      <c r="C1412" s="3"/>
      <c r="D1412" s="3"/>
      <c r="E1412" s="3"/>
      <c r="F1412" s="3"/>
      <c r="G1412" s="3"/>
      <c r="H1412" s="3"/>
      <c r="I1412" s="3"/>
      <c r="J1412" s="3"/>
      <c r="K1412" s="3"/>
      <c r="L1412" s="3"/>
      <c r="M1412" s="3"/>
    </row>
    <row r="1413" spans="1:13" s="33" customFormat="1">
      <c r="A1413" s="71"/>
      <c r="B1413" s="3"/>
      <c r="C1413" s="3"/>
      <c r="D1413" s="3"/>
      <c r="E1413" s="3"/>
      <c r="F1413" s="3"/>
      <c r="G1413" s="3"/>
      <c r="H1413" s="3"/>
      <c r="I1413" s="3"/>
      <c r="J1413" s="3"/>
      <c r="K1413" s="3"/>
      <c r="L1413" s="3"/>
      <c r="M1413" s="3"/>
    </row>
    <row r="1414" spans="1:13" s="33" customFormat="1">
      <c r="A1414" s="71"/>
      <c r="B1414" s="3"/>
      <c r="C1414" s="3"/>
      <c r="D1414" s="3"/>
      <c r="E1414" s="3"/>
      <c r="F1414" s="3"/>
      <c r="G1414" s="3"/>
      <c r="H1414" s="3"/>
      <c r="I1414" s="3"/>
      <c r="J1414" s="3"/>
      <c r="K1414" s="3"/>
      <c r="L1414" s="3"/>
      <c r="M1414" s="3"/>
    </row>
    <row r="1415" spans="1:13" s="33" customFormat="1">
      <c r="A1415" s="71"/>
      <c r="B1415" s="3"/>
      <c r="C1415" s="3"/>
      <c r="D1415" s="3"/>
      <c r="E1415" s="3"/>
      <c r="F1415" s="3"/>
      <c r="G1415" s="3"/>
      <c r="H1415" s="3"/>
      <c r="I1415" s="3"/>
      <c r="J1415" s="3"/>
      <c r="K1415" s="3"/>
      <c r="L1415" s="3"/>
      <c r="M1415" s="3"/>
    </row>
    <row r="1416" spans="1:13" s="33" customFormat="1">
      <c r="A1416" s="71"/>
      <c r="B1416" s="3"/>
      <c r="C1416" s="3"/>
      <c r="D1416" s="3"/>
      <c r="E1416" s="3"/>
      <c r="F1416" s="3"/>
      <c r="G1416" s="3"/>
      <c r="H1416" s="3"/>
      <c r="I1416" s="3"/>
      <c r="J1416" s="3"/>
      <c r="K1416" s="3"/>
      <c r="L1416" s="3"/>
      <c r="M1416" s="3"/>
    </row>
    <row r="1417" spans="1:13" s="33" customFormat="1">
      <c r="A1417" s="71"/>
      <c r="B1417" s="3"/>
      <c r="C1417" s="3"/>
      <c r="D1417" s="3"/>
      <c r="E1417" s="3"/>
      <c r="F1417" s="3"/>
      <c r="G1417" s="3"/>
      <c r="H1417" s="3"/>
      <c r="I1417" s="3"/>
      <c r="J1417" s="3"/>
      <c r="K1417" s="3"/>
      <c r="L1417" s="3"/>
      <c r="M1417" s="3"/>
    </row>
    <row r="1418" spans="1:13" s="33" customFormat="1">
      <c r="A1418" s="71"/>
      <c r="B1418" s="3"/>
      <c r="C1418" s="3"/>
      <c r="D1418" s="3"/>
      <c r="E1418" s="3"/>
      <c r="F1418" s="3"/>
      <c r="G1418" s="3"/>
      <c r="H1418" s="3"/>
      <c r="I1418" s="3"/>
      <c r="J1418" s="3"/>
      <c r="K1418" s="3"/>
      <c r="L1418" s="3"/>
      <c r="M1418" s="3"/>
    </row>
    <row r="1419" spans="1:13" s="33" customFormat="1">
      <c r="A1419" s="71"/>
      <c r="B1419" s="3"/>
      <c r="C1419" s="3"/>
      <c r="D1419" s="3"/>
      <c r="E1419" s="3"/>
      <c r="F1419" s="3"/>
      <c r="G1419" s="3"/>
      <c r="H1419" s="3"/>
      <c r="I1419" s="3"/>
      <c r="J1419" s="3"/>
      <c r="K1419" s="3"/>
      <c r="L1419" s="3"/>
      <c r="M1419" s="3"/>
    </row>
    <row r="1420" spans="1:13" s="33" customFormat="1">
      <c r="A1420" s="71"/>
      <c r="B1420" s="3"/>
      <c r="C1420" s="3"/>
      <c r="D1420" s="3"/>
      <c r="E1420" s="3"/>
      <c r="F1420" s="3"/>
      <c r="G1420" s="3"/>
      <c r="H1420" s="3"/>
      <c r="I1420" s="3"/>
      <c r="J1420" s="3"/>
      <c r="K1420" s="3"/>
      <c r="L1420" s="3"/>
      <c r="M1420" s="3"/>
    </row>
    <row r="1421" spans="1:13" s="33" customFormat="1">
      <c r="A1421" s="71"/>
      <c r="B1421" s="3"/>
      <c r="C1421" s="3"/>
      <c r="D1421" s="3"/>
      <c r="E1421" s="3"/>
      <c r="F1421" s="3"/>
      <c r="G1421" s="3"/>
      <c r="H1421" s="3"/>
      <c r="I1421" s="3"/>
      <c r="J1421" s="3"/>
      <c r="K1421" s="3"/>
      <c r="L1421" s="3"/>
      <c r="M1421" s="3"/>
    </row>
    <row r="1422" spans="1:13" s="33" customFormat="1">
      <c r="A1422" s="71"/>
      <c r="B1422" s="3"/>
      <c r="C1422" s="3"/>
      <c r="D1422" s="3"/>
      <c r="E1422" s="3"/>
      <c r="F1422" s="3"/>
      <c r="G1422" s="3"/>
      <c r="H1422" s="3"/>
      <c r="I1422" s="3"/>
      <c r="J1422" s="3"/>
      <c r="K1422" s="3"/>
      <c r="L1422" s="3"/>
      <c r="M1422" s="3"/>
    </row>
    <row r="1423" spans="1:13" s="33" customFormat="1">
      <c r="A1423" s="71"/>
      <c r="B1423" s="3"/>
      <c r="C1423" s="3"/>
      <c r="D1423" s="3"/>
      <c r="E1423" s="3"/>
      <c r="F1423" s="3"/>
      <c r="G1423" s="3"/>
      <c r="H1423" s="3"/>
      <c r="I1423" s="3"/>
      <c r="J1423" s="3"/>
      <c r="K1423" s="3"/>
      <c r="L1423" s="3"/>
      <c r="M1423" s="3"/>
    </row>
    <row r="1424" spans="1:13" s="33" customFormat="1">
      <c r="A1424" s="71"/>
      <c r="B1424" s="3"/>
      <c r="C1424" s="3"/>
      <c r="D1424" s="3"/>
      <c r="E1424" s="3"/>
      <c r="F1424" s="3"/>
      <c r="G1424" s="3"/>
      <c r="H1424" s="3"/>
      <c r="I1424" s="3"/>
      <c r="J1424" s="3"/>
      <c r="K1424" s="3"/>
      <c r="L1424" s="3"/>
      <c r="M1424" s="3"/>
    </row>
    <row r="1425" spans="1:13" s="33" customFormat="1">
      <c r="A1425" s="71"/>
      <c r="B1425" s="3"/>
      <c r="C1425" s="3"/>
      <c r="D1425" s="3"/>
      <c r="E1425" s="3"/>
      <c r="F1425" s="3"/>
      <c r="G1425" s="3"/>
      <c r="H1425" s="3"/>
      <c r="I1425" s="3"/>
      <c r="J1425" s="3"/>
      <c r="K1425" s="3"/>
      <c r="L1425" s="3"/>
      <c r="M1425" s="3"/>
    </row>
    <row r="1426" spans="1:13" s="33" customFormat="1">
      <c r="A1426" s="71"/>
      <c r="B1426" s="3"/>
      <c r="C1426" s="3"/>
      <c r="D1426" s="3"/>
      <c r="E1426" s="3"/>
      <c r="F1426" s="3"/>
      <c r="G1426" s="3"/>
      <c r="H1426" s="3"/>
      <c r="I1426" s="3"/>
      <c r="J1426" s="3"/>
      <c r="K1426" s="3"/>
      <c r="L1426" s="3"/>
      <c r="M1426" s="3"/>
    </row>
    <row r="1427" spans="1:13" s="33" customFormat="1">
      <c r="A1427" s="71"/>
      <c r="B1427" s="3"/>
      <c r="C1427" s="3"/>
      <c r="D1427" s="3"/>
      <c r="E1427" s="3"/>
      <c r="F1427" s="3"/>
      <c r="G1427" s="3"/>
      <c r="H1427" s="3"/>
      <c r="I1427" s="3"/>
      <c r="J1427" s="3"/>
      <c r="K1427" s="3"/>
      <c r="L1427" s="3"/>
      <c r="M1427" s="3"/>
    </row>
    <row r="1428" spans="1:13" s="33" customFormat="1">
      <c r="A1428" s="71"/>
      <c r="B1428" s="3"/>
      <c r="C1428" s="3"/>
      <c r="D1428" s="3"/>
      <c r="E1428" s="3"/>
      <c r="F1428" s="3"/>
      <c r="G1428" s="3"/>
      <c r="H1428" s="3"/>
      <c r="I1428" s="3"/>
      <c r="J1428" s="3"/>
      <c r="K1428" s="3"/>
      <c r="L1428" s="3"/>
      <c r="M1428" s="3"/>
    </row>
    <row r="1429" spans="1:13" s="33" customFormat="1">
      <c r="A1429" s="71"/>
      <c r="B1429" s="3"/>
      <c r="C1429" s="3"/>
      <c r="D1429" s="3"/>
      <c r="E1429" s="3"/>
      <c r="F1429" s="3"/>
      <c r="G1429" s="3"/>
      <c r="H1429" s="3"/>
      <c r="I1429" s="3"/>
      <c r="J1429" s="3"/>
      <c r="K1429" s="3"/>
      <c r="L1429" s="3"/>
      <c r="M1429" s="3"/>
    </row>
    <row r="1430" spans="1:13" s="33" customFormat="1">
      <c r="A1430" s="71"/>
      <c r="B1430" s="3"/>
      <c r="C1430" s="3"/>
      <c r="D1430" s="3"/>
      <c r="E1430" s="3"/>
      <c r="F1430" s="3"/>
      <c r="G1430" s="3"/>
      <c r="H1430" s="3"/>
      <c r="I1430" s="3"/>
      <c r="J1430" s="3"/>
      <c r="K1430" s="3"/>
      <c r="L1430" s="3"/>
      <c r="M1430" s="3"/>
    </row>
    <row r="1431" spans="1:13" s="33" customFormat="1">
      <c r="A1431" s="71"/>
      <c r="B1431" s="3"/>
      <c r="C1431" s="3"/>
      <c r="D1431" s="3"/>
      <c r="E1431" s="3"/>
      <c r="F1431" s="3"/>
      <c r="G1431" s="3"/>
      <c r="H1431" s="3"/>
      <c r="I1431" s="3"/>
      <c r="J1431" s="3"/>
      <c r="K1431" s="3"/>
      <c r="L1431" s="3"/>
      <c r="M1431" s="3"/>
    </row>
    <row r="1432" spans="1:13" s="33" customFormat="1">
      <c r="A1432" s="71"/>
      <c r="B1432" s="3"/>
      <c r="C1432" s="3"/>
      <c r="D1432" s="3"/>
      <c r="E1432" s="3"/>
      <c r="F1432" s="3"/>
      <c r="G1432" s="3"/>
      <c r="H1432" s="3"/>
      <c r="I1432" s="3"/>
      <c r="J1432" s="3"/>
      <c r="K1432" s="3"/>
      <c r="L1432" s="3"/>
      <c r="M1432" s="3"/>
    </row>
    <row r="1433" spans="1:13" s="33" customFormat="1">
      <c r="A1433" s="71"/>
      <c r="B1433" s="3"/>
      <c r="C1433" s="3"/>
      <c r="D1433" s="3"/>
      <c r="E1433" s="3"/>
      <c r="F1433" s="3"/>
      <c r="G1433" s="3"/>
      <c r="H1433" s="3"/>
      <c r="I1433" s="3"/>
      <c r="J1433" s="3"/>
      <c r="K1433" s="3"/>
      <c r="L1433" s="3"/>
      <c r="M1433" s="3"/>
    </row>
    <row r="1434" spans="1:13" s="33" customFormat="1">
      <c r="A1434" s="71"/>
      <c r="B1434" s="3"/>
      <c r="C1434" s="3"/>
      <c r="D1434" s="3"/>
      <c r="E1434" s="3"/>
      <c r="F1434" s="3"/>
      <c r="G1434" s="3"/>
      <c r="H1434" s="3"/>
      <c r="I1434" s="3"/>
      <c r="J1434" s="3"/>
      <c r="K1434" s="3"/>
      <c r="L1434" s="3"/>
      <c r="M1434" s="3"/>
    </row>
    <row r="1435" spans="1:13" s="33" customFormat="1">
      <c r="A1435" s="71"/>
      <c r="B1435" s="3"/>
      <c r="C1435" s="3"/>
      <c r="D1435" s="3"/>
      <c r="E1435" s="3"/>
      <c r="F1435" s="3"/>
      <c r="G1435" s="3"/>
      <c r="H1435" s="3"/>
      <c r="I1435" s="3"/>
      <c r="J1435" s="3"/>
      <c r="K1435" s="3"/>
      <c r="L1435" s="3"/>
      <c r="M1435" s="3"/>
    </row>
    <row r="1436" spans="1:13" s="33" customFormat="1">
      <c r="A1436" s="71"/>
      <c r="B1436" s="3"/>
      <c r="C1436" s="3"/>
      <c r="D1436" s="3"/>
      <c r="E1436" s="3"/>
      <c r="F1436" s="3"/>
      <c r="G1436" s="3"/>
      <c r="H1436" s="3"/>
      <c r="I1436" s="3"/>
      <c r="J1436" s="3"/>
      <c r="K1436" s="3"/>
      <c r="L1436" s="3"/>
      <c r="M1436" s="3"/>
    </row>
    <row r="1437" spans="1:13" s="33" customFormat="1">
      <c r="A1437" s="71"/>
      <c r="B1437" s="3"/>
      <c r="C1437" s="3"/>
      <c r="D1437" s="3"/>
      <c r="E1437" s="3"/>
      <c r="F1437" s="3"/>
      <c r="G1437" s="3"/>
      <c r="H1437" s="3"/>
      <c r="I1437" s="3"/>
      <c r="J1437" s="3"/>
      <c r="K1437" s="3"/>
      <c r="L1437" s="3"/>
      <c r="M1437" s="3"/>
    </row>
    <row r="1438" spans="1:13" s="33" customFormat="1">
      <c r="A1438" s="71"/>
      <c r="B1438" s="3"/>
      <c r="C1438" s="3"/>
      <c r="D1438" s="3"/>
      <c r="E1438" s="3"/>
      <c r="F1438" s="3"/>
      <c r="G1438" s="3"/>
      <c r="H1438" s="3"/>
      <c r="I1438" s="3"/>
      <c r="J1438" s="3"/>
      <c r="K1438" s="3"/>
      <c r="L1438" s="3"/>
      <c r="M1438" s="3"/>
    </row>
    <row r="1439" spans="1:13" s="33" customFormat="1">
      <c r="A1439" s="71"/>
      <c r="B1439" s="3"/>
      <c r="C1439" s="3"/>
      <c r="D1439" s="3"/>
      <c r="E1439" s="3"/>
      <c r="F1439" s="3"/>
      <c r="G1439" s="3"/>
      <c r="H1439" s="3"/>
      <c r="I1439" s="3"/>
      <c r="J1439" s="3"/>
      <c r="K1439" s="3"/>
      <c r="L1439" s="3"/>
      <c r="M1439" s="3"/>
    </row>
    <row r="1440" spans="1:13" s="33" customFormat="1">
      <c r="A1440" s="71"/>
      <c r="B1440" s="3"/>
      <c r="C1440" s="3"/>
      <c r="D1440" s="3"/>
      <c r="E1440" s="3"/>
      <c r="F1440" s="3"/>
      <c r="G1440" s="3"/>
      <c r="H1440" s="3"/>
      <c r="I1440" s="3"/>
      <c r="J1440" s="3"/>
      <c r="K1440" s="3"/>
      <c r="L1440" s="3"/>
      <c r="M1440" s="3"/>
    </row>
    <row r="1441" spans="1:13" s="33" customFormat="1">
      <c r="A1441" s="71"/>
      <c r="B1441" s="3"/>
      <c r="C1441" s="3"/>
      <c r="D1441" s="3"/>
      <c r="E1441" s="3"/>
      <c r="F1441" s="3"/>
      <c r="G1441" s="3"/>
      <c r="H1441" s="3"/>
      <c r="I1441" s="3"/>
      <c r="J1441" s="3"/>
      <c r="K1441" s="3"/>
      <c r="L1441" s="3"/>
      <c r="M1441" s="3"/>
    </row>
    <row r="1442" spans="1:13" s="33" customFormat="1">
      <c r="A1442" s="71"/>
      <c r="B1442" s="3"/>
      <c r="C1442" s="3"/>
      <c r="D1442" s="3"/>
      <c r="E1442" s="3"/>
      <c r="F1442" s="3"/>
      <c r="G1442" s="3"/>
      <c r="H1442" s="3"/>
      <c r="I1442" s="3"/>
      <c r="J1442" s="3"/>
      <c r="K1442" s="3"/>
      <c r="L1442" s="3"/>
      <c r="M1442" s="3"/>
    </row>
    <row r="1443" spans="1:13" s="33" customFormat="1">
      <c r="A1443" s="71"/>
      <c r="B1443" s="3"/>
      <c r="C1443" s="3"/>
      <c r="D1443" s="3"/>
      <c r="E1443" s="3"/>
      <c r="F1443" s="3"/>
      <c r="G1443" s="3"/>
      <c r="H1443" s="3"/>
      <c r="I1443" s="3"/>
      <c r="J1443" s="3"/>
      <c r="K1443" s="3"/>
      <c r="L1443" s="3"/>
      <c r="M1443" s="3"/>
    </row>
    <row r="1444" spans="1:13" s="33" customFormat="1">
      <c r="A1444" s="71"/>
      <c r="B1444" s="3"/>
      <c r="C1444" s="3"/>
      <c r="D1444" s="3"/>
      <c r="E1444" s="3"/>
      <c r="F1444" s="3"/>
      <c r="G1444" s="3"/>
      <c r="H1444" s="3"/>
      <c r="I1444" s="3"/>
      <c r="J1444" s="3"/>
      <c r="K1444" s="3"/>
      <c r="L1444" s="3"/>
      <c r="M1444" s="3"/>
    </row>
    <row r="1445" spans="1:13" s="33" customFormat="1">
      <c r="A1445" s="71"/>
      <c r="B1445" s="3"/>
      <c r="C1445" s="3"/>
      <c r="D1445" s="3"/>
      <c r="E1445" s="3"/>
      <c r="F1445" s="3"/>
      <c r="G1445" s="3"/>
      <c r="H1445" s="3"/>
      <c r="I1445" s="3"/>
      <c r="J1445" s="3"/>
      <c r="K1445" s="3"/>
      <c r="L1445" s="3"/>
      <c r="M1445" s="3"/>
    </row>
    <row r="1446" spans="1:13" s="33" customFormat="1">
      <c r="A1446" s="71"/>
      <c r="B1446" s="3"/>
      <c r="C1446" s="3"/>
      <c r="D1446" s="3"/>
      <c r="E1446" s="3"/>
      <c r="F1446" s="3"/>
      <c r="G1446" s="3"/>
      <c r="H1446" s="3"/>
      <c r="I1446" s="3"/>
      <c r="J1446" s="3"/>
      <c r="K1446" s="3"/>
      <c r="L1446" s="3"/>
      <c r="M1446" s="3"/>
    </row>
    <row r="1447" spans="1:13" s="33" customFormat="1">
      <c r="A1447" s="71"/>
      <c r="B1447" s="3"/>
      <c r="C1447" s="3"/>
      <c r="D1447" s="3"/>
      <c r="E1447" s="3"/>
      <c r="F1447" s="3"/>
      <c r="G1447" s="3"/>
      <c r="H1447" s="3"/>
      <c r="I1447" s="3"/>
      <c r="J1447" s="3"/>
      <c r="K1447" s="3"/>
      <c r="L1447" s="3"/>
      <c r="M1447" s="3"/>
    </row>
    <row r="1448" spans="1:13" s="33" customFormat="1">
      <c r="A1448" s="71"/>
      <c r="B1448" s="3"/>
      <c r="C1448" s="3"/>
      <c r="D1448" s="3"/>
      <c r="E1448" s="3"/>
      <c r="F1448" s="3"/>
      <c r="G1448" s="3"/>
      <c r="H1448" s="3"/>
      <c r="I1448" s="3"/>
      <c r="J1448" s="3"/>
      <c r="K1448" s="3"/>
      <c r="L1448" s="3"/>
      <c r="M1448" s="3"/>
    </row>
    <row r="1449" spans="1:13" s="33" customFormat="1">
      <c r="A1449" s="71"/>
      <c r="B1449" s="3"/>
      <c r="C1449" s="3"/>
      <c r="D1449" s="3"/>
      <c r="E1449" s="3"/>
      <c r="F1449" s="3"/>
      <c r="G1449" s="3"/>
      <c r="H1449" s="3"/>
      <c r="I1449" s="3"/>
      <c r="J1449" s="3"/>
      <c r="K1449" s="3"/>
      <c r="L1449" s="3"/>
      <c r="M1449" s="3"/>
    </row>
    <row r="1450" spans="1:13" s="33" customFormat="1">
      <c r="A1450" s="71"/>
      <c r="B1450" s="3"/>
      <c r="C1450" s="3"/>
      <c r="D1450" s="3"/>
      <c r="E1450" s="3"/>
      <c r="F1450" s="3"/>
      <c r="G1450" s="3"/>
      <c r="H1450" s="3"/>
      <c r="I1450" s="3"/>
      <c r="J1450" s="3"/>
      <c r="K1450" s="3"/>
      <c r="L1450" s="3"/>
      <c r="M1450" s="3"/>
    </row>
    <row r="1451" spans="1:13" s="33" customFormat="1">
      <c r="A1451" s="71"/>
      <c r="B1451" s="3"/>
      <c r="C1451" s="3"/>
      <c r="D1451" s="3"/>
      <c r="E1451" s="3"/>
      <c r="F1451" s="3"/>
      <c r="G1451" s="3"/>
      <c r="H1451" s="3"/>
      <c r="I1451" s="3"/>
      <c r="J1451" s="3"/>
      <c r="K1451" s="3"/>
      <c r="L1451" s="3"/>
      <c r="M1451" s="3"/>
    </row>
    <row r="1452" spans="1:13" s="33" customFormat="1">
      <c r="A1452" s="71"/>
      <c r="B1452" s="3"/>
      <c r="C1452" s="3"/>
      <c r="D1452" s="3"/>
      <c r="E1452" s="3"/>
      <c r="F1452" s="3"/>
      <c r="G1452" s="3"/>
      <c r="H1452" s="3"/>
      <c r="I1452" s="3"/>
      <c r="J1452" s="3"/>
      <c r="K1452" s="3"/>
      <c r="L1452" s="3"/>
      <c r="M1452" s="3"/>
    </row>
    <row r="1453" spans="1:13" s="33" customFormat="1">
      <c r="A1453" s="71"/>
      <c r="B1453" s="3"/>
      <c r="C1453" s="3"/>
      <c r="D1453" s="3"/>
      <c r="E1453" s="3"/>
      <c r="F1453" s="3"/>
      <c r="G1453" s="3"/>
      <c r="H1453" s="3"/>
      <c r="I1453" s="3"/>
      <c r="J1453" s="3"/>
      <c r="K1453" s="3"/>
      <c r="L1453" s="3"/>
      <c r="M1453" s="3"/>
    </row>
    <row r="1454" spans="1:13" s="33" customFormat="1">
      <c r="A1454" s="71"/>
      <c r="B1454" s="3"/>
      <c r="C1454" s="3"/>
      <c r="D1454" s="3"/>
      <c r="E1454" s="3"/>
      <c r="F1454" s="3"/>
      <c r="G1454" s="3"/>
      <c r="H1454" s="3"/>
      <c r="I1454" s="3"/>
      <c r="J1454" s="3"/>
      <c r="K1454" s="3"/>
      <c r="L1454" s="3"/>
      <c r="M1454" s="3"/>
    </row>
    <row r="1455" spans="1:13" s="33" customFormat="1">
      <c r="A1455" s="71"/>
      <c r="B1455" s="3"/>
      <c r="C1455" s="3"/>
      <c r="D1455" s="3"/>
      <c r="E1455" s="3"/>
      <c r="F1455" s="3"/>
      <c r="G1455" s="3"/>
      <c r="H1455" s="3"/>
      <c r="I1455" s="3"/>
      <c r="J1455" s="3"/>
      <c r="K1455" s="3"/>
      <c r="L1455" s="3"/>
      <c r="M1455" s="3"/>
    </row>
    <row r="1456" spans="1:13" s="33" customFormat="1">
      <c r="A1456" s="71"/>
      <c r="B1456" s="3"/>
      <c r="C1456" s="3"/>
      <c r="D1456" s="3"/>
      <c r="E1456" s="3"/>
      <c r="F1456" s="3"/>
      <c r="G1456" s="3"/>
      <c r="H1456" s="3"/>
      <c r="I1456" s="3"/>
      <c r="J1456" s="3"/>
      <c r="K1456" s="3"/>
      <c r="L1456" s="3"/>
      <c r="M1456" s="3"/>
    </row>
    <row r="1457" spans="1:13" s="33" customFormat="1">
      <c r="A1457" s="71"/>
      <c r="B1457" s="3"/>
      <c r="C1457" s="3"/>
      <c r="D1457" s="3"/>
      <c r="E1457" s="3"/>
      <c r="F1457" s="3"/>
      <c r="G1457" s="3"/>
      <c r="H1457" s="3"/>
      <c r="I1457" s="3"/>
      <c r="J1457" s="3"/>
      <c r="K1457" s="3"/>
      <c r="L1457" s="3"/>
      <c r="M1457" s="3"/>
    </row>
    <row r="1458" spans="1:13" s="33" customFormat="1">
      <c r="A1458" s="71"/>
      <c r="B1458" s="3"/>
      <c r="C1458" s="3"/>
      <c r="D1458" s="3"/>
      <c r="E1458" s="3"/>
      <c r="F1458" s="3"/>
      <c r="G1458" s="3"/>
      <c r="H1458" s="3"/>
      <c r="I1458" s="3"/>
      <c r="J1458" s="3"/>
      <c r="K1458" s="3"/>
      <c r="L1458" s="3"/>
      <c r="M1458" s="3"/>
    </row>
    <row r="1459" spans="1:13" s="33" customFormat="1">
      <c r="A1459" s="71"/>
      <c r="B1459" s="3"/>
      <c r="C1459" s="3"/>
      <c r="D1459" s="3"/>
      <c r="E1459" s="3"/>
      <c r="F1459" s="3"/>
      <c r="G1459" s="3"/>
      <c r="H1459" s="3"/>
      <c r="I1459" s="3"/>
      <c r="J1459" s="3"/>
      <c r="K1459" s="3"/>
      <c r="L1459" s="3"/>
      <c r="M1459" s="3"/>
    </row>
    <row r="1460" spans="1:13" s="33" customFormat="1">
      <c r="A1460" s="71"/>
      <c r="B1460" s="3"/>
      <c r="C1460" s="3"/>
      <c r="D1460" s="3"/>
      <c r="E1460" s="3"/>
      <c r="F1460" s="3"/>
      <c r="G1460" s="3"/>
      <c r="H1460" s="3"/>
      <c r="I1460" s="3"/>
      <c r="J1460" s="3"/>
      <c r="K1460" s="3"/>
      <c r="L1460" s="3"/>
      <c r="M1460" s="3"/>
    </row>
    <row r="1461" spans="1:13" s="33" customFormat="1">
      <c r="A1461" s="71"/>
      <c r="B1461" s="3"/>
      <c r="C1461" s="3"/>
      <c r="D1461" s="3"/>
      <c r="E1461" s="3"/>
      <c r="F1461" s="3"/>
      <c r="G1461" s="3"/>
      <c r="H1461" s="3"/>
      <c r="I1461" s="3"/>
      <c r="J1461" s="3"/>
      <c r="K1461" s="3"/>
      <c r="L1461" s="3"/>
      <c r="M1461" s="3"/>
    </row>
    <row r="1462" spans="1:13" s="33" customFormat="1">
      <c r="A1462" s="71"/>
      <c r="B1462" s="3"/>
      <c r="C1462" s="3"/>
      <c r="D1462" s="3"/>
      <c r="E1462" s="3"/>
      <c r="F1462" s="3"/>
      <c r="G1462" s="3"/>
      <c r="H1462" s="3"/>
      <c r="I1462" s="3"/>
      <c r="J1462" s="3"/>
      <c r="K1462" s="3"/>
      <c r="L1462" s="3"/>
      <c r="M1462" s="3"/>
    </row>
    <row r="1463" spans="1:13" s="33" customFormat="1">
      <c r="A1463" s="71"/>
      <c r="B1463" s="3"/>
      <c r="C1463" s="3"/>
      <c r="D1463" s="3"/>
      <c r="E1463" s="3"/>
      <c r="F1463" s="3"/>
      <c r="G1463" s="3"/>
      <c r="H1463" s="3"/>
      <c r="I1463" s="3"/>
      <c r="J1463" s="3"/>
      <c r="K1463" s="3"/>
      <c r="L1463" s="3"/>
      <c r="M1463" s="3"/>
    </row>
    <row r="1464" spans="1:13" s="33" customFormat="1">
      <c r="A1464" s="71"/>
      <c r="B1464" s="3"/>
      <c r="C1464" s="3"/>
      <c r="D1464" s="3"/>
      <c r="E1464" s="3"/>
      <c r="F1464" s="3"/>
      <c r="G1464" s="3"/>
      <c r="H1464" s="3"/>
      <c r="I1464" s="3"/>
      <c r="J1464" s="3"/>
      <c r="K1464" s="3"/>
      <c r="L1464" s="3"/>
      <c r="M1464" s="3"/>
    </row>
    <row r="1465" spans="1:13" s="33" customFormat="1">
      <c r="A1465" s="71"/>
      <c r="B1465" s="3"/>
      <c r="C1465" s="3"/>
      <c r="D1465" s="3"/>
      <c r="E1465" s="3"/>
      <c r="F1465" s="3"/>
      <c r="G1465" s="3"/>
      <c r="H1465" s="3"/>
      <c r="I1465" s="3"/>
      <c r="J1465" s="3"/>
      <c r="K1465" s="3"/>
      <c r="L1465" s="3"/>
      <c r="M1465" s="3"/>
    </row>
    <row r="1466" spans="1:13" s="33" customFormat="1">
      <c r="A1466" s="71"/>
      <c r="B1466" s="3"/>
      <c r="C1466" s="3"/>
      <c r="D1466" s="3"/>
      <c r="E1466" s="3"/>
      <c r="F1466" s="3"/>
      <c r="G1466" s="3"/>
      <c r="H1466" s="3"/>
      <c r="I1466" s="3"/>
      <c r="J1466" s="3"/>
      <c r="K1466" s="3"/>
      <c r="L1466" s="3"/>
      <c r="M1466" s="3"/>
    </row>
    <row r="1467" spans="1:13" s="33" customFormat="1">
      <c r="A1467" s="71"/>
      <c r="B1467" s="3"/>
      <c r="C1467" s="3"/>
      <c r="D1467" s="3"/>
      <c r="E1467" s="3"/>
      <c r="F1467" s="3"/>
      <c r="G1467" s="3"/>
      <c r="H1467" s="3"/>
      <c r="I1467" s="3"/>
      <c r="J1467" s="3"/>
      <c r="K1467" s="3"/>
      <c r="L1467" s="3"/>
      <c r="M1467" s="3"/>
    </row>
    <row r="1468" spans="1:13" s="33" customFormat="1">
      <c r="A1468" s="71"/>
      <c r="B1468" s="3"/>
      <c r="C1468" s="3"/>
      <c r="D1468" s="3"/>
      <c r="E1468" s="3"/>
      <c r="F1468" s="3"/>
      <c r="G1468" s="3"/>
      <c r="H1468" s="3"/>
      <c r="I1468" s="3"/>
      <c r="J1468" s="3"/>
      <c r="K1468" s="3"/>
      <c r="L1468" s="3"/>
      <c r="M1468" s="3"/>
    </row>
    <row r="1469" spans="1:13" s="33" customFormat="1">
      <c r="A1469" s="71"/>
      <c r="B1469" s="3"/>
      <c r="C1469" s="3"/>
      <c r="D1469" s="3"/>
      <c r="E1469" s="3"/>
      <c r="F1469" s="3"/>
      <c r="G1469" s="3"/>
      <c r="H1469" s="3"/>
      <c r="I1469" s="3"/>
      <c r="J1469" s="3"/>
      <c r="K1469" s="3"/>
      <c r="L1469" s="3"/>
      <c r="M1469" s="3"/>
    </row>
    <row r="1470" spans="1:13" s="33" customFormat="1">
      <c r="A1470" s="71"/>
      <c r="B1470" s="3"/>
      <c r="C1470" s="3"/>
      <c r="D1470" s="3"/>
      <c r="E1470" s="3"/>
      <c r="F1470" s="3"/>
      <c r="G1470" s="3"/>
      <c r="H1470" s="3"/>
      <c r="I1470" s="3"/>
      <c r="J1470" s="3"/>
      <c r="K1470" s="3"/>
      <c r="L1470" s="3"/>
      <c r="M1470" s="3"/>
    </row>
    <row r="1471" spans="1:13" s="33" customFormat="1">
      <c r="A1471" s="71"/>
      <c r="B1471" s="3"/>
      <c r="C1471" s="3"/>
      <c r="D1471" s="3"/>
      <c r="E1471" s="3"/>
      <c r="F1471" s="3"/>
      <c r="G1471" s="3"/>
      <c r="H1471" s="3"/>
      <c r="I1471" s="3"/>
      <c r="J1471" s="3"/>
      <c r="K1471" s="3"/>
      <c r="L1471" s="3"/>
      <c r="M1471" s="3"/>
    </row>
    <row r="1472" spans="1:13" s="33" customFormat="1">
      <c r="A1472" s="71"/>
      <c r="B1472" s="3"/>
      <c r="C1472" s="3"/>
      <c r="D1472" s="3"/>
      <c r="E1472" s="3"/>
      <c r="F1472" s="3"/>
      <c r="G1472" s="3"/>
      <c r="H1472" s="3"/>
      <c r="I1472" s="3"/>
      <c r="J1472" s="3"/>
      <c r="K1472" s="3"/>
      <c r="L1472" s="3"/>
      <c r="M1472" s="3"/>
    </row>
    <row r="1473" spans="1:13" s="33" customFormat="1">
      <c r="A1473" s="71"/>
      <c r="B1473" s="3"/>
      <c r="C1473" s="3"/>
      <c r="D1473" s="3"/>
      <c r="E1473" s="3"/>
      <c r="F1473" s="3"/>
      <c r="G1473" s="3"/>
      <c r="H1473" s="3"/>
      <c r="I1473" s="3"/>
      <c r="J1473" s="3"/>
      <c r="K1473" s="3"/>
      <c r="L1473" s="3"/>
      <c r="M1473" s="3"/>
    </row>
    <row r="1474" spans="1:13" s="33" customFormat="1">
      <c r="A1474" s="71"/>
      <c r="B1474" s="3"/>
      <c r="C1474" s="3"/>
      <c r="D1474" s="3"/>
      <c r="E1474" s="3"/>
      <c r="F1474" s="3"/>
      <c r="G1474" s="3"/>
      <c r="H1474" s="3"/>
      <c r="I1474" s="3"/>
      <c r="J1474" s="3"/>
      <c r="K1474" s="3"/>
      <c r="L1474" s="3"/>
      <c r="M1474" s="3"/>
    </row>
    <row r="1475" spans="1:13" s="33" customFormat="1">
      <c r="A1475" s="71"/>
      <c r="B1475" s="3"/>
      <c r="C1475" s="3"/>
      <c r="D1475" s="3"/>
      <c r="E1475" s="3"/>
      <c r="F1475" s="3"/>
      <c r="G1475" s="3"/>
      <c r="H1475" s="3"/>
      <c r="I1475" s="3"/>
      <c r="J1475" s="3"/>
      <c r="K1475" s="3"/>
      <c r="L1475" s="3"/>
      <c r="M1475" s="3"/>
    </row>
    <row r="1476" spans="1:13" s="33" customFormat="1">
      <c r="A1476" s="71"/>
      <c r="B1476" s="3"/>
      <c r="C1476" s="3"/>
      <c r="D1476" s="3"/>
      <c r="E1476" s="3"/>
      <c r="F1476" s="3"/>
      <c r="G1476" s="3"/>
      <c r="H1476" s="3"/>
      <c r="I1476" s="3"/>
      <c r="J1476" s="3"/>
      <c r="K1476" s="3"/>
      <c r="L1476" s="3"/>
      <c r="M1476" s="3"/>
    </row>
    <row r="1477" spans="1:13" s="33" customFormat="1">
      <c r="A1477" s="71"/>
      <c r="B1477" s="3"/>
      <c r="C1477" s="3"/>
      <c r="D1477" s="3"/>
      <c r="E1477" s="3"/>
      <c r="F1477" s="3"/>
      <c r="G1477" s="3"/>
      <c r="H1477" s="3"/>
      <c r="I1477" s="3"/>
      <c r="J1477" s="3"/>
      <c r="K1477" s="3"/>
      <c r="L1477" s="3"/>
      <c r="M1477" s="3"/>
    </row>
    <row r="1478" spans="1:13" s="33" customFormat="1">
      <c r="A1478" s="71"/>
      <c r="B1478" s="3"/>
      <c r="C1478" s="3"/>
      <c r="D1478" s="3"/>
      <c r="E1478" s="3"/>
      <c r="F1478" s="3"/>
      <c r="G1478" s="3"/>
      <c r="H1478" s="3"/>
      <c r="I1478" s="3"/>
      <c r="J1478" s="3"/>
      <c r="K1478" s="3"/>
      <c r="L1478" s="3"/>
      <c r="M1478" s="3"/>
    </row>
    <row r="1479" spans="1:13" s="33" customFormat="1">
      <c r="A1479" s="71"/>
      <c r="B1479" s="3"/>
      <c r="C1479" s="3"/>
      <c r="D1479" s="3"/>
      <c r="E1479" s="3"/>
      <c r="F1479" s="3"/>
      <c r="G1479" s="3"/>
      <c r="H1479" s="3"/>
      <c r="I1479" s="3"/>
      <c r="J1479" s="3"/>
      <c r="K1479" s="3"/>
      <c r="L1479" s="3"/>
      <c r="M1479" s="3"/>
    </row>
    <row r="1480" spans="1:13" s="33" customFormat="1">
      <c r="A1480" s="71"/>
      <c r="B1480" s="3"/>
      <c r="C1480" s="3"/>
      <c r="D1480" s="3"/>
      <c r="E1480" s="3"/>
      <c r="F1480" s="3"/>
      <c r="G1480" s="3"/>
      <c r="H1480" s="3"/>
      <c r="I1480" s="3"/>
      <c r="J1480" s="3"/>
      <c r="K1480" s="3"/>
      <c r="L1480" s="3"/>
      <c r="M1480" s="3"/>
    </row>
    <row r="1481" spans="1:13" s="33" customFormat="1">
      <c r="A1481" s="71"/>
      <c r="B1481" s="3"/>
      <c r="C1481" s="3"/>
      <c r="D1481" s="3"/>
      <c r="E1481" s="3"/>
      <c r="F1481" s="3"/>
      <c r="G1481" s="3"/>
      <c r="H1481" s="3"/>
      <c r="I1481" s="3"/>
      <c r="J1481" s="3"/>
      <c r="K1481" s="3"/>
      <c r="L1481" s="3"/>
      <c r="M1481" s="3"/>
    </row>
    <row r="1482" spans="1:13" s="33" customFormat="1">
      <c r="A1482" s="71"/>
      <c r="B1482" s="3"/>
      <c r="C1482" s="3"/>
      <c r="D1482" s="3"/>
      <c r="E1482" s="3"/>
      <c r="F1482" s="3"/>
      <c r="G1482" s="3"/>
      <c r="H1482" s="3"/>
      <c r="I1482" s="3"/>
      <c r="J1482" s="3"/>
      <c r="K1482" s="3"/>
      <c r="L1482" s="3"/>
      <c r="M1482" s="3"/>
    </row>
    <row r="1483" spans="1:13" s="33" customFormat="1">
      <c r="A1483" s="71"/>
      <c r="B1483" s="3"/>
      <c r="C1483" s="3"/>
      <c r="D1483" s="3"/>
      <c r="E1483" s="3"/>
      <c r="F1483" s="3"/>
      <c r="G1483" s="3"/>
      <c r="H1483" s="3"/>
      <c r="I1483" s="3"/>
      <c r="J1483" s="3"/>
      <c r="K1483" s="3"/>
      <c r="L1483" s="3"/>
      <c r="M1483" s="3"/>
    </row>
    <row r="1484" spans="1:13" s="33" customFormat="1">
      <c r="A1484" s="71"/>
      <c r="B1484" s="3"/>
      <c r="C1484" s="3"/>
      <c r="D1484" s="3"/>
      <c r="E1484" s="3"/>
      <c r="F1484" s="3"/>
      <c r="G1484" s="3"/>
      <c r="H1484" s="3"/>
      <c r="I1484" s="3"/>
      <c r="J1484" s="3"/>
      <c r="K1484" s="3"/>
      <c r="L1484" s="3"/>
      <c r="M1484" s="3"/>
    </row>
    <row r="1485" spans="1:13" s="33" customFormat="1">
      <c r="A1485" s="71"/>
      <c r="B1485" s="3"/>
      <c r="C1485" s="3"/>
      <c r="D1485" s="3"/>
      <c r="E1485" s="3"/>
      <c r="F1485" s="3"/>
      <c r="G1485" s="3"/>
      <c r="H1485" s="3"/>
      <c r="I1485" s="3"/>
      <c r="J1485" s="3"/>
      <c r="K1485" s="3"/>
      <c r="L1485" s="3"/>
      <c r="M1485" s="3"/>
    </row>
    <row r="1486" spans="1:13" s="33" customFormat="1">
      <c r="A1486" s="71"/>
      <c r="B1486" s="3"/>
      <c r="C1486" s="3"/>
      <c r="D1486" s="3"/>
      <c r="E1486" s="3"/>
      <c r="F1486" s="3"/>
      <c r="G1486" s="3"/>
      <c r="H1486" s="3"/>
      <c r="I1486" s="3"/>
      <c r="J1486" s="3"/>
      <c r="K1486" s="3"/>
      <c r="L1486" s="3"/>
      <c r="M1486" s="3"/>
    </row>
    <row r="1487" spans="1:13" s="33" customFormat="1">
      <c r="A1487" s="71"/>
      <c r="B1487" s="3"/>
      <c r="C1487" s="3"/>
      <c r="D1487" s="3"/>
      <c r="E1487" s="3"/>
      <c r="F1487" s="3"/>
      <c r="G1487" s="3"/>
      <c r="H1487" s="3"/>
      <c r="I1487" s="3"/>
      <c r="J1487" s="3"/>
      <c r="K1487" s="3"/>
      <c r="L1487" s="3"/>
      <c r="M1487" s="3"/>
    </row>
    <row r="1488" spans="1:13" s="33" customFormat="1">
      <c r="A1488" s="71"/>
      <c r="B1488" s="3"/>
      <c r="C1488" s="3"/>
      <c r="D1488" s="3"/>
      <c r="E1488" s="3"/>
      <c r="F1488" s="3"/>
      <c r="G1488" s="3"/>
      <c r="H1488" s="3"/>
      <c r="I1488" s="3"/>
      <c r="J1488" s="3"/>
      <c r="K1488" s="3"/>
      <c r="L1488" s="3"/>
      <c r="M1488" s="3"/>
    </row>
    <row r="1489" spans="1:13" s="33" customFormat="1">
      <c r="A1489" s="71"/>
      <c r="B1489" s="3"/>
      <c r="C1489" s="3"/>
      <c r="D1489" s="3"/>
      <c r="E1489" s="3"/>
      <c r="F1489" s="3"/>
      <c r="G1489" s="3"/>
      <c r="H1489" s="3"/>
      <c r="I1489" s="3"/>
      <c r="J1489" s="3"/>
      <c r="K1489" s="3"/>
      <c r="L1489" s="3"/>
      <c r="M1489" s="3"/>
    </row>
    <row r="1490" spans="1:13" s="33" customFormat="1">
      <c r="A1490" s="71"/>
      <c r="B1490" s="3"/>
      <c r="C1490" s="3"/>
      <c r="D1490" s="3"/>
      <c r="E1490" s="3"/>
      <c r="F1490" s="3"/>
      <c r="G1490" s="3"/>
      <c r="H1490" s="3"/>
      <c r="I1490" s="3"/>
      <c r="J1490" s="3"/>
      <c r="K1490" s="3"/>
      <c r="L1490" s="3"/>
      <c r="M1490" s="3"/>
    </row>
    <row r="1491" spans="1:13" s="33" customFormat="1">
      <c r="A1491" s="71"/>
      <c r="B1491" s="3"/>
      <c r="C1491" s="3"/>
      <c r="D1491" s="3"/>
      <c r="E1491" s="3"/>
      <c r="F1491" s="3"/>
      <c r="G1491" s="3"/>
      <c r="H1491" s="3"/>
      <c r="I1491" s="3"/>
      <c r="J1491" s="3"/>
      <c r="K1491" s="3"/>
      <c r="L1491" s="3"/>
      <c r="M1491" s="3"/>
    </row>
    <row r="1492" spans="1:13" s="33" customFormat="1">
      <c r="A1492" s="71"/>
      <c r="B1492" s="3"/>
      <c r="C1492" s="3"/>
      <c r="D1492" s="3"/>
      <c r="E1492" s="3"/>
      <c r="F1492" s="3"/>
      <c r="G1492" s="3"/>
      <c r="H1492" s="3"/>
      <c r="I1492" s="3"/>
      <c r="J1492" s="3"/>
      <c r="K1492" s="3"/>
      <c r="L1492" s="3"/>
      <c r="M1492" s="3"/>
    </row>
    <row r="1493" spans="1:13" s="33" customFormat="1">
      <c r="A1493" s="71"/>
      <c r="B1493" s="3"/>
      <c r="C1493" s="3"/>
      <c r="D1493" s="3"/>
      <c r="E1493" s="3"/>
      <c r="F1493" s="3"/>
      <c r="G1493" s="3"/>
      <c r="H1493" s="3"/>
      <c r="I1493" s="3"/>
      <c r="J1493" s="3"/>
      <c r="K1493" s="3"/>
      <c r="L1493" s="3"/>
      <c r="M1493" s="3"/>
    </row>
    <row r="1494" spans="1:13" s="33" customFormat="1">
      <c r="A1494" s="71"/>
      <c r="B1494" s="3"/>
      <c r="C1494" s="3"/>
      <c r="D1494" s="3"/>
      <c r="E1494" s="3"/>
      <c r="F1494" s="3"/>
      <c r="G1494" s="3"/>
      <c r="H1494" s="3"/>
      <c r="I1494" s="3"/>
      <c r="J1494" s="3"/>
      <c r="K1494" s="3"/>
      <c r="L1494" s="3"/>
      <c r="M1494" s="3"/>
    </row>
    <row r="1495" spans="1:13" s="33" customFormat="1">
      <c r="A1495" s="71"/>
      <c r="B1495" s="3"/>
      <c r="C1495" s="3"/>
      <c r="D1495" s="3"/>
      <c r="E1495" s="3"/>
      <c r="F1495" s="3"/>
      <c r="G1495" s="3"/>
      <c r="H1495" s="3"/>
      <c r="I1495" s="3"/>
      <c r="J1495" s="3"/>
      <c r="K1495" s="3"/>
      <c r="L1495" s="3"/>
      <c r="M1495" s="3"/>
    </row>
    <row r="1496" spans="1:13" s="33" customFormat="1">
      <c r="A1496" s="71"/>
      <c r="B1496" s="3"/>
      <c r="C1496" s="3"/>
      <c r="D1496" s="3"/>
      <c r="E1496" s="3"/>
      <c r="F1496" s="3"/>
      <c r="G1496" s="3"/>
      <c r="H1496" s="3"/>
      <c r="I1496" s="3"/>
      <c r="J1496" s="3"/>
      <c r="K1496" s="3"/>
      <c r="L1496" s="3"/>
      <c r="M1496" s="3"/>
    </row>
    <row r="1497" spans="1:13" s="33" customFormat="1">
      <c r="A1497" s="71"/>
      <c r="B1497" s="3"/>
      <c r="C1497" s="3"/>
      <c r="D1497" s="3"/>
      <c r="E1497" s="3"/>
      <c r="F1497" s="3"/>
      <c r="G1497" s="3"/>
      <c r="H1497" s="3"/>
      <c r="I1497" s="3"/>
      <c r="J1497" s="3"/>
      <c r="K1497" s="3"/>
      <c r="L1497" s="3"/>
      <c r="M1497" s="3"/>
    </row>
    <row r="1498" spans="1:13" s="33" customFormat="1">
      <c r="A1498" s="71"/>
      <c r="B1498" s="3"/>
      <c r="C1498" s="3"/>
      <c r="D1498" s="3"/>
      <c r="E1498" s="3"/>
      <c r="F1498" s="3"/>
      <c r="G1498" s="3"/>
      <c r="H1498" s="3"/>
      <c r="I1498" s="3"/>
      <c r="J1498" s="3"/>
      <c r="K1498" s="3"/>
      <c r="L1498" s="3"/>
      <c r="M1498" s="3"/>
    </row>
    <row r="1499" spans="1:13" s="33" customFormat="1">
      <c r="A1499" s="71"/>
      <c r="B1499" s="3"/>
      <c r="C1499" s="3"/>
      <c r="D1499" s="3"/>
      <c r="E1499" s="3"/>
      <c r="F1499" s="3"/>
      <c r="G1499" s="3"/>
      <c r="H1499" s="3"/>
      <c r="I1499" s="3"/>
      <c r="J1499" s="3"/>
      <c r="K1499" s="3"/>
      <c r="L1499" s="3"/>
      <c r="M1499" s="3"/>
    </row>
    <row r="1500" spans="1:13" s="33" customFormat="1">
      <c r="A1500" s="71"/>
      <c r="B1500" s="3"/>
      <c r="C1500" s="3"/>
      <c r="D1500" s="3"/>
      <c r="E1500" s="3"/>
      <c r="F1500" s="3"/>
      <c r="G1500" s="3"/>
      <c r="H1500" s="3"/>
      <c r="I1500" s="3"/>
      <c r="J1500" s="3"/>
      <c r="K1500" s="3"/>
      <c r="L1500" s="3"/>
      <c r="M1500" s="3"/>
    </row>
    <row r="1501" spans="1:13" s="33" customFormat="1">
      <c r="A1501" s="71"/>
      <c r="B1501" s="3"/>
      <c r="C1501" s="3"/>
      <c r="D1501" s="3"/>
      <c r="E1501" s="3"/>
      <c r="F1501" s="3"/>
      <c r="G1501" s="3"/>
      <c r="H1501" s="3"/>
      <c r="I1501" s="3"/>
      <c r="J1501" s="3"/>
      <c r="K1501" s="3"/>
      <c r="L1501" s="3"/>
      <c r="M1501" s="3"/>
    </row>
    <row r="1502" spans="1:13" s="33" customFormat="1">
      <c r="A1502" s="71"/>
      <c r="B1502" s="3"/>
      <c r="C1502" s="3"/>
      <c r="D1502" s="3"/>
      <c r="E1502" s="3"/>
      <c r="F1502" s="3"/>
      <c r="G1502" s="3"/>
      <c r="H1502" s="3"/>
      <c r="I1502" s="3"/>
      <c r="J1502" s="3"/>
      <c r="K1502" s="3"/>
      <c r="L1502" s="3"/>
      <c r="M1502" s="3"/>
    </row>
    <row r="1503" spans="1:13" s="33" customFormat="1">
      <c r="A1503" s="71"/>
      <c r="B1503" s="3"/>
      <c r="C1503" s="3"/>
      <c r="D1503" s="3"/>
      <c r="E1503" s="3"/>
      <c r="F1503" s="3"/>
      <c r="G1503" s="3"/>
      <c r="H1503" s="3"/>
      <c r="I1503" s="3"/>
      <c r="J1503" s="3"/>
      <c r="K1503" s="3"/>
      <c r="L1503" s="3"/>
      <c r="M1503" s="3"/>
    </row>
    <row r="1504" spans="1:13" s="33" customFormat="1">
      <c r="A1504" s="71"/>
      <c r="B1504" s="3"/>
      <c r="C1504" s="3"/>
      <c r="D1504" s="3"/>
      <c r="E1504" s="3"/>
      <c r="F1504" s="3"/>
      <c r="G1504" s="3"/>
      <c r="H1504" s="3"/>
      <c r="I1504" s="3"/>
      <c r="J1504" s="3"/>
      <c r="K1504" s="3"/>
      <c r="L1504" s="3"/>
      <c r="M1504" s="3"/>
    </row>
    <row r="1505" spans="1:13" s="33" customFormat="1">
      <c r="A1505" s="71"/>
      <c r="B1505" s="3"/>
      <c r="C1505" s="3"/>
      <c r="D1505" s="3"/>
      <c r="E1505" s="3"/>
      <c r="F1505" s="3"/>
      <c r="G1505" s="3"/>
      <c r="H1505" s="3"/>
      <c r="I1505" s="3"/>
      <c r="J1505" s="3"/>
      <c r="K1505" s="3"/>
      <c r="L1505" s="3"/>
      <c r="M1505" s="3"/>
    </row>
    <row r="1506" spans="1:13" s="33" customFormat="1">
      <c r="A1506" s="71"/>
      <c r="B1506" s="3"/>
      <c r="C1506" s="3"/>
      <c r="D1506" s="3"/>
      <c r="E1506" s="3"/>
      <c r="F1506" s="3"/>
      <c r="G1506" s="3"/>
      <c r="H1506" s="3"/>
      <c r="I1506" s="3"/>
      <c r="J1506" s="3"/>
      <c r="K1506" s="3"/>
      <c r="L1506" s="3"/>
      <c r="M1506" s="3"/>
    </row>
    <row r="1507" spans="1:13" s="33" customFormat="1">
      <c r="A1507" s="71"/>
      <c r="B1507" s="3"/>
      <c r="C1507" s="3"/>
      <c r="D1507" s="3"/>
      <c r="E1507" s="3"/>
      <c r="F1507" s="3"/>
      <c r="G1507" s="3"/>
      <c r="H1507" s="3"/>
      <c r="I1507" s="3"/>
      <c r="J1507" s="3"/>
      <c r="K1507" s="3"/>
      <c r="L1507" s="3"/>
      <c r="M1507" s="3"/>
    </row>
    <row r="1508" spans="1:13" s="33" customFormat="1">
      <c r="A1508" s="71"/>
      <c r="B1508" s="3"/>
      <c r="C1508" s="3"/>
      <c r="D1508" s="3"/>
      <c r="E1508" s="3"/>
      <c r="F1508" s="3"/>
      <c r="G1508" s="3"/>
      <c r="H1508" s="3"/>
      <c r="I1508" s="3"/>
      <c r="J1508" s="3"/>
      <c r="K1508" s="3"/>
      <c r="L1508" s="3"/>
      <c r="M1508" s="3"/>
    </row>
    <row r="1509" spans="1:13" s="33" customFormat="1">
      <c r="A1509" s="71"/>
      <c r="B1509" s="3"/>
      <c r="C1509" s="3"/>
      <c r="D1509" s="3"/>
      <c r="E1509" s="3"/>
      <c r="F1509" s="3"/>
      <c r="G1509" s="3"/>
      <c r="H1509" s="3"/>
      <c r="I1509" s="3"/>
      <c r="J1509" s="3"/>
      <c r="K1509" s="3"/>
      <c r="L1509" s="3"/>
      <c r="M1509" s="3"/>
    </row>
    <row r="1510" spans="1:13" s="33" customFormat="1">
      <c r="A1510" s="71"/>
      <c r="B1510" s="3"/>
      <c r="C1510" s="3"/>
      <c r="D1510" s="3"/>
      <c r="E1510" s="3"/>
      <c r="F1510" s="3"/>
      <c r="G1510" s="3"/>
      <c r="H1510" s="3"/>
      <c r="I1510" s="3"/>
      <c r="J1510" s="3"/>
      <c r="K1510" s="3"/>
      <c r="L1510" s="3"/>
      <c r="M1510" s="3"/>
    </row>
    <row r="1511" spans="1:13" s="33" customFormat="1">
      <c r="A1511" s="71"/>
      <c r="B1511" s="3"/>
      <c r="C1511" s="3"/>
      <c r="D1511" s="3"/>
      <c r="E1511" s="3"/>
      <c r="F1511" s="3"/>
      <c r="G1511" s="3"/>
      <c r="H1511" s="3"/>
      <c r="I1511" s="3"/>
      <c r="J1511" s="3"/>
      <c r="K1511" s="3"/>
      <c r="L1511" s="3"/>
      <c r="M1511" s="3"/>
    </row>
    <row r="1512" spans="1:13" s="33" customFormat="1">
      <c r="A1512" s="71"/>
      <c r="B1512" s="3"/>
      <c r="C1512" s="3"/>
      <c r="D1512" s="3"/>
      <c r="E1512" s="3"/>
      <c r="F1512" s="3"/>
      <c r="G1512" s="3"/>
      <c r="H1512" s="3"/>
      <c r="I1512" s="3"/>
      <c r="J1512" s="3"/>
      <c r="K1512" s="3"/>
      <c r="L1512" s="3"/>
      <c r="M1512" s="3"/>
    </row>
    <row r="1513" spans="1:13" s="33" customFormat="1">
      <c r="A1513" s="71"/>
      <c r="B1513" s="3"/>
      <c r="C1513" s="3"/>
      <c r="D1513" s="3"/>
      <c r="E1513" s="3"/>
      <c r="F1513" s="3"/>
      <c r="G1513" s="3"/>
      <c r="H1513" s="3"/>
      <c r="I1513" s="3"/>
      <c r="J1513" s="3"/>
      <c r="K1513" s="3"/>
      <c r="L1513" s="3"/>
      <c r="M1513" s="3"/>
    </row>
    <row r="1514" spans="1:13" s="33" customFormat="1">
      <c r="A1514" s="71"/>
      <c r="B1514" s="3"/>
      <c r="C1514" s="3"/>
      <c r="D1514" s="3"/>
      <c r="E1514" s="3"/>
      <c r="F1514" s="3"/>
      <c r="G1514" s="3"/>
      <c r="H1514" s="3"/>
      <c r="I1514" s="3"/>
      <c r="J1514" s="3"/>
      <c r="K1514" s="3"/>
      <c r="L1514" s="3"/>
      <c r="M1514" s="3"/>
    </row>
    <row r="1515" spans="1:13" s="33" customFormat="1">
      <c r="A1515" s="71"/>
      <c r="B1515" s="3"/>
      <c r="C1515" s="3"/>
      <c r="D1515" s="3"/>
      <c r="E1515" s="3"/>
      <c r="F1515" s="3"/>
      <c r="G1515" s="3"/>
      <c r="H1515" s="3"/>
      <c r="I1515" s="3"/>
      <c r="J1515" s="3"/>
      <c r="K1515" s="3"/>
      <c r="L1515" s="3"/>
      <c r="M1515" s="3"/>
    </row>
    <row r="1516" spans="1:13" s="33" customFormat="1">
      <c r="A1516" s="71"/>
      <c r="B1516" s="3"/>
      <c r="C1516" s="3"/>
      <c r="D1516" s="3"/>
      <c r="E1516" s="3"/>
      <c r="F1516" s="3"/>
      <c r="G1516" s="3"/>
      <c r="H1516" s="3"/>
      <c r="I1516" s="3"/>
      <c r="J1516" s="3"/>
      <c r="K1516" s="3"/>
      <c r="L1516" s="3"/>
      <c r="M1516" s="3"/>
    </row>
    <row r="1517" spans="1:13" s="33" customFormat="1">
      <c r="A1517" s="71"/>
      <c r="B1517" s="3"/>
      <c r="C1517" s="3"/>
      <c r="D1517" s="3"/>
      <c r="E1517" s="3"/>
      <c r="F1517" s="3"/>
      <c r="G1517" s="3"/>
      <c r="H1517" s="3"/>
      <c r="I1517" s="3"/>
      <c r="J1517" s="3"/>
      <c r="K1517" s="3"/>
      <c r="L1517" s="3"/>
      <c r="M1517" s="3"/>
    </row>
    <row r="1518" spans="1:13" s="33" customFormat="1">
      <c r="A1518" s="71"/>
      <c r="B1518" s="3"/>
      <c r="C1518" s="3"/>
      <c r="D1518" s="3"/>
      <c r="E1518" s="3"/>
      <c r="F1518" s="3"/>
      <c r="G1518" s="3"/>
      <c r="H1518" s="3"/>
      <c r="I1518" s="3"/>
      <c r="J1518" s="3"/>
      <c r="K1518" s="3"/>
      <c r="L1518" s="3"/>
      <c r="M1518" s="3"/>
    </row>
    <row r="1519" spans="1:13" s="33" customFormat="1">
      <c r="A1519" s="71"/>
      <c r="B1519" s="3"/>
      <c r="C1519" s="3"/>
      <c r="D1519" s="3"/>
      <c r="E1519" s="3"/>
      <c r="F1519" s="3"/>
      <c r="G1519" s="3"/>
      <c r="H1519" s="3"/>
      <c r="I1519" s="3"/>
      <c r="J1519" s="3"/>
      <c r="K1519" s="3"/>
      <c r="L1519" s="3"/>
      <c r="M1519" s="3"/>
    </row>
    <row r="1520" spans="1:13" s="33" customFormat="1">
      <c r="A1520" s="71"/>
      <c r="B1520" s="3"/>
      <c r="C1520" s="3"/>
      <c r="D1520" s="3"/>
      <c r="E1520" s="3"/>
      <c r="F1520" s="3"/>
      <c r="G1520" s="3"/>
      <c r="H1520" s="3"/>
      <c r="I1520" s="3"/>
      <c r="J1520" s="3"/>
      <c r="K1520" s="3"/>
      <c r="L1520" s="3"/>
      <c r="M1520" s="3"/>
    </row>
    <row r="1521" spans="1:13" s="33" customFormat="1">
      <c r="A1521" s="71"/>
      <c r="B1521" s="3"/>
      <c r="C1521" s="3"/>
      <c r="D1521" s="3"/>
      <c r="E1521" s="3"/>
      <c r="F1521" s="3"/>
      <c r="G1521" s="3"/>
      <c r="H1521" s="3"/>
      <c r="I1521" s="3"/>
      <c r="J1521" s="3"/>
      <c r="K1521" s="3"/>
      <c r="L1521" s="3"/>
      <c r="M1521" s="3"/>
    </row>
    <row r="1522" spans="1:13" s="33" customFormat="1">
      <c r="A1522" s="71"/>
      <c r="B1522" s="3"/>
      <c r="C1522" s="3"/>
      <c r="D1522" s="3"/>
      <c r="E1522" s="3"/>
      <c r="F1522" s="3"/>
      <c r="G1522" s="3"/>
      <c r="H1522" s="3"/>
      <c r="I1522" s="3"/>
      <c r="J1522" s="3"/>
      <c r="K1522" s="3"/>
      <c r="L1522" s="3"/>
      <c r="M1522" s="3"/>
    </row>
    <row r="1523" spans="1:13" s="33" customFormat="1">
      <c r="A1523" s="71"/>
      <c r="B1523" s="3"/>
      <c r="C1523" s="3"/>
      <c r="D1523" s="3"/>
      <c r="E1523" s="3"/>
      <c r="F1523" s="3"/>
      <c r="G1523" s="3"/>
      <c r="H1523" s="3"/>
      <c r="I1523" s="3"/>
      <c r="J1523" s="3"/>
      <c r="K1523" s="3"/>
      <c r="L1523" s="3"/>
      <c r="M1523" s="3"/>
    </row>
    <row r="1524" spans="1:13" s="33" customFormat="1">
      <c r="A1524" s="71"/>
      <c r="B1524" s="3"/>
      <c r="C1524" s="3"/>
      <c r="D1524" s="3"/>
      <c r="E1524" s="3"/>
      <c r="F1524" s="3"/>
      <c r="G1524" s="3"/>
      <c r="H1524" s="3"/>
      <c r="I1524" s="3"/>
      <c r="J1524" s="3"/>
      <c r="K1524" s="3"/>
      <c r="L1524" s="3"/>
      <c r="M1524" s="3"/>
    </row>
    <row r="1525" spans="1:13" s="33" customFormat="1">
      <c r="A1525" s="71"/>
      <c r="B1525" s="3"/>
      <c r="C1525" s="3"/>
      <c r="D1525" s="3"/>
      <c r="E1525" s="3"/>
      <c r="F1525" s="3"/>
      <c r="G1525" s="3"/>
      <c r="H1525" s="3"/>
      <c r="I1525" s="3"/>
      <c r="J1525" s="3"/>
      <c r="K1525" s="3"/>
      <c r="L1525" s="3"/>
      <c r="M1525" s="3"/>
    </row>
    <row r="1526" spans="1:13" s="33" customFormat="1">
      <c r="A1526" s="71"/>
      <c r="B1526" s="3"/>
      <c r="C1526" s="3"/>
      <c r="D1526" s="3"/>
      <c r="E1526" s="3"/>
      <c r="F1526" s="3"/>
      <c r="G1526" s="3"/>
      <c r="H1526" s="3"/>
      <c r="I1526" s="3"/>
      <c r="J1526" s="3"/>
      <c r="K1526" s="3"/>
      <c r="L1526" s="3"/>
      <c r="M1526" s="3"/>
    </row>
    <row r="1527" spans="1:13" s="33" customFormat="1">
      <c r="A1527" s="71"/>
      <c r="B1527" s="3"/>
      <c r="C1527" s="3"/>
      <c r="D1527" s="3"/>
      <c r="E1527" s="3"/>
      <c r="F1527" s="3"/>
      <c r="G1527" s="3"/>
      <c r="H1527" s="3"/>
      <c r="I1527" s="3"/>
      <c r="J1527" s="3"/>
      <c r="K1527" s="3"/>
      <c r="L1527" s="3"/>
      <c r="M1527" s="3"/>
    </row>
    <row r="1528" spans="1:13" s="33" customFormat="1">
      <c r="A1528" s="71"/>
      <c r="B1528" s="3"/>
      <c r="C1528" s="3"/>
      <c r="D1528" s="3"/>
      <c r="E1528" s="3"/>
      <c r="F1528" s="3"/>
      <c r="G1528" s="3"/>
      <c r="H1528" s="3"/>
      <c r="I1528" s="3"/>
      <c r="J1528" s="3"/>
      <c r="K1528" s="3"/>
      <c r="L1528" s="3"/>
      <c r="M1528" s="3"/>
    </row>
    <row r="1529" spans="1:13" s="33" customFormat="1">
      <c r="A1529" s="71"/>
      <c r="B1529" s="3"/>
      <c r="C1529" s="3"/>
      <c r="D1529" s="3"/>
      <c r="E1529" s="3"/>
      <c r="F1529" s="3"/>
      <c r="G1529" s="3"/>
      <c r="H1529" s="3"/>
      <c r="I1529" s="3"/>
      <c r="J1529" s="3"/>
      <c r="K1529" s="3"/>
      <c r="L1529" s="3"/>
      <c r="M1529" s="3"/>
    </row>
    <row r="1530" spans="1:13" s="33" customFormat="1">
      <c r="A1530" s="71"/>
      <c r="B1530" s="3"/>
      <c r="C1530" s="3"/>
      <c r="D1530" s="3"/>
      <c r="E1530" s="3"/>
      <c r="F1530" s="3"/>
      <c r="G1530" s="3"/>
      <c r="H1530" s="3"/>
      <c r="I1530" s="3"/>
      <c r="J1530" s="3"/>
      <c r="K1530" s="3"/>
      <c r="L1530" s="3"/>
      <c r="M1530" s="3"/>
    </row>
    <row r="1531" spans="1:13" s="33" customFormat="1">
      <c r="A1531" s="71"/>
      <c r="B1531" s="3"/>
      <c r="C1531" s="3"/>
      <c r="D1531" s="3"/>
      <c r="E1531" s="3"/>
      <c r="F1531" s="3"/>
      <c r="G1531" s="3"/>
      <c r="H1531" s="3"/>
      <c r="I1531" s="3"/>
      <c r="J1531" s="3"/>
      <c r="K1531" s="3"/>
      <c r="L1531" s="3"/>
      <c r="M1531" s="3"/>
    </row>
    <row r="1532" spans="1:13" s="33" customFormat="1">
      <c r="A1532" s="71"/>
      <c r="B1532" s="3"/>
      <c r="C1532" s="3"/>
      <c r="D1532" s="3"/>
      <c r="E1532" s="3"/>
      <c r="F1532" s="3"/>
      <c r="G1532" s="3"/>
      <c r="H1532" s="3"/>
      <c r="I1532" s="3"/>
      <c r="J1532" s="3"/>
      <c r="K1532" s="3"/>
      <c r="L1532" s="3"/>
      <c r="M1532" s="3"/>
    </row>
    <row r="1533" spans="1:13" s="33" customFormat="1">
      <c r="A1533" s="71"/>
      <c r="B1533" s="3"/>
      <c r="C1533" s="3"/>
      <c r="D1533" s="3"/>
      <c r="E1533" s="3"/>
      <c r="F1533" s="3"/>
      <c r="G1533" s="3"/>
      <c r="H1533" s="3"/>
      <c r="I1533" s="3"/>
      <c r="J1533" s="3"/>
      <c r="K1533" s="3"/>
      <c r="L1533" s="3"/>
      <c r="M1533" s="3"/>
    </row>
    <row r="1534" spans="1:13" s="33" customFormat="1">
      <c r="A1534" s="71"/>
      <c r="B1534" s="3"/>
      <c r="C1534" s="3"/>
      <c r="D1534" s="3"/>
      <c r="E1534" s="3"/>
      <c r="F1534" s="3"/>
      <c r="G1534" s="3"/>
      <c r="H1534" s="3"/>
      <c r="I1534" s="3"/>
      <c r="J1534" s="3"/>
      <c r="K1534" s="3"/>
      <c r="L1534" s="3"/>
      <c r="M1534" s="3"/>
    </row>
    <row r="1535" spans="1:13" s="33" customFormat="1">
      <c r="A1535" s="71"/>
      <c r="B1535" s="3"/>
      <c r="C1535" s="3"/>
      <c r="D1535" s="3"/>
      <c r="E1535" s="3"/>
      <c r="F1535" s="3"/>
      <c r="G1535" s="3"/>
      <c r="H1535" s="3"/>
      <c r="I1535" s="3"/>
      <c r="J1535" s="3"/>
      <c r="K1535" s="3"/>
      <c r="L1535" s="3"/>
      <c r="M1535" s="3"/>
    </row>
    <row r="1536" spans="1:13" s="33" customFormat="1">
      <c r="A1536" s="71"/>
      <c r="B1536" s="3"/>
      <c r="C1536" s="3"/>
      <c r="D1536" s="3"/>
      <c r="E1536" s="3"/>
      <c r="F1536" s="3"/>
      <c r="G1536" s="3"/>
      <c r="H1536" s="3"/>
      <c r="I1536" s="3"/>
      <c r="J1536" s="3"/>
      <c r="K1536" s="3"/>
      <c r="L1536" s="3"/>
      <c r="M1536" s="3"/>
    </row>
    <row r="1537" spans="1:13" s="33" customFormat="1">
      <c r="A1537" s="71"/>
      <c r="B1537" s="3"/>
      <c r="C1537" s="3"/>
      <c r="D1537" s="3"/>
      <c r="E1537" s="3"/>
      <c r="F1537" s="3"/>
      <c r="G1537" s="3"/>
      <c r="H1537" s="3"/>
      <c r="I1537" s="3"/>
      <c r="J1537" s="3"/>
      <c r="K1537" s="3"/>
      <c r="L1537" s="3"/>
      <c r="M1537" s="3"/>
    </row>
    <row r="1538" spans="1:13" s="33" customFormat="1">
      <c r="A1538" s="71"/>
      <c r="B1538" s="3"/>
      <c r="C1538" s="3"/>
      <c r="D1538" s="3"/>
      <c r="E1538" s="3"/>
      <c r="F1538" s="3"/>
      <c r="G1538" s="3"/>
      <c r="H1538" s="3"/>
      <c r="I1538" s="3"/>
      <c r="J1538" s="3"/>
      <c r="K1538" s="3"/>
      <c r="L1538" s="3"/>
      <c r="M1538" s="3"/>
    </row>
    <row r="1539" spans="1:13" s="33" customFormat="1">
      <c r="A1539" s="71"/>
      <c r="B1539" s="3"/>
      <c r="C1539" s="3"/>
      <c r="D1539" s="3"/>
      <c r="E1539" s="3"/>
      <c r="F1539" s="3"/>
      <c r="G1539" s="3"/>
      <c r="H1539" s="3"/>
      <c r="I1539" s="3"/>
      <c r="J1539" s="3"/>
      <c r="K1539" s="3"/>
      <c r="L1539" s="3"/>
      <c r="M1539" s="3"/>
    </row>
    <row r="1540" spans="1:13" s="33" customFormat="1">
      <c r="A1540" s="71"/>
      <c r="B1540" s="3"/>
      <c r="C1540" s="3"/>
      <c r="D1540" s="3"/>
      <c r="E1540" s="3"/>
      <c r="F1540" s="3"/>
      <c r="G1540" s="3"/>
      <c r="H1540" s="3"/>
      <c r="I1540" s="3"/>
      <c r="J1540" s="3"/>
      <c r="K1540" s="3"/>
      <c r="L1540" s="3"/>
      <c r="M1540" s="3"/>
    </row>
    <row r="1541" spans="1:13" s="33" customFormat="1">
      <c r="A1541" s="71"/>
      <c r="B1541" s="3"/>
      <c r="C1541" s="3"/>
      <c r="D1541" s="3"/>
      <c r="E1541" s="3"/>
      <c r="F1541" s="3"/>
      <c r="G1541" s="3"/>
      <c r="H1541" s="3"/>
      <c r="I1541" s="3"/>
      <c r="J1541" s="3"/>
      <c r="K1541" s="3"/>
      <c r="L1541" s="3"/>
      <c r="M1541" s="3"/>
    </row>
    <row r="1542" spans="1:13" s="33" customFormat="1">
      <c r="A1542" s="71"/>
      <c r="B1542" s="3"/>
      <c r="C1542" s="3"/>
      <c r="D1542" s="3"/>
      <c r="E1542" s="3"/>
      <c r="F1542" s="3"/>
      <c r="G1542" s="3"/>
      <c r="H1542" s="3"/>
      <c r="I1542" s="3"/>
      <c r="J1542" s="3"/>
      <c r="K1542" s="3"/>
      <c r="L1542" s="3"/>
      <c r="M1542" s="3"/>
    </row>
    <row r="1543" spans="1:13" s="33" customFormat="1">
      <c r="A1543" s="71"/>
      <c r="B1543" s="3"/>
      <c r="C1543" s="3"/>
      <c r="D1543" s="3"/>
      <c r="E1543" s="3"/>
      <c r="F1543" s="3"/>
      <c r="G1543" s="3"/>
      <c r="H1543" s="3"/>
      <c r="I1543" s="3"/>
      <c r="J1543" s="3"/>
      <c r="K1543" s="3"/>
      <c r="L1543" s="3"/>
      <c r="M1543" s="3"/>
    </row>
    <row r="1544" spans="1:13" s="33" customFormat="1">
      <c r="A1544" s="71"/>
      <c r="B1544" s="3"/>
      <c r="C1544" s="3"/>
      <c r="D1544" s="3"/>
      <c r="E1544" s="3"/>
      <c r="F1544" s="3"/>
      <c r="G1544" s="3"/>
      <c r="H1544" s="3"/>
      <c r="I1544" s="3"/>
      <c r="J1544" s="3"/>
      <c r="K1544" s="3"/>
      <c r="L1544" s="3"/>
      <c r="M1544" s="3"/>
    </row>
    <row r="1545" spans="1:13" s="33" customFormat="1">
      <c r="A1545" s="71"/>
      <c r="B1545" s="3"/>
      <c r="C1545" s="3"/>
      <c r="D1545" s="3"/>
      <c r="E1545" s="3"/>
      <c r="F1545" s="3"/>
      <c r="G1545" s="3"/>
      <c r="H1545" s="3"/>
      <c r="I1545" s="3"/>
      <c r="J1545" s="3"/>
      <c r="K1545" s="3"/>
      <c r="L1545" s="3"/>
      <c r="M1545" s="3"/>
    </row>
    <row r="1546" spans="1:13" s="33" customFormat="1">
      <c r="A1546" s="71"/>
      <c r="B1546" s="3"/>
      <c r="C1546" s="3"/>
      <c r="D1546" s="3"/>
      <c r="E1546" s="3"/>
      <c r="F1546" s="3"/>
      <c r="G1546" s="3"/>
      <c r="H1546" s="3"/>
      <c r="I1546" s="3"/>
      <c r="J1546" s="3"/>
      <c r="K1546" s="3"/>
      <c r="L1546" s="3"/>
      <c r="M1546" s="3"/>
    </row>
    <row r="1547" spans="1:13" s="33" customFormat="1">
      <c r="A1547" s="71"/>
      <c r="B1547" s="3"/>
      <c r="C1547" s="3"/>
      <c r="D1547" s="3"/>
      <c r="E1547" s="3"/>
      <c r="F1547" s="3"/>
      <c r="G1547" s="3"/>
      <c r="H1547" s="3"/>
      <c r="I1547" s="3"/>
      <c r="J1547" s="3"/>
      <c r="K1547" s="3"/>
      <c r="L1547" s="3"/>
      <c r="M1547" s="3"/>
    </row>
    <row r="1548" spans="1:13" s="33" customFormat="1">
      <c r="A1548" s="71"/>
      <c r="B1548" s="3"/>
      <c r="C1548" s="3"/>
      <c r="D1548" s="3"/>
      <c r="E1548" s="3"/>
      <c r="F1548" s="3"/>
      <c r="G1548" s="3"/>
      <c r="H1548" s="3"/>
      <c r="I1548" s="3"/>
      <c r="J1548" s="3"/>
      <c r="K1548" s="3"/>
      <c r="L1548" s="3"/>
      <c r="M1548" s="3"/>
    </row>
    <row r="1549" spans="1:13" s="33" customFormat="1">
      <c r="A1549" s="71"/>
      <c r="B1549" s="3"/>
      <c r="C1549" s="3"/>
      <c r="D1549" s="3"/>
      <c r="E1549" s="3"/>
      <c r="F1549" s="3"/>
      <c r="G1549" s="3"/>
      <c r="H1549" s="3"/>
      <c r="I1549" s="3"/>
      <c r="J1549" s="3"/>
      <c r="K1549" s="3"/>
      <c r="L1549" s="3"/>
      <c r="M1549" s="3"/>
    </row>
    <row r="1550" spans="1:13" s="33" customFormat="1">
      <c r="A1550" s="71"/>
      <c r="B1550" s="3"/>
      <c r="C1550" s="3"/>
      <c r="D1550" s="3"/>
      <c r="E1550" s="3"/>
      <c r="F1550" s="3"/>
      <c r="G1550" s="3"/>
      <c r="H1550" s="3"/>
      <c r="I1550" s="3"/>
      <c r="J1550" s="3"/>
      <c r="K1550" s="3"/>
      <c r="L1550" s="3"/>
      <c r="M1550" s="3"/>
    </row>
    <row r="1551" spans="1:13" s="33" customFormat="1">
      <c r="A1551" s="71"/>
      <c r="B1551" s="3"/>
      <c r="C1551" s="3"/>
      <c r="D1551" s="3"/>
      <c r="E1551" s="3"/>
      <c r="F1551" s="3"/>
      <c r="G1551" s="3"/>
      <c r="H1551" s="3"/>
      <c r="I1551" s="3"/>
      <c r="J1551" s="3"/>
      <c r="K1551" s="3"/>
      <c r="L1551" s="3"/>
      <c r="M1551" s="3"/>
    </row>
    <row r="1552" spans="1:13" s="33" customFormat="1">
      <c r="A1552" s="71"/>
      <c r="B1552" s="3"/>
      <c r="C1552" s="3"/>
      <c r="D1552" s="3"/>
      <c r="E1552" s="3"/>
      <c r="F1552" s="3"/>
      <c r="G1552" s="3"/>
      <c r="H1552" s="3"/>
      <c r="I1552" s="3"/>
      <c r="J1552" s="3"/>
      <c r="K1552" s="3"/>
      <c r="L1552" s="3"/>
      <c r="M1552" s="3"/>
    </row>
    <row r="1553" spans="1:13" s="33" customFormat="1">
      <c r="A1553" s="71"/>
      <c r="B1553" s="3"/>
      <c r="C1553" s="3"/>
      <c r="D1553" s="3"/>
      <c r="E1553" s="3"/>
      <c r="F1553" s="3"/>
      <c r="G1553" s="3"/>
      <c r="H1553" s="3"/>
      <c r="I1553" s="3"/>
      <c r="J1553" s="3"/>
      <c r="K1553" s="3"/>
      <c r="L1553" s="3"/>
      <c r="M1553" s="3"/>
    </row>
    <row r="1554" spans="1:13" s="33" customFormat="1">
      <c r="A1554" s="71"/>
      <c r="B1554" s="3"/>
      <c r="C1554" s="3"/>
      <c r="D1554" s="3"/>
      <c r="E1554" s="3"/>
      <c r="F1554" s="3"/>
      <c r="G1554" s="3"/>
      <c r="H1554" s="3"/>
      <c r="I1554" s="3"/>
      <c r="J1554" s="3"/>
      <c r="K1554" s="3"/>
      <c r="L1554" s="3"/>
      <c r="M1554" s="3"/>
    </row>
    <row r="1555" spans="1:13" s="33" customFormat="1">
      <c r="A1555" s="71"/>
      <c r="B1555" s="3"/>
      <c r="C1555" s="3"/>
      <c r="D1555" s="3"/>
      <c r="E1555" s="3"/>
      <c r="F1555" s="3"/>
      <c r="G1555" s="3"/>
      <c r="H1555" s="3"/>
      <c r="I1555" s="3"/>
      <c r="J1555" s="3"/>
      <c r="K1555" s="3"/>
      <c r="L1555" s="3"/>
      <c r="M1555" s="3"/>
    </row>
    <row r="1556" spans="1:13" s="33" customFormat="1">
      <c r="A1556" s="71"/>
      <c r="B1556" s="3"/>
      <c r="C1556" s="3"/>
      <c r="D1556" s="3"/>
      <c r="E1556" s="3"/>
      <c r="F1556" s="3"/>
      <c r="G1556" s="3"/>
      <c r="H1556" s="3"/>
      <c r="I1556" s="3"/>
      <c r="J1556" s="3"/>
      <c r="K1556" s="3"/>
      <c r="L1556" s="3"/>
      <c r="M1556" s="3"/>
    </row>
    <row r="1557" spans="1:13" s="33" customFormat="1">
      <c r="A1557" s="71"/>
      <c r="B1557" s="3"/>
      <c r="C1557" s="3"/>
      <c r="D1557" s="3"/>
      <c r="E1557" s="3"/>
      <c r="F1557" s="3"/>
      <c r="G1557" s="3"/>
      <c r="H1557" s="3"/>
      <c r="I1557" s="3"/>
      <c r="J1557" s="3"/>
      <c r="K1557" s="3"/>
      <c r="L1557" s="3"/>
      <c r="M1557" s="3"/>
    </row>
    <row r="1558" spans="1:13" s="33" customFormat="1">
      <c r="A1558" s="71"/>
      <c r="B1558" s="3"/>
      <c r="C1558" s="3"/>
      <c r="D1558" s="3"/>
      <c r="E1558" s="3"/>
      <c r="F1558" s="3"/>
      <c r="G1558" s="3"/>
      <c r="H1558" s="3"/>
      <c r="I1558" s="3"/>
      <c r="J1558" s="3"/>
      <c r="K1558" s="3"/>
      <c r="L1558" s="3"/>
      <c r="M1558" s="3"/>
    </row>
    <row r="1559" spans="1:13" s="33" customFormat="1">
      <c r="A1559" s="71"/>
      <c r="B1559" s="3"/>
      <c r="C1559" s="3"/>
      <c r="D1559" s="3"/>
      <c r="E1559" s="3"/>
      <c r="F1559" s="3"/>
      <c r="G1559" s="3"/>
      <c r="H1559" s="3"/>
      <c r="I1559" s="3"/>
      <c r="J1559" s="3"/>
      <c r="K1559" s="3"/>
      <c r="L1559" s="3"/>
      <c r="M1559" s="3"/>
    </row>
    <row r="1560" spans="1:13" s="33" customFormat="1">
      <c r="A1560" s="71"/>
      <c r="B1560" s="3"/>
      <c r="C1560" s="3"/>
      <c r="D1560" s="3"/>
      <c r="E1560" s="3"/>
      <c r="F1560" s="3"/>
      <c r="G1560" s="3"/>
      <c r="H1560" s="3"/>
      <c r="I1560" s="3"/>
      <c r="J1560" s="3"/>
      <c r="K1560" s="3"/>
      <c r="L1560" s="3"/>
      <c r="M1560" s="3"/>
    </row>
    <row r="1561" spans="1:13" s="33" customFormat="1">
      <c r="A1561" s="71"/>
      <c r="B1561" s="3"/>
      <c r="C1561" s="3"/>
      <c r="D1561" s="3"/>
      <c r="E1561" s="3"/>
      <c r="F1561" s="3"/>
      <c r="G1561" s="3"/>
      <c r="H1561" s="3"/>
      <c r="I1561" s="3"/>
      <c r="J1561" s="3"/>
      <c r="K1561" s="3"/>
      <c r="L1561" s="3"/>
      <c r="M1561" s="3"/>
    </row>
    <row r="1562" spans="1:13" s="33" customFormat="1">
      <c r="A1562" s="71"/>
      <c r="B1562" s="3"/>
      <c r="C1562" s="3"/>
      <c r="D1562" s="3"/>
      <c r="E1562" s="3"/>
      <c r="F1562" s="3"/>
      <c r="G1562" s="3"/>
      <c r="H1562" s="3"/>
      <c r="I1562" s="3"/>
      <c r="J1562" s="3"/>
      <c r="K1562" s="3"/>
      <c r="L1562" s="3"/>
      <c r="M1562" s="3"/>
    </row>
    <row r="1563" spans="1:13" s="33" customFormat="1">
      <c r="A1563" s="71"/>
      <c r="B1563" s="3"/>
      <c r="C1563" s="3"/>
      <c r="D1563" s="3"/>
      <c r="E1563" s="3"/>
      <c r="F1563" s="3"/>
      <c r="G1563" s="3"/>
      <c r="H1563" s="3"/>
      <c r="I1563" s="3"/>
      <c r="J1563" s="3"/>
      <c r="K1563" s="3"/>
      <c r="L1563" s="3"/>
      <c r="M1563" s="3"/>
    </row>
    <row r="1564" spans="1:13" s="33" customFormat="1">
      <c r="A1564" s="71"/>
      <c r="B1564" s="3"/>
      <c r="C1564" s="3"/>
      <c r="D1564" s="3"/>
      <c r="E1564" s="3"/>
      <c r="F1564" s="3"/>
      <c r="G1564" s="3"/>
      <c r="H1564" s="3"/>
      <c r="I1564" s="3"/>
      <c r="J1564" s="3"/>
      <c r="K1564" s="3"/>
      <c r="L1564" s="3"/>
      <c r="M1564" s="3"/>
    </row>
    <row r="1565" spans="1:13" s="33" customFormat="1">
      <c r="A1565" s="71"/>
      <c r="B1565" s="3"/>
      <c r="C1565" s="3"/>
      <c r="D1565" s="3"/>
      <c r="E1565" s="3"/>
      <c r="F1565" s="3"/>
      <c r="G1565" s="3"/>
      <c r="H1565" s="3"/>
      <c r="I1565" s="3"/>
      <c r="J1565" s="3"/>
      <c r="K1565" s="3"/>
      <c r="L1565" s="3"/>
      <c r="M1565" s="3"/>
    </row>
    <row r="1566" spans="1:13" s="33" customFormat="1">
      <c r="A1566" s="71"/>
      <c r="B1566" s="3"/>
      <c r="C1566" s="3"/>
      <c r="D1566" s="3"/>
      <c r="E1566" s="3"/>
      <c r="F1566" s="3"/>
      <c r="G1566" s="3"/>
      <c r="H1566" s="3"/>
      <c r="I1566" s="3"/>
      <c r="J1566" s="3"/>
      <c r="K1566" s="3"/>
      <c r="L1566" s="3"/>
      <c r="M1566" s="3"/>
    </row>
    <row r="1567" spans="1:13" s="33" customFormat="1">
      <c r="A1567" s="71"/>
      <c r="B1567" s="3"/>
      <c r="C1567" s="3"/>
      <c r="D1567" s="3"/>
      <c r="E1567" s="3"/>
      <c r="F1567" s="3"/>
      <c r="G1567" s="3"/>
      <c r="H1567" s="3"/>
      <c r="I1567" s="3"/>
      <c r="J1567" s="3"/>
      <c r="K1567" s="3"/>
      <c r="L1567" s="3"/>
      <c r="M1567" s="3"/>
    </row>
    <row r="1568" spans="1:13" s="33" customFormat="1">
      <c r="A1568" s="71"/>
      <c r="B1568" s="3"/>
      <c r="C1568" s="3"/>
      <c r="D1568" s="3"/>
      <c r="E1568" s="3"/>
      <c r="F1568" s="3"/>
      <c r="G1568" s="3"/>
      <c r="H1568" s="3"/>
      <c r="I1568" s="3"/>
      <c r="J1568" s="3"/>
      <c r="K1568" s="3"/>
      <c r="L1568" s="3"/>
      <c r="M1568" s="3"/>
    </row>
    <row r="1569" spans="1:13" s="33" customFormat="1">
      <c r="A1569" s="71"/>
      <c r="B1569" s="3"/>
      <c r="C1569" s="3"/>
      <c r="D1569" s="3"/>
      <c r="E1569" s="3"/>
      <c r="F1569" s="3"/>
      <c r="G1569" s="3"/>
      <c r="H1569" s="3"/>
      <c r="I1569" s="3"/>
      <c r="J1569" s="3"/>
      <c r="K1569" s="3"/>
      <c r="L1569" s="3"/>
      <c r="M1569" s="3"/>
    </row>
    <row r="1570" spans="1:13" s="33" customFormat="1">
      <c r="A1570" s="71"/>
      <c r="B1570" s="3"/>
      <c r="C1570" s="3"/>
      <c r="D1570" s="3"/>
      <c r="E1570" s="3"/>
      <c r="F1570" s="3"/>
      <c r="G1570" s="3"/>
      <c r="H1570" s="3"/>
      <c r="I1570" s="3"/>
      <c r="J1570" s="3"/>
      <c r="K1570" s="3"/>
      <c r="L1570" s="3"/>
      <c r="M1570" s="3"/>
    </row>
    <row r="1571" spans="1:13" s="33" customFormat="1">
      <c r="A1571" s="71"/>
      <c r="B1571" s="3"/>
      <c r="C1571" s="3"/>
      <c r="D1571" s="3"/>
      <c r="E1571" s="3"/>
      <c r="F1571" s="3"/>
      <c r="G1571" s="3"/>
      <c r="H1571" s="3"/>
      <c r="I1571" s="3"/>
      <c r="J1571" s="3"/>
      <c r="K1571" s="3"/>
      <c r="L1571" s="3"/>
      <c r="M1571" s="3"/>
    </row>
    <row r="1572" spans="1:13" s="33" customFormat="1">
      <c r="A1572" s="71"/>
      <c r="B1572" s="3"/>
      <c r="C1572" s="3"/>
      <c r="D1572" s="3"/>
      <c r="E1572" s="3"/>
      <c r="F1572" s="3"/>
      <c r="G1572" s="3"/>
      <c r="H1572" s="3"/>
      <c r="I1572" s="3"/>
      <c r="J1572" s="3"/>
      <c r="K1572" s="3"/>
      <c r="L1572" s="3"/>
      <c r="M1572" s="3"/>
    </row>
    <row r="1573" spans="1:13" s="33" customFormat="1">
      <c r="A1573" s="71"/>
      <c r="B1573" s="3"/>
      <c r="C1573" s="3"/>
      <c r="D1573" s="3"/>
      <c r="E1573" s="3"/>
      <c r="F1573" s="3"/>
      <c r="G1573" s="3"/>
      <c r="H1573" s="3"/>
      <c r="I1573" s="3"/>
      <c r="J1573" s="3"/>
      <c r="K1573" s="3"/>
      <c r="L1573" s="3"/>
      <c r="M1573" s="3"/>
    </row>
    <row r="1574" spans="1:13" s="33" customFormat="1">
      <c r="A1574" s="71"/>
      <c r="B1574" s="3"/>
      <c r="C1574" s="3"/>
      <c r="D1574" s="3"/>
      <c r="E1574" s="3"/>
      <c r="F1574" s="3"/>
      <c r="G1574" s="3"/>
      <c r="H1574" s="3"/>
      <c r="I1574" s="3"/>
      <c r="J1574" s="3"/>
      <c r="K1574" s="3"/>
      <c r="L1574" s="3"/>
      <c r="M1574" s="3"/>
    </row>
    <row r="1575" spans="1:13" s="33" customFormat="1">
      <c r="A1575" s="71"/>
      <c r="B1575" s="3"/>
      <c r="C1575" s="3"/>
      <c r="D1575" s="3"/>
      <c r="E1575" s="3"/>
      <c r="F1575" s="3"/>
      <c r="G1575" s="3"/>
      <c r="H1575" s="3"/>
      <c r="I1575" s="3"/>
      <c r="J1575" s="3"/>
      <c r="K1575" s="3"/>
      <c r="L1575" s="3"/>
      <c r="M1575" s="3"/>
    </row>
    <row r="1576" spans="1:13" s="33" customFormat="1">
      <c r="A1576" s="71"/>
      <c r="B1576" s="3"/>
      <c r="C1576" s="3"/>
      <c r="D1576" s="3"/>
      <c r="E1576" s="3"/>
      <c r="F1576" s="3"/>
      <c r="G1576" s="3"/>
      <c r="H1576" s="3"/>
      <c r="I1576" s="3"/>
      <c r="J1576" s="3"/>
      <c r="K1576" s="3"/>
      <c r="L1576" s="3"/>
      <c r="M1576" s="3"/>
    </row>
    <row r="1577" spans="1:13" s="33" customFormat="1">
      <c r="A1577" s="71"/>
      <c r="B1577" s="3"/>
      <c r="C1577" s="3"/>
      <c r="D1577" s="3"/>
      <c r="E1577" s="3"/>
      <c r="F1577" s="3"/>
      <c r="G1577" s="3"/>
      <c r="H1577" s="3"/>
      <c r="I1577" s="3"/>
      <c r="J1577" s="3"/>
      <c r="K1577" s="3"/>
      <c r="L1577" s="3"/>
      <c r="M1577" s="3"/>
    </row>
    <row r="1578" spans="1:13" s="33" customFormat="1">
      <c r="A1578" s="71"/>
      <c r="B1578" s="3"/>
      <c r="C1578" s="3"/>
      <c r="D1578" s="3"/>
      <c r="E1578" s="3"/>
      <c r="F1578" s="3"/>
      <c r="G1578" s="3"/>
      <c r="H1578" s="3"/>
      <c r="I1578" s="3"/>
      <c r="J1578" s="3"/>
      <c r="K1578" s="3"/>
      <c r="L1578" s="3"/>
      <c r="M1578" s="3"/>
    </row>
    <row r="1579" spans="1:13" s="33" customFormat="1">
      <c r="A1579" s="71"/>
      <c r="B1579" s="3"/>
      <c r="C1579" s="3"/>
      <c r="D1579" s="3"/>
      <c r="E1579" s="3"/>
      <c r="F1579" s="3"/>
      <c r="G1579" s="3"/>
      <c r="H1579" s="3"/>
      <c r="I1579" s="3"/>
      <c r="J1579" s="3"/>
      <c r="K1579" s="3"/>
      <c r="L1579" s="3"/>
      <c r="M1579" s="3"/>
    </row>
    <row r="1580" spans="1:13" s="33" customFormat="1">
      <c r="A1580" s="71"/>
      <c r="B1580" s="3"/>
      <c r="C1580" s="3"/>
      <c r="D1580" s="3"/>
      <c r="E1580" s="3"/>
      <c r="F1580" s="3"/>
      <c r="G1580" s="3"/>
      <c r="H1580" s="3"/>
      <c r="I1580" s="3"/>
      <c r="J1580" s="3"/>
      <c r="K1580" s="3"/>
      <c r="L1580" s="3"/>
      <c r="M1580" s="3"/>
    </row>
    <row r="1581" spans="1:13" s="33" customFormat="1">
      <c r="A1581" s="71"/>
      <c r="B1581" s="3"/>
      <c r="C1581" s="3"/>
      <c r="D1581" s="3"/>
      <c r="E1581" s="3"/>
      <c r="F1581" s="3"/>
      <c r="G1581" s="3"/>
      <c r="H1581" s="3"/>
      <c r="I1581" s="3"/>
      <c r="J1581" s="3"/>
      <c r="K1581" s="3"/>
      <c r="L1581" s="3"/>
      <c r="M1581" s="3"/>
    </row>
    <row r="1582" spans="1:13" s="33" customFormat="1">
      <c r="A1582" s="71"/>
      <c r="B1582" s="3"/>
      <c r="C1582" s="3"/>
      <c r="D1582" s="3"/>
      <c r="E1582" s="3"/>
      <c r="F1582" s="3"/>
      <c r="G1582" s="3"/>
      <c r="H1582" s="3"/>
      <c r="I1582" s="3"/>
      <c r="J1582" s="3"/>
      <c r="K1582" s="3"/>
      <c r="L1582" s="3"/>
      <c r="M1582" s="3"/>
    </row>
    <row r="1583" spans="1:13" s="33" customFormat="1">
      <c r="A1583" s="71"/>
      <c r="B1583" s="3"/>
      <c r="C1583" s="3"/>
      <c r="D1583" s="3"/>
      <c r="E1583" s="3"/>
      <c r="F1583" s="3"/>
      <c r="G1583" s="3"/>
      <c r="H1583" s="3"/>
      <c r="I1583" s="3"/>
      <c r="J1583" s="3"/>
      <c r="K1583" s="3"/>
      <c r="L1583" s="3"/>
      <c r="M1583" s="3"/>
    </row>
    <row r="1584" spans="1:13" s="33" customFormat="1">
      <c r="A1584" s="71"/>
      <c r="B1584" s="3"/>
      <c r="C1584" s="3"/>
      <c r="D1584" s="3"/>
      <c r="E1584" s="3"/>
      <c r="F1584" s="3"/>
      <c r="G1584" s="3"/>
      <c r="H1584" s="3"/>
      <c r="I1584" s="3"/>
      <c r="J1584" s="3"/>
      <c r="K1584" s="3"/>
      <c r="L1584" s="3"/>
      <c r="M1584" s="3"/>
    </row>
    <row r="1585" spans="1:13" s="33" customFormat="1">
      <c r="A1585" s="71"/>
      <c r="B1585" s="3"/>
      <c r="C1585" s="3"/>
      <c r="D1585" s="3"/>
      <c r="E1585" s="3"/>
      <c r="F1585" s="3"/>
      <c r="G1585" s="3"/>
      <c r="H1585" s="3"/>
      <c r="I1585" s="3"/>
      <c r="J1585" s="3"/>
      <c r="K1585" s="3"/>
      <c r="L1585" s="3"/>
      <c r="M1585" s="3"/>
    </row>
    <row r="1586" spans="1:13" s="33" customFormat="1">
      <c r="A1586" s="71"/>
      <c r="B1586" s="3"/>
      <c r="C1586" s="3"/>
      <c r="D1586" s="3"/>
      <c r="E1586" s="3"/>
      <c r="F1586" s="3"/>
      <c r="G1586" s="3"/>
      <c r="H1586" s="3"/>
      <c r="I1586" s="3"/>
      <c r="J1586" s="3"/>
      <c r="K1586" s="3"/>
      <c r="L1586" s="3"/>
      <c r="M1586" s="3"/>
    </row>
    <row r="1587" spans="1:13" s="33" customFormat="1">
      <c r="A1587" s="71"/>
      <c r="B1587" s="3"/>
      <c r="C1587" s="3"/>
      <c r="D1587" s="3"/>
      <c r="E1587" s="3"/>
      <c r="F1587" s="3"/>
      <c r="G1587" s="3"/>
      <c r="H1587" s="3"/>
      <c r="I1587" s="3"/>
      <c r="J1587" s="3"/>
      <c r="K1587" s="3"/>
      <c r="L1587" s="3"/>
      <c r="M1587" s="3"/>
    </row>
    <row r="1588" spans="1:13" s="33" customFormat="1">
      <c r="A1588" s="71"/>
      <c r="B1588" s="3"/>
      <c r="C1588" s="3"/>
      <c r="D1588" s="3"/>
      <c r="E1588" s="3"/>
      <c r="F1588" s="3"/>
      <c r="G1588" s="3"/>
      <c r="H1588" s="3"/>
      <c r="I1588" s="3"/>
      <c r="J1588" s="3"/>
      <c r="K1588" s="3"/>
      <c r="L1588" s="3"/>
      <c r="M1588" s="3"/>
    </row>
    <row r="1589" spans="1:13" s="33" customFormat="1">
      <c r="A1589" s="71"/>
      <c r="B1589" s="3"/>
      <c r="C1589" s="3"/>
      <c r="D1589" s="3"/>
      <c r="E1589" s="3"/>
      <c r="F1589" s="3"/>
      <c r="G1589" s="3"/>
      <c r="H1589" s="3"/>
      <c r="I1589" s="3"/>
      <c r="J1589" s="3"/>
      <c r="K1589" s="3"/>
      <c r="L1589" s="3"/>
      <c r="M1589" s="3"/>
    </row>
    <row r="1590" spans="1:13" s="33" customFormat="1">
      <c r="A1590" s="71"/>
      <c r="B1590" s="3"/>
      <c r="C1590" s="3"/>
      <c r="D1590" s="3"/>
      <c r="E1590" s="3"/>
      <c r="F1590" s="3"/>
      <c r="G1590" s="3"/>
      <c r="H1590" s="3"/>
      <c r="I1590" s="3"/>
      <c r="J1590" s="3"/>
      <c r="K1590" s="3"/>
      <c r="L1590" s="3"/>
      <c r="M1590" s="3"/>
    </row>
    <row r="1591" spans="1:13" s="33" customFormat="1">
      <c r="A1591" s="71"/>
      <c r="B1591" s="3"/>
      <c r="C1591" s="3"/>
      <c r="D1591" s="3"/>
      <c r="E1591" s="3"/>
      <c r="F1591" s="3"/>
      <c r="G1591" s="3"/>
      <c r="H1591" s="3"/>
      <c r="I1591" s="3"/>
      <c r="J1591" s="3"/>
      <c r="K1591" s="3"/>
      <c r="L1591" s="3"/>
      <c r="M1591" s="3"/>
    </row>
    <row r="1592" spans="1:13" s="33" customFormat="1">
      <c r="A1592" s="71"/>
      <c r="B1592" s="3"/>
      <c r="C1592" s="3"/>
      <c r="D1592" s="3"/>
      <c r="E1592" s="3"/>
      <c r="F1592" s="3"/>
      <c r="G1592" s="3"/>
      <c r="H1592" s="3"/>
      <c r="I1592" s="3"/>
      <c r="J1592" s="3"/>
      <c r="K1592" s="3"/>
      <c r="L1592" s="3"/>
      <c r="M1592" s="3"/>
    </row>
    <row r="1593" spans="1:13" s="33" customFormat="1">
      <c r="A1593" s="71"/>
      <c r="B1593" s="3"/>
      <c r="C1593" s="3"/>
      <c r="D1593" s="3"/>
      <c r="E1593" s="3"/>
      <c r="F1593" s="3"/>
      <c r="G1593" s="3"/>
      <c r="H1593" s="3"/>
      <c r="I1593" s="3"/>
      <c r="J1593" s="3"/>
      <c r="K1593" s="3"/>
      <c r="L1593" s="3"/>
      <c r="M1593" s="3"/>
    </row>
    <row r="1594" spans="1:13" s="33" customFormat="1">
      <c r="A1594" s="71"/>
      <c r="B1594" s="3"/>
      <c r="C1594" s="3"/>
      <c r="D1594" s="3"/>
      <c r="E1594" s="3"/>
      <c r="F1594" s="3"/>
      <c r="G1594" s="3"/>
      <c r="H1594" s="3"/>
      <c r="I1594" s="3"/>
      <c r="J1594" s="3"/>
      <c r="K1594" s="3"/>
      <c r="L1594" s="3"/>
      <c r="M1594" s="3"/>
    </row>
    <row r="1595" spans="1:13" s="33" customFormat="1">
      <c r="A1595" s="71"/>
      <c r="B1595" s="3"/>
      <c r="C1595" s="3"/>
      <c r="D1595" s="3"/>
      <c r="E1595" s="3"/>
      <c r="F1595" s="3"/>
      <c r="G1595" s="3"/>
      <c r="H1595" s="3"/>
      <c r="I1595" s="3"/>
      <c r="J1595" s="3"/>
      <c r="K1595" s="3"/>
      <c r="L1595" s="3"/>
      <c r="M1595" s="3"/>
    </row>
    <row r="1596" spans="1:13" s="33" customFormat="1">
      <c r="A1596" s="71"/>
      <c r="B1596" s="3"/>
      <c r="C1596" s="3"/>
      <c r="D1596" s="3"/>
      <c r="E1596" s="3"/>
      <c r="F1596" s="3"/>
      <c r="G1596" s="3"/>
      <c r="H1596" s="3"/>
      <c r="I1596" s="3"/>
      <c r="J1596" s="3"/>
      <c r="K1596" s="3"/>
      <c r="L1596" s="3"/>
      <c r="M1596" s="3"/>
    </row>
    <row r="1597" spans="1:13" s="33" customFormat="1">
      <c r="A1597" s="71"/>
      <c r="B1597" s="3"/>
      <c r="C1597" s="3"/>
      <c r="D1597" s="3"/>
      <c r="E1597" s="3"/>
      <c r="F1597" s="3"/>
      <c r="G1597" s="3"/>
      <c r="H1597" s="3"/>
      <c r="I1597" s="3"/>
      <c r="J1597" s="3"/>
      <c r="K1597" s="3"/>
      <c r="L1597" s="3"/>
      <c r="M1597" s="3"/>
    </row>
    <row r="1598" spans="1:13" s="33" customFormat="1">
      <c r="A1598" s="71"/>
      <c r="B1598" s="3"/>
      <c r="C1598" s="3"/>
      <c r="D1598" s="3"/>
      <c r="E1598" s="3"/>
      <c r="F1598" s="3"/>
      <c r="G1598" s="3"/>
      <c r="H1598" s="3"/>
      <c r="I1598" s="3"/>
      <c r="J1598" s="3"/>
      <c r="K1598" s="3"/>
      <c r="L1598" s="3"/>
      <c r="M1598" s="3"/>
    </row>
    <row r="1599" spans="1:13" s="33" customFormat="1">
      <c r="A1599" s="71"/>
      <c r="B1599" s="3"/>
      <c r="C1599" s="3"/>
      <c r="D1599" s="3"/>
      <c r="E1599" s="3"/>
      <c r="F1599" s="3"/>
      <c r="G1599" s="3"/>
      <c r="H1599" s="3"/>
      <c r="I1599" s="3"/>
      <c r="J1599" s="3"/>
      <c r="K1599" s="3"/>
      <c r="L1599" s="3"/>
      <c r="M1599" s="3"/>
    </row>
    <row r="1600" spans="1:13" s="33" customFormat="1">
      <c r="A1600" s="71"/>
      <c r="B1600" s="3"/>
      <c r="C1600" s="3"/>
      <c r="D1600" s="3"/>
      <c r="E1600" s="3"/>
      <c r="F1600" s="3"/>
      <c r="G1600" s="3"/>
      <c r="H1600" s="3"/>
      <c r="I1600" s="3"/>
      <c r="J1600" s="3"/>
      <c r="K1600" s="3"/>
      <c r="L1600" s="3"/>
      <c r="M1600" s="3"/>
    </row>
    <row r="1601" spans="1:13" s="33" customFormat="1">
      <c r="A1601" s="71"/>
      <c r="B1601" s="3"/>
      <c r="C1601" s="3"/>
      <c r="D1601" s="3"/>
      <c r="E1601" s="3"/>
      <c r="F1601" s="3"/>
      <c r="G1601" s="3"/>
      <c r="H1601" s="3"/>
      <c r="I1601" s="3"/>
      <c r="J1601" s="3"/>
      <c r="K1601" s="3"/>
      <c r="L1601" s="3"/>
      <c r="M1601" s="3"/>
    </row>
    <row r="1602" spans="1:13" s="33" customFormat="1">
      <c r="A1602" s="71"/>
      <c r="B1602" s="3"/>
      <c r="C1602" s="3"/>
      <c r="D1602" s="3"/>
      <c r="E1602" s="3"/>
      <c r="F1602" s="3"/>
      <c r="G1602" s="3"/>
      <c r="H1602" s="3"/>
      <c r="I1602" s="3"/>
      <c r="J1602" s="3"/>
      <c r="K1602" s="3"/>
      <c r="L1602" s="3"/>
      <c r="M1602" s="3"/>
    </row>
    <row r="1603" spans="1:13" s="33" customFormat="1">
      <c r="A1603" s="71"/>
      <c r="B1603" s="3"/>
      <c r="C1603" s="3"/>
      <c r="D1603" s="3"/>
      <c r="E1603" s="3"/>
      <c r="F1603" s="3"/>
      <c r="G1603" s="3"/>
      <c r="H1603" s="3"/>
      <c r="I1603" s="3"/>
      <c r="J1603" s="3"/>
      <c r="K1603" s="3"/>
      <c r="L1603" s="3"/>
      <c r="M1603" s="3"/>
    </row>
    <row r="1604" spans="1:13" s="33" customFormat="1">
      <c r="A1604" s="71"/>
      <c r="B1604" s="3"/>
      <c r="C1604" s="3"/>
      <c r="D1604" s="3"/>
      <c r="E1604" s="3"/>
      <c r="F1604" s="3"/>
      <c r="G1604" s="3"/>
      <c r="H1604" s="3"/>
      <c r="I1604" s="3"/>
      <c r="J1604" s="3"/>
      <c r="K1604" s="3"/>
      <c r="L1604" s="3"/>
      <c r="M1604" s="3"/>
    </row>
    <row r="1605" spans="1:13" s="33" customFormat="1">
      <c r="A1605" s="71"/>
      <c r="B1605" s="3"/>
      <c r="C1605" s="3"/>
      <c r="D1605" s="3"/>
      <c r="E1605" s="3"/>
      <c r="F1605" s="3"/>
      <c r="G1605" s="3"/>
      <c r="H1605" s="3"/>
      <c r="I1605" s="3"/>
      <c r="J1605" s="3"/>
      <c r="K1605" s="3"/>
      <c r="L1605" s="3"/>
      <c r="M1605" s="3"/>
    </row>
    <row r="1606" spans="1:13" s="33" customFormat="1">
      <c r="A1606" s="71"/>
      <c r="B1606" s="3"/>
      <c r="C1606" s="3"/>
      <c r="D1606" s="3"/>
      <c r="E1606" s="3"/>
      <c r="F1606" s="3"/>
      <c r="G1606" s="3"/>
      <c r="H1606" s="3"/>
      <c r="I1606" s="3"/>
      <c r="J1606" s="3"/>
      <c r="K1606" s="3"/>
      <c r="L1606" s="3"/>
      <c r="M1606" s="3"/>
    </row>
    <row r="1607" spans="1:13" s="33" customFormat="1">
      <c r="A1607" s="71"/>
      <c r="B1607" s="3"/>
      <c r="C1607" s="3"/>
      <c r="D1607" s="3"/>
      <c r="E1607" s="3"/>
      <c r="F1607" s="3"/>
      <c r="G1607" s="3"/>
      <c r="H1607" s="3"/>
      <c r="I1607" s="3"/>
      <c r="J1607" s="3"/>
      <c r="K1607" s="3"/>
      <c r="L1607" s="3"/>
      <c r="M1607" s="3"/>
    </row>
    <row r="1608" spans="1:13" s="33" customFormat="1">
      <c r="A1608" s="71"/>
      <c r="B1608" s="3"/>
      <c r="C1608" s="3"/>
      <c r="D1608" s="3"/>
      <c r="E1608" s="3"/>
      <c r="F1608" s="3"/>
      <c r="G1608" s="3"/>
      <c r="H1608" s="3"/>
      <c r="I1608" s="3"/>
      <c r="J1608" s="3"/>
      <c r="K1608" s="3"/>
      <c r="L1608" s="3"/>
      <c r="M1608" s="3"/>
    </row>
    <row r="1609" spans="1:13" s="33" customFormat="1">
      <c r="A1609" s="71"/>
      <c r="B1609" s="3"/>
      <c r="C1609" s="3"/>
      <c r="D1609" s="3"/>
      <c r="E1609" s="3"/>
      <c r="F1609" s="3"/>
      <c r="G1609" s="3"/>
      <c r="H1609" s="3"/>
      <c r="I1609" s="3"/>
      <c r="J1609" s="3"/>
      <c r="K1609" s="3"/>
      <c r="L1609" s="3"/>
      <c r="M1609" s="3"/>
    </row>
    <row r="1610" spans="1:13" s="33" customFormat="1">
      <c r="A1610" s="71"/>
      <c r="B1610" s="3"/>
      <c r="C1610" s="3"/>
      <c r="D1610" s="3"/>
      <c r="E1610" s="3"/>
      <c r="F1610" s="3"/>
      <c r="G1610" s="3"/>
      <c r="H1610" s="3"/>
      <c r="I1610" s="3"/>
      <c r="J1610" s="3"/>
      <c r="K1610" s="3"/>
      <c r="L1610" s="3"/>
      <c r="M1610" s="3"/>
    </row>
    <row r="1611" spans="1:13" s="33" customFormat="1">
      <c r="A1611" s="71"/>
      <c r="B1611" s="3"/>
      <c r="C1611" s="3"/>
      <c r="D1611" s="3"/>
      <c r="E1611" s="3"/>
      <c r="F1611" s="3"/>
      <c r="G1611" s="3"/>
      <c r="H1611" s="3"/>
      <c r="I1611" s="3"/>
      <c r="J1611" s="3"/>
      <c r="K1611" s="3"/>
      <c r="L1611" s="3"/>
      <c r="M1611" s="3"/>
    </row>
    <row r="1612" spans="1:13" s="33" customFormat="1">
      <c r="A1612" s="71"/>
      <c r="B1612" s="3"/>
      <c r="C1612" s="3"/>
      <c r="D1612" s="3"/>
      <c r="E1612" s="3"/>
      <c r="F1612" s="3"/>
      <c r="G1612" s="3"/>
      <c r="H1612" s="3"/>
      <c r="I1612" s="3"/>
      <c r="J1612" s="3"/>
      <c r="K1612" s="3"/>
      <c r="L1612" s="3"/>
      <c r="M1612" s="3"/>
    </row>
    <row r="1613" spans="1:13" s="33" customFormat="1">
      <c r="A1613" s="71"/>
      <c r="B1613" s="3"/>
      <c r="C1613" s="3"/>
      <c r="D1613" s="3"/>
      <c r="E1613" s="3"/>
      <c r="F1613" s="3"/>
      <c r="G1613" s="3"/>
      <c r="H1613" s="3"/>
      <c r="I1613" s="3"/>
      <c r="J1613" s="3"/>
      <c r="K1613" s="3"/>
      <c r="L1613" s="3"/>
      <c r="M1613" s="3"/>
    </row>
    <row r="1614" spans="1:13" s="33" customFormat="1">
      <c r="A1614" s="71"/>
      <c r="B1614" s="3"/>
      <c r="C1614" s="3"/>
      <c r="D1614" s="3"/>
      <c r="E1614" s="3"/>
      <c r="F1614" s="3"/>
      <c r="G1614" s="3"/>
      <c r="H1614" s="3"/>
      <c r="I1614" s="3"/>
      <c r="J1614" s="3"/>
      <c r="K1614" s="3"/>
      <c r="L1614" s="3"/>
      <c r="M1614" s="3"/>
    </row>
    <row r="1615" spans="1:13" s="33" customFormat="1">
      <c r="A1615" s="71"/>
      <c r="B1615" s="3"/>
      <c r="C1615" s="3"/>
      <c r="D1615" s="3"/>
      <c r="E1615" s="3"/>
      <c r="F1615" s="3"/>
      <c r="G1615" s="3"/>
      <c r="H1615" s="3"/>
      <c r="I1615" s="3"/>
      <c r="J1615" s="3"/>
      <c r="K1615" s="3"/>
      <c r="L1615" s="3"/>
      <c r="M1615" s="3"/>
    </row>
    <row r="1616" spans="1:13" s="33" customFormat="1">
      <c r="A1616" s="71"/>
      <c r="B1616" s="3"/>
      <c r="C1616" s="3"/>
      <c r="D1616" s="3"/>
      <c r="E1616" s="3"/>
      <c r="F1616" s="3"/>
      <c r="G1616" s="3"/>
      <c r="H1616" s="3"/>
      <c r="I1616" s="3"/>
      <c r="J1616" s="3"/>
      <c r="K1616" s="3"/>
      <c r="L1616" s="3"/>
      <c r="M1616" s="3"/>
    </row>
    <row r="1617" spans="1:13" s="33" customFormat="1">
      <c r="A1617" s="71"/>
      <c r="B1617" s="3"/>
      <c r="C1617" s="3"/>
      <c r="D1617" s="3"/>
      <c r="E1617" s="3"/>
      <c r="F1617" s="3"/>
      <c r="G1617" s="3"/>
      <c r="H1617" s="3"/>
      <c r="I1617" s="3"/>
      <c r="J1617" s="3"/>
      <c r="K1617" s="3"/>
      <c r="L1617" s="3"/>
      <c r="M1617" s="3"/>
    </row>
    <row r="1618" spans="1:13" s="33" customFormat="1">
      <c r="A1618" s="71"/>
      <c r="B1618" s="3"/>
      <c r="C1618" s="3"/>
      <c r="D1618" s="3"/>
      <c r="E1618" s="3"/>
      <c r="F1618" s="3"/>
      <c r="G1618" s="3"/>
      <c r="H1618" s="3"/>
      <c r="I1618" s="3"/>
      <c r="J1618" s="3"/>
      <c r="K1618" s="3"/>
      <c r="L1618" s="3"/>
      <c r="M1618" s="3"/>
    </row>
    <row r="1619" spans="1:13" s="33" customFormat="1">
      <c r="A1619" s="71"/>
      <c r="B1619" s="3"/>
      <c r="C1619" s="3"/>
      <c r="D1619" s="3"/>
      <c r="E1619" s="3"/>
      <c r="F1619" s="3"/>
      <c r="G1619" s="3"/>
      <c r="H1619" s="3"/>
      <c r="I1619" s="3"/>
      <c r="J1619" s="3"/>
      <c r="K1619" s="3"/>
      <c r="L1619" s="3"/>
      <c r="M1619" s="3"/>
    </row>
    <row r="1620" spans="1:13" s="33" customFormat="1">
      <c r="A1620" s="71"/>
      <c r="B1620" s="3"/>
      <c r="C1620" s="3"/>
      <c r="D1620" s="3"/>
      <c r="E1620" s="3"/>
      <c r="F1620" s="3"/>
      <c r="G1620" s="3"/>
      <c r="H1620" s="3"/>
      <c r="I1620" s="3"/>
      <c r="J1620" s="3"/>
      <c r="K1620" s="3"/>
      <c r="L1620" s="3"/>
      <c r="M1620" s="3"/>
    </row>
    <row r="1621" spans="1:13" s="33" customFormat="1">
      <c r="A1621" s="71"/>
      <c r="B1621" s="3"/>
      <c r="C1621" s="3"/>
      <c r="D1621" s="3"/>
      <c r="E1621" s="3"/>
      <c r="F1621" s="3"/>
      <c r="G1621" s="3"/>
      <c r="H1621" s="3"/>
      <c r="I1621" s="3"/>
      <c r="J1621" s="3"/>
      <c r="K1621" s="3"/>
      <c r="L1621" s="3"/>
      <c r="M1621" s="3"/>
    </row>
    <row r="1622" spans="1:13" s="33" customFormat="1">
      <c r="A1622" s="71"/>
      <c r="B1622" s="3"/>
      <c r="C1622" s="3"/>
      <c r="D1622" s="3"/>
      <c r="E1622" s="3"/>
      <c r="F1622" s="3"/>
      <c r="G1622" s="3"/>
      <c r="H1622" s="3"/>
      <c r="I1622" s="3"/>
      <c r="J1622" s="3"/>
      <c r="K1622" s="3"/>
      <c r="L1622" s="3"/>
      <c r="M1622" s="3"/>
    </row>
    <row r="1623" spans="1:13" s="33" customFormat="1">
      <c r="A1623" s="71"/>
      <c r="B1623" s="3"/>
      <c r="C1623" s="3"/>
      <c r="D1623" s="3"/>
      <c r="E1623" s="3"/>
      <c r="F1623" s="3"/>
      <c r="G1623" s="3"/>
      <c r="H1623" s="3"/>
      <c r="I1623" s="3"/>
      <c r="J1623" s="3"/>
      <c r="K1623" s="3"/>
      <c r="L1623" s="3"/>
      <c r="M1623" s="3"/>
    </row>
    <row r="1624" spans="1:13" s="33" customFormat="1">
      <c r="A1624" s="71"/>
      <c r="B1624" s="3"/>
      <c r="C1624" s="3"/>
      <c r="D1624" s="3"/>
      <c r="E1624" s="3"/>
      <c r="F1624" s="3"/>
      <c r="G1624" s="3"/>
      <c r="H1624" s="3"/>
      <c r="I1624" s="3"/>
      <c r="J1624" s="3"/>
      <c r="K1624" s="3"/>
      <c r="L1624" s="3"/>
      <c r="M1624" s="3"/>
    </row>
    <row r="1625" spans="1:13" s="33" customFormat="1">
      <c r="A1625" s="71"/>
      <c r="B1625" s="3"/>
      <c r="C1625" s="3"/>
      <c r="D1625" s="3"/>
      <c r="E1625" s="3"/>
      <c r="F1625" s="3"/>
      <c r="G1625" s="3"/>
      <c r="H1625" s="3"/>
      <c r="I1625" s="3"/>
      <c r="J1625" s="3"/>
      <c r="K1625" s="3"/>
      <c r="L1625" s="3"/>
      <c r="M1625" s="3"/>
    </row>
    <row r="1626" spans="1:13" s="33" customFormat="1">
      <c r="A1626" s="71"/>
      <c r="B1626" s="3"/>
      <c r="C1626" s="3"/>
      <c r="D1626" s="3"/>
      <c r="E1626" s="3"/>
      <c r="F1626" s="3"/>
      <c r="G1626" s="3"/>
      <c r="H1626" s="3"/>
      <c r="I1626" s="3"/>
      <c r="J1626" s="3"/>
      <c r="K1626" s="3"/>
      <c r="L1626" s="3"/>
      <c r="M1626" s="3"/>
    </row>
    <row r="1627" spans="1:13" s="33" customFormat="1">
      <c r="A1627" s="71"/>
      <c r="B1627" s="3"/>
      <c r="C1627" s="3"/>
      <c r="D1627" s="3"/>
      <c r="E1627" s="3"/>
      <c r="F1627" s="3"/>
      <c r="G1627" s="3"/>
      <c r="H1627" s="3"/>
      <c r="I1627" s="3"/>
      <c r="J1627" s="3"/>
      <c r="K1627" s="3"/>
      <c r="L1627" s="3"/>
      <c r="M1627" s="3"/>
    </row>
    <row r="1628" spans="1:13" s="33" customFormat="1">
      <c r="A1628" s="71"/>
      <c r="B1628" s="3"/>
      <c r="C1628" s="3"/>
      <c r="D1628" s="3"/>
      <c r="E1628" s="3"/>
      <c r="F1628" s="3"/>
      <c r="G1628" s="3"/>
      <c r="H1628" s="3"/>
      <c r="I1628" s="3"/>
      <c r="J1628" s="3"/>
      <c r="K1628" s="3"/>
      <c r="L1628" s="3"/>
      <c r="M1628" s="3"/>
    </row>
    <row r="1629" spans="1:13" s="33" customFormat="1">
      <c r="A1629" s="71"/>
      <c r="B1629" s="3"/>
      <c r="C1629" s="3"/>
      <c r="D1629" s="3"/>
      <c r="E1629" s="3"/>
      <c r="F1629" s="3"/>
      <c r="G1629" s="3"/>
      <c r="H1629" s="3"/>
      <c r="I1629" s="3"/>
      <c r="J1629" s="3"/>
      <c r="K1629" s="3"/>
      <c r="L1629" s="3"/>
      <c r="M1629" s="3"/>
    </row>
    <row r="1630" spans="1:13" s="33" customFormat="1">
      <c r="A1630" s="71"/>
      <c r="B1630" s="3"/>
      <c r="C1630" s="3"/>
      <c r="D1630" s="3"/>
      <c r="E1630" s="3"/>
      <c r="F1630" s="3"/>
      <c r="G1630" s="3"/>
      <c r="H1630" s="3"/>
      <c r="I1630" s="3"/>
      <c r="J1630" s="3"/>
      <c r="K1630" s="3"/>
      <c r="L1630" s="3"/>
      <c r="M1630" s="3"/>
    </row>
    <row r="1631" spans="1:13" s="33" customFormat="1">
      <c r="A1631" s="71"/>
      <c r="B1631" s="3"/>
      <c r="C1631" s="3"/>
      <c r="D1631" s="3"/>
      <c r="E1631" s="3"/>
      <c r="F1631" s="3"/>
      <c r="G1631" s="3"/>
      <c r="H1631" s="3"/>
      <c r="I1631" s="3"/>
      <c r="J1631" s="3"/>
      <c r="K1631" s="3"/>
      <c r="L1631" s="3"/>
      <c r="M1631" s="3"/>
    </row>
    <row r="1632" spans="1:13" s="33" customFormat="1">
      <c r="A1632" s="71"/>
      <c r="B1632" s="3"/>
      <c r="C1632" s="3"/>
      <c r="D1632" s="3"/>
      <c r="E1632" s="3"/>
      <c r="F1632" s="3"/>
      <c r="G1632" s="3"/>
      <c r="H1632" s="3"/>
      <c r="I1632" s="3"/>
      <c r="J1632" s="3"/>
      <c r="K1632" s="3"/>
      <c r="L1632" s="3"/>
      <c r="M1632" s="3"/>
    </row>
    <row r="1633" spans="1:13" s="33" customFormat="1">
      <c r="A1633" s="71"/>
      <c r="B1633" s="3"/>
      <c r="C1633" s="3"/>
      <c r="D1633" s="3"/>
      <c r="E1633" s="3"/>
      <c r="F1633" s="3"/>
      <c r="G1633" s="3"/>
      <c r="H1633" s="3"/>
      <c r="I1633" s="3"/>
      <c r="J1633" s="3"/>
      <c r="K1633" s="3"/>
      <c r="L1633" s="3"/>
      <c r="M1633" s="3"/>
    </row>
    <row r="1634" spans="1:13" s="33" customFormat="1">
      <c r="A1634" s="71"/>
      <c r="B1634" s="3"/>
      <c r="C1634" s="3"/>
      <c r="D1634" s="3"/>
      <c r="E1634" s="3"/>
      <c r="F1634" s="3"/>
      <c r="G1634" s="3"/>
      <c r="H1634" s="3"/>
      <c r="I1634" s="3"/>
      <c r="J1634" s="3"/>
      <c r="K1634" s="3"/>
      <c r="L1634" s="3"/>
      <c r="M1634" s="3"/>
    </row>
    <row r="1635" spans="1:13" s="33" customFormat="1">
      <c r="A1635" s="71"/>
      <c r="B1635" s="3"/>
      <c r="C1635" s="3"/>
      <c r="D1635" s="3"/>
      <c r="E1635" s="3"/>
      <c r="F1635" s="3"/>
      <c r="G1635" s="3"/>
      <c r="H1635" s="3"/>
      <c r="I1635" s="3"/>
      <c r="J1635" s="3"/>
      <c r="K1635" s="3"/>
      <c r="L1635" s="3"/>
      <c r="M1635" s="3"/>
    </row>
    <row r="1636" spans="1:13" s="33" customFormat="1">
      <c r="A1636" s="71"/>
      <c r="B1636" s="3"/>
      <c r="C1636" s="3"/>
      <c r="D1636" s="3"/>
      <c r="E1636" s="3"/>
      <c r="F1636" s="3"/>
      <c r="G1636" s="3"/>
      <c r="H1636" s="3"/>
      <c r="I1636" s="3"/>
      <c r="J1636" s="3"/>
      <c r="K1636" s="3"/>
      <c r="L1636" s="3"/>
      <c r="M1636" s="3"/>
    </row>
    <row r="1637" spans="1:13" s="33" customFormat="1">
      <c r="A1637" s="71"/>
      <c r="B1637" s="3"/>
      <c r="C1637" s="3"/>
      <c r="D1637" s="3"/>
      <c r="E1637" s="3"/>
      <c r="F1637" s="3"/>
      <c r="G1637" s="3"/>
      <c r="H1637" s="3"/>
      <c r="I1637" s="3"/>
      <c r="J1637" s="3"/>
      <c r="K1637" s="3"/>
      <c r="L1637" s="3"/>
      <c r="M1637" s="3"/>
    </row>
    <row r="1638" spans="1:13" s="33" customFormat="1">
      <c r="A1638" s="71"/>
      <c r="B1638" s="3"/>
      <c r="C1638" s="3"/>
      <c r="D1638" s="3"/>
      <c r="E1638" s="3"/>
      <c r="F1638" s="3"/>
      <c r="G1638" s="3"/>
      <c r="H1638" s="3"/>
      <c r="I1638" s="3"/>
      <c r="J1638" s="3"/>
      <c r="K1638" s="3"/>
      <c r="L1638" s="3"/>
      <c r="M1638" s="3"/>
    </row>
    <row r="1639" spans="1:13" s="33" customFormat="1">
      <c r="A1639" s="71"/>
      <c r="B1639" s="3"/>
      <c r="C1639" s="3"/>
      <c r="D1639" s="3"/>
      <c r="E1639" s="3"/>
      <c r="F1639" s="3"/>
      <c r="G1639" s="3"/>
      <c r="H1639" s="3"/>
      <c r="I1639" s="3"/>
      <c r="J1639" s="3"/>
      <c r="K1639" s="3"/>
      <c r="L1639" s="3"/>
      <c r="M1639" s="3"/>
    </row>
    <row r="1640" spans="1:13" s="33" customFormat="1">
      <c r="A1640" s="71"/>
      <c r="B1640" s="3"/>
      <c r="C1640" s="3"/>
      <c r="D1640" s="3"/>
      <c r="E1640" s="3"/>
      <c r="F1640" s="3"/>
      <c r="G1640" s="3"/>
      <c r="H1640" s="3"/>
      <c r="I1640" s="3"/>
      <c r="J1640" s="3"/>
      <c r="K1640" s="3"/>
      <c r="L1640" s="3"/>
      <c r="M1640" s="3"/>
    </row>
    <row r="1641" spans="1:13" s="33" customFormat="1">
      <c r="A1641" s="71"/>
      <c r="B1641" s="3"/>
      <c r="C1641" s="3"/>
      <c r="D1641" s="3"/>
      <c r="E1641" s="3"/>
      <c r="F1641" s="3"/>
      <c r="G1641" s="3"/>
      <c r="H1641" s="3"/>
      <c r="I1641" s="3"/>
      <c r="J1641" s="3"/>
      <c r="K1641" s="3"/>
      <c r="L1641" s="3"/>
      <c r="M1641" s="3"/>
    </row>
    <row r="1642" spans="1:13" s="33" customFormat="1">
      <c r="A1642" s="71"/>
      <c r="B1642" s="3"/>
      <c r="C1642" s="3"/>
      <c r="D1642" s="3"/>
      <c r="E1642" s="3"/>
      <c r="F1642" s="3"/>
      <c r="G1642" s="3"/>
      <c r="H1642" s="3"/>
      <c r="I1642" s="3"/>
      <c r="J1642" s="3"/>
      <c r="K1642" s="3"/>
      <c r="L1642" s="3"/>
      <c r="M1642" s="3"/>
    </row>
    <row r="1643" spans="1:13" s="33" customFormat="1">
      <c r="A1643" s="71"/>
      <c r="B1643" s="3"/>
      <c r="C1643" s="3"/>
      <c r="D1643" s="3"/>
      <c r="E1643" s="3"/>
      <c r="F1643" s="3"/>
      <c r="G1643" s="3"/>
      <c r="H1643" s="3"/>
      <c r="I1643" s="3"/>
      <c r="J1643" s="3"/>
      <c r="K1643" s="3"/>
      <c r="L1643" s="3"/>
      <c r="M1643" s="3"/>
    </row>
    <row r="1644" spans="1:13" s="33" customFormat="1">
      <c r="A1644" s="71"/>
      <c r="B1644" s="3"/>
      <c r="C1644" s="3"/>
      <c r="D1644" s="3"/>
      <c r="E1644" s="3"/>
      <c r="F1644" s="3"/>
      <c r="G1644" s="3"/>
      <c r="H1644" s="3"/>
      <c r="I1644" s="3"/>
      <c r="J1644" s="3"/>
      <c r="K1644" s="3"/>
      <c r="L1644" s="3"/>
      <c r="M1644" s="3"/>
    </row>
    <row r="1645" spans="1:13" s="33" customFormat="1">
      <c r="A1645" s="71"/>
      <c r="B1645" s="3"/>
      <c r="C1645" s="3"/>
      <c r="D1645" s="3"/>
      <c r="E1645" s="3"/>
      <c r="F1645" s="3"/>
      <c r="G1645" s="3"/>
      <c r="H1645" s="3"/>
      <c r="I1645" s="3"/>
      <c r="J1645" s="3"/>
      <c r="K1645" s="3"/>
      <c r="L1645" s="3"/>
      <c r="M1645" s="3"/>
    </row>
    <row r="1646" spans="1:13" s="33" customFormat="1">
      <c r="A1646" s="71"/>
      <c r="B1646" s="3"/>
      <c r="C1646" s="3"/>
      <c r="D1646" s="3"/>
      <c r="E1646" s="3"/>
      <c r="F1646" s="3"/>
      <c r="G1646" s="3"/>
      <c r="H1646" s="3"/>
      <c r="I1646" s="3"/>
      <c r="J1646" s="3"/>
      <c r="K1646" s="3"/>
      <c r="L1646" s="3"/>
      <c r="M1646" s="3"/>
    </row>
    <row r="1647" spans="1:13" s="33" customFormat="1">
      <c r="A1647" s="71"/>
      <c r="B1647" s="3"/>
      <c r="C1647" s="3"/>
      <c r="D1647" s="3"/>
      <c r="E1647" s="3"/>
      <c r="F1647" s="3"/>
      <c r="G1647" s="3"/>
      <c r="H1647" s="3"/>
      <c r="I1647" s="3"/>
      <c r="J1647" s="3"/>
      <c r="K1647" s="3"/>
      <c r="L1647" s="3"/>
      <c r="M1647" s="3"/>
    </row>
    <row r="1648" spans="1:13" s="33" customFormat="1">
      <c r="A1648" s="71"/>
      <c r="B1648" s="3"/>
      <c r="C1648" s="3"/>
      <c r="D1648" s="3"/>
      <c r="E1648" s="3"/>
      <c r="F1648" s="3"/>
      <c r="G1648" s="3"/>
      <c r="H1648" s="3"/>
      <c r="I1648" s="3"/>
      <c r="J1648" s="3"/>
      <c r="K1648" s="3"/>
      <c r="L1648" s="3"/>
      <c r="M1648" s="3"/>
    </row>
    <row r="1649" spans="1:13" s="33" customFormat="1">
      <c r="A1649" s="71"/>
      <c r="B1649" s="3"/>
      <c r="C1649" s="3"/>
      <c r="D1649" s="3"/>
      <c r="E1649" s="3"/>
      <c r="F1649" s="3"/>
      <c r="G1649" s="3"/>
      <c r="H1649" s="3"/>
      <c r="I1649" s="3"/>
      <c r="J1649" s="3"/>
      <c r="K1649" s="3"/>
      <c r="L1649" s="3"/>
      <c r="M1649" s="3"/>
    </row>
    <row r="1650" spans="1:13" s="33" customFormat="1">
      <c r="A1650" s="71"/>
      <c r="B1650" s="3"/>
      <c r="C1650" s="3"/>
      <c r="D1650" s="3"/>
      <c r="E1650" s="3"/>
      <c r="F1650" s="3"/>
      <c r="G1650" s="3"/>
      <c r="H1650" s="3"/>
      <c r="I1650" s="3"/>
      <c r="J1650" s="3"/>
      <c r="K1650" s="3"/>
      <c r="L1650" s="3"/>
      <c r="M1650" s="3"/>
    </row>
    <row r="1651" spans="1:13" s="33" customFormat="1">
      <c r="A1651" s="71"/>
      <c r="B1651" s="3"/>
      <c r="C1651" s="3"/>
      <c r="D1651" s="3"/>
      <c r="E1651" s="3"/>
      <c r="F1651" s="3"/>
      <c r="G1651" s="3"/>
      <c r="H1651" s="3"/>
      <c r="I1651" s="3"/>
      <c r="J1651" s="3"/>
      <c r="K1651" s="3"/>
      <c r="L1651" s="3"/>
      <c r="M1651" s="3"/>
    </row>
    <row r="1652" spans="1:13" s="33" customFormat="1">
      <c r="A1652" s="71"/>
      <c r="B1652" s="3"/>
      <c r="C1652" s="3"/>
      <c r="D1652" s="3"/>
      <c r="E1652" s="3"/>
      <c r="F1652" s="3"/>
      <c r="G1652" s="3"/>
      <c r="H1652" s="3"/>
      <c r="I1652" s="3"/>
      <c r="J1652" s="3"/>
      <c r="K1652" s="3"/>
      <c r="L1652" s="3"/>
      <c r="M1652" s="3"/>
    </row>
    <row r="1653" spans="1:13" s="33" customFormat="1">
      <c r="A1653" s="71"/>
      <c r="B1653" s="3"/>
      <c r="C1653" s="3"/>
      <c r="D1653" s="3"/>
      <c r="E1653" s="3"/>
      <c r="F1653" s="3"/>
      <c r="G1653" s="3"/>
      <c r="H1653" s="3"/>
      <c r="I1653" s="3"/>
      <c r="J1653" s="3"/>
      <c r="K1653" s="3"/>
      <c r="L1653" s="3"/>
      <c r="M1653" s="3"/>
    </row>
    <row r="1654" spans="1:13" s="33" customFormat="1">
      <c r="A1654" s="71"/>
      <c r="B1654" s="3"/>
      <c r="C1654" s="3"/>
      <c r="D1654" s="3"/>
      <c r="E1654" s="3"/>
      <c r="F1654" s="3"/>
      <c r="G1654" s="3"/>
      <c r="H1654" s="3"/>
      <c r="I1654" s="3"/>
      <c r="J1654" s="3"/>
      <c r="K1654" s="3"/>
      <c r="L1654" s="3"/>
      <c r="M1654" s="3"/>
    </row>
    <row r="1655" spans="1:13" s="33" customFormat="1">
      <c r="A1655" s="71"/>
      <c r="B1655" s="3"/>
      <c r="C1655" s="3"/>
      <c r="D1655" s="3"/>
      <c r="E1655" s="3"/>
      <c r="F1655" s="3"/>
      <c r="G1655" s="3"/>
      <c r="H1655" s="3"/>
      <c r="I1655" s="3"/>
      <c r="J1655" s="3"/>
      <c r="K1655" s="3"/>
      <c r="L1655" s="3"/>
      <c r="M1655" s="3"/>
    </row>
    <row r="1656" spans="1:13" s="33" customFormat="1">
      <c r="A1656" s="71"/>
      <c r="B1656" s="3"/>
      <c r="C1656" s="3"/>
      <c r="D1656" s="3"/>
      <c r="E1656" s="3"/>
      <c r="F1656" s="3"/>
      <c r="G1656" s="3"/>
      <c r="H1656" s="3"/>
      <c r="I1656" s="3"/>
      <c r="J1656" s="3"/>
      <c r="K1656" s="3"/>
      <c r="L1656" s="3"/>
      <c r="M1656" s="3"/>
    </row>
    <row r="1657" spans="1:13" s="33" customFormat="1">
      <c r="A1657" s="71"/>
      <c r="B1657" s="3"/>
      <c r="C1657" s="3"/>
      <c r="D1657" s="3"/>
      <c r="E1657" s="3"/>
      <c r="F1657" s="3"/>
      <c r="G1657" s="3"/>
      <c r="H1657" s="3"/>
      <c r="I1657" s="3"/>
      <c r="J1657" s="3"/>
      <c r="K1657" s="3"/>
      <c r="L1657" s="3"/>
      <c r="M1657" s="3"/>
    </row>
    <row r="1658" spans="1:13" s="33" customFormat="1">
      <c r="A1658" s="71"/>
      <c r="B1658" s="3"/>
      <c r="C1658" s="3"/>
      <c r="D1658" s="3"/>
      <c r="E1658" s="3"/>
      <c r="F1658" s="3"/>
      <c r="G1658" s="3"/>
      <c r="H1658" s="3"/>
      <c r="I1658" s="3"/>
      <c r="J1658" s="3"/>
      <c r="K1658" s="3"/>
      <c r="L1658" s="3"/>
      <c r="M1658" s="3"/>
    </row>
    <row r="1659" spans="1:13" s="33" customFormat="1">
      <c r="A1659" s="71"/>
      <c r="B1659" s="3"/>
      <c r="C1659" s="3"/>
      <c r="D1659" s="3"/>
      <c r="E1659" s="3"/>
      <c r="F1659" s="3"/>
      <c r="G1659" s="3"/>
      <c r="H1659" s="3"/>
      <c r="I1659" s="3"/>
      <c r="J1659" s="3"/>
      <c r="K1659" s="3"/>
      <c r="L1659" s="3"/>
      <c r="M1659" s="3"/>
    </row>
    <row r="1660" spans="1:13" s="33" customFormat="1">
      <c r="A1660" s="71"/>
      <c r="B1660" s="3"/>
      <c r="C1660" s="3"/>
      <c r="D1660" s="3"/>
      <c r="E1660" s="3"/>
      <c r="F1660" s="3"/>
      <c r="G1660" s="3"/>
      <c r="H1660" s="3"/>
      <c r="I1660" s="3"/>
      <c r="J1660" s="3"/>
      <c r="K1660" s="3"/>
      <c r="L1660" s="3"/>
      <c r="M1660" s="3"/>
    </row>
    <row r="1661" spans="1:13" s="33" customFormat="1">
      <c r="A1661" s="71"/>
      <c r="B1661" s="3"/>
      <c r="C1661" s="3"/>
      <c r="D1661" s="3"/>
      <c r="E1661" s="3"/>
      <c r="F1661" s="3"/>
      <c r="G1661" s="3"/>
      <c r="H1661" s="3"/>
      <c r="I1661" s="3"/>
      <c r="J1661" s="3"/>
      <c r="K1661" s="3"/>
      <c r="L1661" s="3"/>
      <c r="M1661" s="3"/>
    </row>
    <row r="1662" spans="1:13" s="33" customFormat="1">
      <c r="A1662" s="71"/>
      <c r="B1662" s="3"/>
      <c r="C1662" s="3"/>
      <c r="D1662" s="3"/>
      <c r="E1662" s="3"/>
      <c r="F1662" s="3"/>
      <c r="G1662" s="3"/>
      <c r="H1662" s="3"/>
      <c r="I1662" s="3"/>
      <c r="J1662" s="3"/>
      <c r="K1662" s="3"/>
      <c r="L1662" s="3"/>
      <c r="M1662" s="3"/>
    </row>
    <row r="1663" spans="1:13" s="33" customFormat="1">
      <c r="A1663" s="71"/>
      <c r="B1663" s="3"/>
      <c r="C1663" s="3"/>
      <c r="D1663" s="3"/>
      <c r="E1663" s="3"/>
      <c r="F1663" s="3"/>
      <c r="G1663" s="3"/>
      <c r="H1663" s="3"/>
      <c r="I1663" s="3"/>
      <c r="J1663" s="3"/>
      <c r="K1663" s="3"/>
      <c r="L1663" s="3"/>
      <c r="M1663" s="3"/>
    </row>
    <row r="1664" spans="1:13" s="33" customFormat="1">
      <c r="A1664" s="71"/>
      <c r="B1664" s="3"/>
      <c r="C1664" s="3"/>
      <c r="D1664" s="3"/>
      <c r="E1664" s="3"/>
      <c r="F1664" s="3"/>
      <c r="G1664" s="3"/>
      <c r="H1664" s="3"/>
      <c r="I1664" s="3"/>
      <c r="J1664" s="3"/>
      <c r="K1664" s="3"/>
      <c r="L1664" s="3"/>
      <c r="M1664" s="3"/>
    </row>
    <row r="1665" spans="1:13" s="33" customFormat="1">
      <c r="A1665" s="71"/>
      <c r="B1665" s="3"/>
      <c r="C1665" s="3"/>
      <c r="D1665" s="3"/>
      <c r="E1665" s="3"/>
      <c r="F1665" s="3"/>
      <c r="G1665" s="3"/>
      <c r="H1665" s="3"/>
      <c r="I1665" s="3"/>
      <c r="J1665" s="3"/>
      <c r="K1665" s="3"/>
      <c r="L1665" s="3"/>
      <c r="M1665" s="3"/>
    </row>
    <row r="1666" spans="1:13" s="33" customFormat="1">
      <c r="A1666" s="71"/>
      <c r="B1666" s="3"/>
      <c r="C1666" s="3"/>
      <c r="D1666" s="3"/>
      <c r="E1666" s="3"/>
      <c r="F1666" s="3"/>
      <c r="G1666" s="3"/>
      <c r="H1666" s="3"/>
      <c r="I1666" s="3"/>
      <c r="J1666" s="3"/>
      <c r="K1666" s="3"/>
      <c r="L1666" s="3"/>
      <c r="M1666" s="3"/>
    </row>
    <row r="1667" spans="1:13" s="33" customFormat="1">
      <c r="A1667" s="71"/>
      <c r="B1667" s="3"/>
      <c r="C1667" s="3"/>
      <c r="D1667" s="3"/>
      <c r="E1667" s="3"/>
      <c r="F1667" s="3"/>
      <c r="G1667" s="3"/>
      <c r="H1667" s="3"/>
      <c r="I1667" s="3"/>
      <c r="J1667" s="3"/>
      <c r="K1667" s="3"/>
      <c r="L1667" s="3"/>
      <c r="M1667" s="3"/>
    </row>
    <row r="1668" spans="1:13" s="33" customFormat="1">
      <c r="A1668" s="71"/>
      <c r="B1668" s="3"/>
      <c r="C1668" s="3"/>
      <c r="D1668" s="3"/>
      <c r="E1668" s="3"/>
      <c r="F1668" s="3"/>
      <c r="G1668" s="3"/>
      <c r="H1668" s="3"/>
      <c r="I1668" s="3"/>
      <c r="J1668" s="3"/>
      <c r="K1668" s="3"/>
      <c r="L1668" s="3"/>
      <c r="M1668" s="3"/>
    </row>
    <row r="1669" spans="1:13" s="33" customFormat="1">
      <c r="A1669" s="71"/>
      <c r="B1669" s="3"/>
      <c r="C1669" s="3"/>
      <c r="D1669" s="3"/>
      <c r="E1669" s="3"/>
      <c r="F1669" s="3"/>
      <c r="G1669" s="3"/>
      <c r="H1669" s="3"/>
      <c r="I1669" s="3"/>
      <c r="J1669" s="3"/>
      <c r="K1669" s="3"/>
      <c r="L1669" s="3"/>
      <c r="M1669" s="3"/>
    </row>
    <row r="1670" spans="1:13" s="33" customFormat="1">
      <c r="A1670" s="71"/>
      <c r="B1670" s="3"/>
      <c r="C1670" s="3"/>
      <c r="D1670" s="3"/>
      <c r="E1670" s="3"/>
      <c r="F1670" s="3"/>
      <c r="G1670" s="3"/>
      <c r="H1670" s="3"/>
      <c r="I1670" s="3"/>
      <c r="J1670" s="3"/>
      <c r="K1670" s="3"/>
      <c r="L1670" s="3"/>
      <c r="M1670" s="3"/>
    </row>
    <row r="1671" spans="1:13" s="33" customFormat="1">
      <c r="A1671" s="71"/>
      <c r="B1671" s="3"/>
      <c r="C1671" s="3"/>
      <c r="D1671" s="3"/>
      <c r="E1671" s="3"/>
      <c r="F1671" s="3"/>
      <c r="G1671" s="3"/>
      <c r="H1671" s="3"/>
      <c r="I1671" s="3"/>
      <c r="J1671" s="3"/>
      <c r="K1671" s="3"/>
      <c r="L1671" s="3"/>
      <c r="M1671" s="3"/>
    </row>
    <row r="1672" spans="1:13" s="33" customFormat="1">
      <c r="A1672" s="71"/>
      <c r="B1672" s="3"/>
      <c r="C1672" s="3"/>
      <c r="D1672" s="3"/>
      <c r="E1672" s="3"/>
      <c r="F1672" s="3"/>
      <c r="G1672" s="3"/>
      <c r="H1672" s="3"/>
      <c r="I1672" s="3"/>
      <c r="J1672" s="3"/>
      <c r="K1672" s="3"/>
      <c r="L1672" s="3"/>
      <c r="M1672" s="3"/>
    </row>
    <row r="1673" spans="1:13" s="33" customFormat="1">
      <c r="A1673" s="71"/>
      <c r="B1673" s="3"/>
      <c r="C1673" s="3"/>
      <c r="D1673" s="3"/>
      <c r="E1673" s="3"/>
      <c r="F1673" s="3"/>
      <c r="G1673" s="3"/>
      <c r="H1673" s="3"/>
      <c r="I1673" s="3"/>
      <c r="J1673" s="3"/>
      <c r="K1673" s="3"/>
      <c r="L1673" s="3"/>
      <c r="M1673" s="3"/>
    </row>
    <row r="1674" spans="1:13" s="33" customFormat="1">
      <c r="A1674" s="71"/>
      <c r="B1674" s="3"/>
      <c r="C1674" s="3"/>
      <c r="D1674" s="3"/>
      <c r="E1674" s="3"/>
      <c r="F1674" s="3"/>
      <c r="G1674" s="3"/>
      <c r="H1674" s="3"/>
      <c r="I1674" s="3"/>
      <c r="J1674" s="3"/>
      <c r="K1674" s="3"/>
      <c r="L1674" s="3"/>
      <c r="M1674" s="3"/>
    </row>
    <row r="1675" spans="1:13" s="33" customFormat="1">
      <c r="A1675" s="71"/>
      <c r="B1675" s="3"/>
      <c r="C1675" s="3"/>
      <c r="D1675" s="3"/>
      <c r="E1675" s="3"/>
      <c r="F1675" s="3"/>
      <c r="G1675" s="3"/>
      <c r="H1675" s="3"/>
      <c r="I1675" s="3"/>
      <c r="J1675" s="3"/>
      <c r="K1675" s="3"/>
      <c r="L1675" s="3"/>
      <c r="M1675" s="3"/>
    </row>
    <row r="1676" spans="1:13" s="33" customFormat="1">
      <c r="A1676" s="71"/>
      <c r="B1676" s="3"/>
      <c r="C1676" s="3"/>
      <c r="D1676" s="3"/>
      <c r="E1676" s="3"/>
      <c r="F1676" s="3"/>
      <c r="G1676" s="3"/>
      <c r="H1676" s="3"/>
      <c r="I1676" s="3"/>
      <c r="J1676" s="3"/>
      <c r="K1676" s="3"/>
      <c r="L1676" s="3"/>
      <c r="M1676" s="3"/>
    </row>
    <row r="1677" spans="1:13" s="33" customFormat="1">
      <c r="A1677" s="71"/>
      <c r="B1677" s="3"/>
      <c r="C1677" s="3"/>
      <c r="D1677" s="3"/>
      <c r="E1677" s="3"/>
      <c r="F1677" s="3"/>
      <c r="G1677" s="3"/>
      <c r="H1677" s="3"/>
      <c r="I1677" s="3"/>
      <c r="J1677" s="3"/>
      <c r="K1677" s="3"/>
      <c r="L1677" s="3"/>
      <c r="M1677" s="3"/>
    </row>
    <row r="1678" spans="1:13" s="33" customFormat="1">
      <c r="A1678" s="71"/>
      <c r="B1678" s="3"/>
      <c r="C1678" s="3"/>
      <c r="D1678" s="3"/>
      <c r="E1678" s="3"/>
      <c r="F1678" s="3"/>
      <c r="G1678" s="3"/>
      <c r="H1678" s="3"/>
      <c r="I1678" s="3"/>
      <c r="J1678" s="3"/>
      <c r="K1678" s="3"/>
      <c r="L1678" s="3"/>
      <c r="M1678" s="3"/>
    </row>
    <row r="1679" spans="1:13" s="33" customFormat="1">
      <c r="A1679" s="71"/>
      <c r="B1679" s="3"/>
      <c r="C1679" s="3"/>
      <c r="D1679" s="3"/>
      <c r="E1679" s="3"/>
      <c r="F1679" s="3"/>
      <c r="G1679" s="3"/>
      <c r="H1679" s="3"/>
      <c r="I1679" s="3"/>
      <c r="J1679" s="3"/>
      <c r="K1679" s="3"/>
      <c r="L1679" s="3"/>
      <c r="M1679" s="3"/>
    </row>
    <row r="1680" spans="1:13" s="33" customFormat="1">
      <c r="A1680" s="71"/>
      <c r="B1680" s="3"/>
      <c r="C1680" s="3"/>
      <c r="D1680" s="3"/>
      <c r="E1680" s="3"/>
      <c r="F1680" s="3"/>
      <c r="G1680" s="3"/>
      <c r="H1680" s="3"/>
      <c r="I1680" s="3"/>
      <c r="J1680" s="3"/>
      <c r="K1680" s="3"/>
      <c r="L1680" s="3"/>
      <c r="M1680" s="3"/>
    </row>
    <row r="1681" spans="1:13" s="33" customFormat="1">
      <c r="A1681" s="71"/>
      <c r="B1681" s="3"/>
      <c r="C1681" s="3"/>
      <c r="D1681" s="3"/>
      <c r="E1681" s="3"/>
      <c r="F1681" s="3"/>
      <c r="G1681" s="3"/>
      <c r="H1681" s="3"/>
      <c r="I1681" s="3"/>
      <c r="J1681" s="3"/>
      <c r="K1681" s="3"/>
      <c r="L1681" s="3"/>
      <c r="M1681" s="3"/>
    </row>
    <row r="1682" spans="1:13" s="33" customFormat="1">
      <c r="A1682" s="71"/>
      <c r="B1682" s="3"/>
      <c r="C1682" s="3"/>
      <c r="D1682" s="3"/>
      <c r="E1682" s="3"/>
      <c r="F1682" s="3"/>
      <c r="G1682" s="3"/>
      <c r="H1682" s="3"/>
      <c r="I1682" s="3"/>
      <c r="J1682" s="3"/>
      <c r="K1682" s="3"/>
      <c r="L1682" s="3"/>
      <c r="M1682" s="3"/>
    </row>
    <row r="1683" spans="1:13" s="33" customFormat="1">
      <c r="A1683" s="71"/>
      <c r="B1683" s="3"/>
      <c r="C1683" s="3"/>
      <c r="D1683" s="3"/>
      <c r="E1683" s="3"/>
      <c r="F1683" s="3"/>
      <c r="G1683" s="3"/>
      <c r="H1683" s="3"/>
      <c r="I1683" s="3"/>
      <c r="J1683" s="3"/>
      <c r="K1683" s="3"/>
      <c r="L1683" s="3"/>
      <c r="M1683" s="3"/>
    </row>
    <row r="1684" spans="1:13" s="33" customFormat="1">
      <c r="A1684" s="71"/>
      <c r="B1684" s="3"/>
      <c r="C1684" s="3"/>
      <c r="D1684" s="3"/>
      <c r="E1684" s="3"/>
      <c r="F1684" s="3"/>
      <c r="G1684" s="3"/>
      <c r="H1684" s="3"/>
      <c r="I1684" s="3"/>
      <c r="J1684" s="3"/>
      <c r="K1684" s="3"/>
      <c r="L1684" s="3"/>
      <c r="M1684" s="3"/>
    </row>
    <row r="1685" spans="1:13" s="33" customFormat="1">
      <c r="A1685" s="71"/>
      <c r="B1685" s="3"/>
      <c r="C1685" s="3"/>
      <c r="D1685" s="3"/>
      <c r="E1685" s="3"/>
      <c r="F1685" s="3"/>
      <c r="G1685" s="3"/>
      <c r="H1685" s="3"/>
      <c r="I1685" s="3"/>
      <c r="J1685" s="3"/>
      <c r="K1685" s="3"/>
      <c r="L1685" s="3"/>
      <c r="M1685" s="3"/>
    </row>
    <row r="1686" spans="1:13" s="33" customFormat="1">
      <c r="A1686" s="71"/>
      <c r="B1686" s="3"/>
      <c r="C1686" s="3"/>
      <c r="D1686" s="3"/>
      <c r="E1686" s="3"/>
      <c r="F1686" s="3"/>
      <c r="G1686" s="3"/>
      <c r="H1686" s="3"/>
      <c r="I1686" s="3"/>
      <c r="J1686" s="3"/>
      <c r="K1686" s="3"/>
      <c r="L1686" s="3"/>
      <c r="M1686" s="3"/>
    </row>
    <row r="1687" spans="1:13" s="33" customFormat="1">
      <c r="A1687" s="71"/>
      <c r="B1687" s="3"/>
      <c r="C1687" s="3"/>
      <c r="D1687" s="3"/>
      <c r="E1687" s="3"/>
      <c r="F1687" s="3"/>
      <c r="G1687" s="3"/>
      <c r="H1687" s="3"/>
      <c r="I1687" s="3"/>
      <c r="J1687" s="3"/>
      <c r="K1687" s="3"/>
      <c r="L1687" s="3"/>
      <c r="M1687" s="3"/>
    </row>
    <row r="1688" spans="1:13" s="33" customFormat="1">
      <c r="A1688" s="71"/>
      <c r="B1688" s="3"/>
      <c r="C1688" s="3"/>
      <c r="D1688" s="3"/>
      <c r="E1688" s="3"/>
      <c r="F1688" s="3"/>
      <c r="G1688" s="3"/>
      <c r="H1688" s="3"/>
      <c r="I1688" s="3"/>
      <c r="J1688" s="3"/>
      <c r="K1688" s="3"/>
      <c r="L1688" s="3"/>
      <c r="M1688" s="3"/>
    </row>
    <row r="1689" spans="1:13" s="33" customFormat="1">
      <c r="A1689" s="71"/>
      <c r="B1689" s="3"/>
      <c r="C1689" s="3"/>
      <c r="D1689" s="3"/>
      <c r="E1689" s="3"/>
      <c r="F1689" s="3"/>
      <c r="G1689" s="3"/>
      <c r="H1689" s="3"/>
      <c r="I1689" s="3"/>
      <c r="J1689" s="3"/>
      <c r="K1689" s="3"/>
      <c r="L1689" s="3"/>
      <c r="M1689" s="3"/>
    </row>
    <row r="1690" spans="1:13" s="33" customFormat="1">
      <c r="A1690" s="71"/>
      <c r="B1690" s="3"/>
      <c r="C1690" s="3"/>
      <c r="D1690" s="3"/>
      <c r="E1690" s="3"/>
      <c r="F1690" s="3"/>
      <c r="G1690" s="3"/>
      <c r="H1690" s="3"/>
      <c r="I1690" s="3"/>
      <c r="J1690" s="3"/>
      <c r="K1690" s="3"/>
      <c r="L1690" s="3"/>
      <c r="M1690" s="3"/>
    </row>
    <row r="1691" spans="1:13" s="33" customFormat="1">
      <c r="A1691" s="71"/>
      <c r="B1691" s="3"/>
      <c r="C1691" s="3"/>
      <c r="D1691" s="3"/>
      <c r="E1691" s="3"/>
      <c r="F1691" s="3"/>
      <c r="G1691" s="3"/>
      <c r="H1691" s="3"/>
      <c r="I1691" s="3"/>
      <c r="J1691" s="3"/>
      <c r="K1691" s="3"/>
      <c r="L1691" s="3"/>
      <c r="M1691" s="3"/>
    </row>
    <row r="1692" spans="1:13" s="33" customFormat="1">
      <c r="A1692" s="71"/>
      <c r="B1692" s="3"/>
      <c r="C1692" s="3"/>
      <c r="D1692" s="3"/>
      <c r="E1692" s="3"/>
      <c r="F1692" s="3"/>
      <c r="G1692" s="3"/>
      <c r="H1692" s="3"/>
      <c r="I1692" s="3"/>
      <c r="J1692" s="3"/>
      <c r="K1692" s="3"/>
      <c r="L1692" s="3"/>
      <c r="M1692" s="3"/>
    </row>
    <row r="1693" spans="1:13" s="33" customFormat="1">
      <c r="A1693" s="71"/>
      <c r="B1693" s="3"/>
      <c r="C1693" s="3"/>
      <c r="D1693" s="3"/>
      <c r="E1693" s="3"/>
      <c r="F1693" s="3"/>
      <c r="G1693" s="3"/>
      <c r="H1693" s="3"/>
      <c r="I1693" s="3"/>
      <c r="J1693" s="3"/>
      <c r="K1693" s="3"/>
      <c r="L1693" s="3"/>
      <c r="M1693" s="3"/>
    </row>
    <row r="1694" spans="1:13" s="33" customFormat="1">
      <c r="A1694" s="71"/>
      <c r="B1694" s="3"/>
      <c r="C1694" s="3"/>
      <c r="D1694" s="3"/>
      <c r="E1694" s="3"/>
      <c r="F1694" s="3"/>
      <c r="G1694" s="3"/>
      <c r="H1694" s="3"/>
      <c r="I1694" s="3"/>
      <c r="J1694" s="3"/>
      <c r="K1694" s="3"/>
      <c r="L1694" s="3"/>
      <c r="M1694" s="3"/>
    </row>
    <row r="1695" spans="1:13" s="33" customFormat="1">
      <c r="A1695" s="71"/>
      <c r="B1695" s="3"/>
      <c r="C1695" s="3"/>
      <c r="D1695" s="3"/>
      <c r="E1695" s="3"/>
      <c r="F1695" s="3"/>
      <c r="G1695" s="3"/>
      <c r="H1695" s="3"/>
      <c r="I1695" s="3"/>
      <c r="J1695" s="3"/>
      <c r="K1695" s="3"/>
      <c r="L1695" s="3"/>
      <c r="M1695" s="3"/>
    </row>
    <row r="1696" spans="1:13" s="33" customFormat="1">
      <c r="A1696" s="71"/>
      <c r="B1696" s="3"/>
      <c r="C1696" s="3"/>
      <c r="D1696" s="3"/>
      <c r="E1696" s="3"/>
      <c r="F1696" s="3"/>
      <c r="G1696" s="3"/>
      <c r="H1696" s="3"/>
      <c r="I1696" s="3"/>
      <c r="J1696" s="3"/>
      <c r="K1696" s="3"/>
      <c r="L1696" s="3"/>
      <c r="M1696" s="3"/>
    </row>
    <row r="1697" spans="1:13" s="33" customFormat="1">
      <c r="A1697" s="71"/>
      <c r="B1697" s="3"/>
      <c r="C1697" s="3"/>
      <c r="D1697" s="3"/>
      <c r="E1697" s="3"/>
      <c r="F1697" s="3"/>
      <c r="G1697" s="3"/>
      <c r="H1697" s="3"/>
      <c r="I1697" s="3"/>
      <c r="J1697" s="3"/>
      <c r="K1697" s="3"/>
      <c r="L1697" s="3"/>
      <c r="M1697" s="3"/>
    </row>
    <row r="1698" spans="1:13" s="33" customFormat="1">
      <c r="A1698" s="71"/>
      <c r="B1698" s="3"/>
      <c r="C1698" s="3"/>
      <c r="D1698" s="3"/>
      <c r="E1698" s="3"/>
      <c r="F1698" s="3"/>
      <c r="G1698" s="3"/>
      <c r="H1698" s="3"/>
      <c r="I1698" s="3"/>
      <c r="J1698" s="3"/>
      <c r="K1698" s="3"/>
      <c r="L1698" s="3"/>
      <c r="M1698" s="3"/>
    </row>
    <row r="1699" spans="1:13" s="33" customFormat="1">
      <c r="A1699" s="71"/>
      <c r="B1699" s="3"/>
      <c r="C1699" s="3"/>
      <c r="D1699" s="3"/>
      <c r="E1699" s="3"/>
      <c r="F1699" s="3"/>
      <c r="G1699" s="3"/>
      <c r="H1699" s="3"/>
      <c r="I1699" s="3"/>
      <c r="J1699" s="3"/>
      <c r="K1699" s="3"/>
      <c r="L1699" s="3"/>
      <c r="M1699" s="3"/>
    </row>
    <row r="1700" spans="1:13" s="33" customFormat="1">
      <c r="A1700" s="71"/>
      <c r="B1700" s="3"/>
      <c r="C1700" s="3"/>
      <c r="D1700" s="3"/>
      <c r="E1700" s="3"/>
      <c r="F1700" s="3"/>
      <c r="G1700" s="3"/>
      <c r="H1700" s="3"/>
      <c r="I1700" s="3"/>
      <c r="J1700" s="3"/>
      <c r="K1700" s="3"/>
      <c r="L1700" s="3"/>
      <c r="M1700" s="3"/>
    </row>
    <row r="1701" spans="1:13" s="33" customFormat="1">
      <c r="A1701" s="71"/>
      <c r="B1701" s="3"/>
      <c r="C1701" s="3"/>
      <c r="D1701" s="3"/>
      <c r="E1701" s="3"/>
      <c r="F1701" s="3"/>
      <c r="G1701" s="3"/>
      <c r="H1701" s="3"/>
      <c r="I1701" s="3"/>
      <c r="J1701" s="3"/>
      <c r="K1701" s="3"/>
      <c r="L1701" s="3"/>
      <c r="M1701" s="3"/>
    </row>
    <row r="1702" spans="1:13" s="33" customFormat="1">
      <c r="A1702" s="71"/>
      <c r="B1702" s="3"/>
      <c r="C1702" s="3"/>
      <c r="D1702" s="3"/>
      <c r="E1702" s="3"/>
      <c r="F1702" s="3"/>
      <c r="G1702" s="3"/>
      <c r="H1702" s="3"/>
      <c r="I1702" s="3"/>
      <c r="J1702" s="3"/>
      <c r="K1702" s="3"/>
      <c r="L1702" s="3"/>
      <c r="M1702" s="3"/>
    </row>
    <row r="1703" spans="1:13" s="33" customFormat="1">
      <c r="A1703" s="71"/>
      <c r="B1703" s="3"/>
      <c r="C1703" s="3"/>
      <c r="D1703" s="3"/>
      <c r="E1703" s="3"/>
      <c r="F1703" s="3"/>
      <c r="G1703" s="3"/>
      <c r="H1703" s="3"/>
      <c r="I1703" s="3"/>
      <c r="J1703" s="3"/>
      <c r="K1703" s="3"/>
      <c r="L1703" s="3"/>
      <c r="M1703" s="3"/>
    </row>
    <row r="1704" spans="1:13" s="33" customFormat="1">
      <c r="A1704" s="71"/>
      <c r="B1704" s="3"/>
      <c r="C1704" s="3"/>
      <c r="D1704" s="3"/>
      <c r="E1704" s="3"/>
      <c r="F1704" s="3"/>
      <c r="G1704" s="3"/>
      <c r="H1704" s="3"/>
      <c r="I1704" s="3"/>
      <c r="J1704" s="3"/>
      <c r="K1704" s="3"/>
      <c r="L1704" s="3"/>
      <c r="M1704" s="3"/>
    </row>
    <row r="1705" spans="1:13" s="33" customFormat="1">
      <c r="A1705" s="71"/>
      <c r="B1705" s="3"/>
      <c r="C1705" s="3"/>
      <c r="D1705" s="3"/>
      <c r="E1705" s="3"/>
      <c r="F1705" s="3"/>
      <c r="G1705" s="3"/>
      <c r="H1705" s="3"/>
      <c r="I1705" s="3"/>
      <c r="J1705" s="3"/>
      <c r="K1705" s="3"/>
      <c r="L1705" s="3"/>
      <c r="M1705" s="3"/>
    </row>
    <row r="1706" spans="1:13" s="33" customFormat="1">
      <c r="A1706" s="71"/>
      <c r="B1706" s="3"/>
      <c r="C1706" s="3"/>
      <c r="D1706" s="3"/>
      <c r="E1706" s="3"/>
      <c r="F1706" s="3"/>
      <c r="G1706" s="3"/>
      <c r="H1706" s="3"/>
      <c r="I1706" s="3"/>
      <c r="J1706" s="3"/>
      <c r="K1706" s="3"/>
      <c r="L1706" s="3"/>
      <c r="M1706" s="3"/>
    </row>
    <row r="1707" spans="1:13" s="33" customFormat="1">
      <c r="A1707" s="71"/>
      <c r="B1707" s="3"/>
      <c r="C1707" s="3"/>
      <c r="D1707" s="3"/>
      <c r="E1707" s="3"/>
      <c r="F1707" s="3"/>
      <c r="G1707" s="3"/>
      <c r="H1707" s="3"/>
      <c r="I1707" s="3"/>
      <c r="J1707" s="3"/>
      <c r="K1707" s="3"/>
      <c r="L1707" s="3"/>
      <c r="M1707" s="3"/>
    </row>
    <row r="1708" spans="1:13" s="33" customFormat="1">
      <c r="A1708" s="71"/>
      <c r="B1708" s="3"/>
      <c r="C1708" s="3"/>
      <c r="D1708" s="3"/>
      <c r="E1708" s="3"/>
      <c r="F1708" s="3"/>
      <c r="G1708" s="3"/>
      <c r="H1708" s="3"/>
      <c r="I1708" s="3"/>
      <c r="J1708" s="3"/>
      <c r="K1708" s="3"/>
      <c r="L1708" s="3"/>
      <c r="M1708" s="3"/>
    </row>
    <row r="1709" spans="1:13" s="33" customFormat="1">
      <c r="A1709" s="71"/>
      <c r="B1709" s="3"/>
      <c r="C1709" s="3"/>
      <c r="D1709" s="3"/>
      <c r="E1709" s="3"/>
      <c r="F1709" s="3"/>
      <c r="G1709" s="3"/>
      <c r="H1709" s="3"/>
      <c r="I1709" s="3"/>
      <c r="J1709" s="3"/>
      <c r="K1709" s="3"/>
      <c r="L1709" s="3"/>
      <c r="M1709" s="3"/>
    </row>
    <row r="1710" spans="1:13" s="33" customFormat="1">
      <c r="A1710" s="71"/>
      <c r="B1710" s="3"/>
      <c r="C1710" s="3"/>
      <c r="D1710" s="3"/>
      <c r="E1710" s="3"/>
      <c r="F1710" s="3"/>
      <c r="G1710" s="3"/>
      <c r="H1710" s="3"/>
      <c r="I1710" s="3"/>
      <c r="J1710" s="3"/>
      <c r="K1710" s="3"/>
      <c r="L1710" s="3"/>
      <c r="M1710" s="3"/>
    </row>
    <row r="1711" spans="1:13" s="33" customFormat="1">
      <c r="A1711" s="71"/>
      <c r="B1711" s="3"/>
      <c r="C1711" s="3"/>
      <c r="D1711" s="3"/>
      <c r="E1711" s="3"/>
      <c r="F1711" s="3"/>
      <c r="G1711" s="3"/>
      <c r="H1711" s="3"/>
      <c r="I1711" s="3"/>
      <c r="J1711" s="3"/>
      <c r="K1711" s="3"/>
      <c r="L1711" s="3"/>
      <c r="M1711" s="3"/>
    </row>
    <row r="1712" spans="1:13" s="33" customFormat="1">
      <c r="A1712" s="71"/>
      <c r="B1712" s="3"/>
      <c r="C1712" s="3"/>
      <c r="D1712" s="3"/>
      <c r="E1712" s="3"/>
      <c r="F1712" s="3"/>
      <c r="G1712" s="3"/>
      <c r="H1712" s="3"/>
      <c r="I1712" s="3"/>
      <c r="J1712" s="3"/>
      <c r="K1712" s="3"/>
      <c r="L1712" s="3"/>
      <c r="M1712" s="3"/>
    </row>
    <row r="1713" spans="1:13" s="33" customFormat="1">
      <c r="A1713" s="71"/>
      <c r="B1713" s="3"/>
      <c r="C1713" s="3"/>
      <c r="D1713" s="3"/>
      <c r="E1713" s="3"/>
      <c r="F1713" s="3"/>
      <c r="G1713" s="3"/>
      <c r="H1713" s="3"/>
      <c r="I1713" s="3"/>
      <c r="J1713" s="3"/>
      <c r="K1713" s="3"/>
      <c r="L1713" s="3"/>
      <c r="M1713" s="3"/>
    </row>
    <row r="1714" spans="1:13" s="33" customFormat="1">
      <c r="A1714" s="71"/>
      <c r="B1714" s="3"/>
      <c r="C1714" s="3"/>
      <c r="D1714" s="3"/>
      <c r="E1714" s="3"/>
      <c r="F1714" s="3"/>
      <c r="G1714" s="3"/>
      <c r="H1714" s="3"/>
      <c r="I1714" s="3"/>
      <c r="J1714" s="3"/>
      <c r="K1714" s="3"/>
      <c r="L1714" s="3"/>
      <c r="M1714" s="3"/>
    </row>
    <row r="1715" spans="1:13" s="33" customFormat="1">
      <c r="A1715" s="71"/>
      <c r="B1715" s="3"/>
      <c r="C1715" s="3"/>
      <c r="D1715" s="3"/>
      <c r="E1715" s="3"/>
      <c r="F1715" s="3"/>
      <c r="G1715" s="3"/>
      <c r="H1715" s="3"/>
      <c r="I1715" s="3"/>
      <c r="J1715" s="3"/>
      <c r="K1715" s="3"/>
      <c r="L1715" s="3"/>
      <c r="M1715" s="3"/>
    </row>
    <row r="1716" spans="1:13" s="33" customFormat="1">
      <c r="A1716" s="71"/>
      <c r="B1716" s="3"/>
      <c r="C1716" s="3"/>
      <c r="D1716" s="3"/>
      <c r="E1716" s="3"/>
      <c r="F1716" s="3"/>
      <c r="G1716" s="3"/>
      <c r="H1716" s="3"/>
      <c r="I1716" s="3"/>
      <c r="J1716" s="3"/>
      <c r="K1716" s="3"/>
      <c r="L1716" s="3"/>
      <c r="M1716" s="3"/>
    </row>
    <row r="1717" spans="1:13" s="33" customFormat="1">
      <c r="A1717" s="71"/>
      <c r="B1717" s="3"/>
      <c r="C1717" s="3"/>
      <c r="D1717" s="3"/>
      <c r="E1717" s="3"/>
      <c r="F1717" s="3"/>
      <c r="G1717" s="3"/>
      <c r="H1717" s="3"/>
      <c r="I1717" s="3"/>
      <c r="J1717" s="3"/>
      <c r="K1717" s="3"/>
      <c r="L1717" s="3"/>
      <c r="M1717" s="3"/>
    </row>
    <row r="1718" spans="1:13" s="33" customFormat="1">
      <c r="A1718" s="71"/>
      <c r="B1718" s="3"/>
      <c r="C1718" s="3"/>
      <c r="D1718" s="3"/>
      <c r="E1718" s="3"/>
      <c r="F1718" s="3"/>
      <c r="G1718" s="3"/>
      <c r="H1718" s="3"/>
      <c r="I1718" s="3"/>
      <c r="J1718" s="3"/>
      <c r="K1718" s="3"/>
      <c r="L1718" s="3"/>
      <c r="M1718" s="3"/>
    </row>
    <row r="1719" spans="1:13" s="33" customFormat="1">
      <c r="A1719" s="71"/>
      <c r="B1719" s="3"/>
      <c r="C1719" s="3"/>
      <c r="D1719" s="3"/>
      <c r="E1719" s="3"/>
      <c r="F1719" s="3"/>
      <c r="G1719" s="3"/>
      <c r="H1719" s="3"/>
      <c r="I1719" s="3"/>
      <c r="J1719" s="3"/>
      <c r="K1719" s="3"/>
      <c r="L1719" s="3"/>
      <c r="M1719" s="3"/>
    </row>
    <row r="1720" spans="1:13" s="33" customFormat="1">
      <c r="A1720" s="71"/>
      <c r="B1720" s="3"/>
      <c r="C1720" s="3"/>
      <c r="D1720" s="3"/>
      <c r="E1720" s="3"/>
      <c r="F1720" s="3"/>
      <c r="G1720" s="3"/>
      <c r="H1720" s="3"/>
      <c r="I1720" s="3"/>
      <c r="J1720" s="3"/>
      <c r="K1720" s="3"/>
      <c r="L1720" s="3"/>
      <c r="M1720" s="3"/>
    </row>
    <row r="1721" spans="1:13" s="33" customFormat="1">
      <c r="A1721" s="71"/>
      <c r="B1721" s="3"/>
      <c r="C1721" s="3"/>
      <c r="D1721" s="3"/>
      <c r="E1721" s="3"/>
      <c r="F1721" s="3"/>
      <c r="G1721" s="3"/>
      <c r="H1721" s="3"/>
      <c r="I1721" s="3"/>
      <c r="J1721" s="3"/>
      <c r="K1721" s="3"/>
      <c r="L1721" s="3"/>
      <c r="M1721" s="3"/>
    </row>
    <row r="1722" spans="1:13" s="33" customFormat="1">
      <c r="A1722" s="71"/>
      <c r="B1722" s="3"/>
      <c r="C1722" s="3"/>
      <c r="D1722" s="3"/>
      <c r="E1722" s="3"/>
      <c r="F1722" s="3"/>
      <c r="G1722" s="3"/>
      <c r="H1722" s="3"/>
      <c r="I1722" s="3"/>
      <c r="J1722" s="3"/>
      <c r="K1722" s="3"/>
      <c r="L1722" s="3"/>
      <c r="M1722" s="3"/>
    </row>
    <row r="1723" spans="1:13" s="33" customFormat="1">
      <c r="A1723" s="71"/>
      <c r="B1723" s="3"/>
      <c r="C1723" s="3"/>
      <c r="D1723" s="3"/>
      <c r="E1723" s="3"/>
      <c r="F1723" s="3"/>
      <c r="G1723" s="3"/>
      <c r="H1723" s="3"/>
      <c r="I1723" s="3"/>
      <c r="J1723" s="3"/>
      <c r="K1723" s="3"/>
      <c r="L1723" s="3"/>
      <c r="M1723" s="3"/>
    </row>
    <row r="1724" spans="1:13" s="33" customFormat="1">
      <c r="A1724" s="71"/>
      <c r="B1724" s="3"/>
      <c r="C1724" s="3"/>
      <c r="D1724" s="3"/>
      <c r="E1724" s="3"/>
      <c r="F1724" s="3"/>
      <c r="G1724" s="3"/>
      <c r="H1724" s="3"/>
      <c r="I1724" s="3"/>
      <c r="J1724" s="3"/>
      <c r="K1724" s="3"/>
      <c r="L1724" s="3"/>
      <c r="M1724" s="3"/>
    </row>
    <row r="1725" spans="1:13" s="33" customFormat="1">
      <c r="A1725" s="71"/>
      <c r="B1725" s="3"/>
      <c r="C1725" s="3"/>
      <c r="D1725" s="3"/>
      <c r="E1725" s="3"/>
      <c r="F1725" s="3"/>
      <c r="G1725" s="3"/>
      <c r="H1725" s="3"/>
      <c r="I1725" s="3"/>
      <c r="J1725" s="3"/>
      <c r="K1725" s="3"/>
      <c r="L1725" s="3"/>
      <c r="M1725" s="3"/>
    </row>
    <row r="1726" spans="1:13" s="33" customFormat="1">
      <c r="A1726" s="71"/>
      <c r="B1726" s="3"/>
      <c r="C1726" s="3"/>
      <c r="D1726" s="3"/>
      <c r="E1726" s="3"/>
      <c r="F1726" s="3"/>
      <c r="G1726" s="3"/>
      <c r="H1726" s="3"/>
      <c r="I1726" s="3"/>
      <c r="J1726" s="3"/>
      <c r="K1726" s="3"/>
      <c r="L1726" s="3"/>
      <c r="M1726" s="3"/>
    </row>
    <row r="1727" spans="1:13" s="33" customFormat="1">
      <c r="A1727" s="71"/>
      <c r="B1727" s="3"/>
      <c r="C1727" s="3"/>
      <c r="D1727" s="3"/>
      <c r="E1727" s="3"/>
      <c r="F1727" s="3"/>
      <c r="G1727" s="3"/>
      <c r="H1727" s="3"/>
      <c r="I1727" s="3"/>
      <c r="J1727" s="3"/>
      <c r="K1727" s="3"/>
      <c r="L1727" s="3"/>
      <c r="M1727" s="3"/>
    </row>
    <row r="1728" spans="1:13" s="33" customFormat="1">
      <c r="A1728" s="71"/>
      <c r="B1728" s="3"/>
      <c r="C1728" s="3"/>
      <c r="D1728" s="3"/>
      <c r="E1728" s="3"/>
      <c r="F1728" s="3"/>
      <c r="G1728" s="3"/>
      <c r="H1728" s="3"/>
      <c r="I1728" s="3"/>
      <c r="J1728" s="3"/>
      <c r="K1728" s="3"/>
      <c r="L1728" s="3"/>
      <c r="M1728" s="3"/>
    </row>
    <row r="1729" spans="1:13" s="33" customFormat="1">
      <c r="A1729" s="71"/>
      <c r="B1729" s="3"/>
      <c r="C1729" s="3"/>
      <c r="D1729" s="3"/>
      <c r="E1729" s="3"/>
      <c r="F1729" s="3"/>
      <c r="G1729" s="3"/>
      <c r="H1729" s="3"/>
      <c r="I1729" s="3"/>
      <c r="J1729" s="3"/>
      <c r="K1729" s="3"/>
      <c r="L1729" s="3"/>
      <c r="M1729" s="3"/>
    </row>
    <row r="1730" spans="1:13" s="33" customFormat="1">
      <c r="A1730" s="71"/>
      <c r="B1730" s="3"/>
      <c r="C1730" s="3"/>
      <c r="D1730" s="3"/>
      <c r="E1730" s="3"/>
      <c r="F1730" s="3"/>
      <c r="G1730" s="3"/>
      <c r="H1730" s="3"/>
      <c r="I1730" s="3"/>
      <c r="J1730" s="3"/>
      <c r="K1730" s="3"/>
      <c r="L1730" s="3"/>
      <c r="M1730" s="3"/>
    </row>
    <row r="1731" spans="1:13" s="33" customFormat="1">
      <c r="A1731" s="71"/>
      <c r="B1731" s="3"/>
      <c r="C1731" s="3"/>
      <c r="D1731" s="3"/>
      <c r="E1731" s="3"/>
      <c r="F1731" s="3"/>
      <c r="G1731" s="3"/>
      <c r="H1731" s="3"/>
      <c r="I1731" s="3"/>
      <c r="J1731" s="3"/>
      <c r="K1731" s="3"/>
      <c r="L1731" s="3"/>
      <c r="M1731" s="3"/>
    </row>
    <row r="1732" spans="1:13" s="33" customFormat="1">
      <c r="A1732" s="71"/>
      <c r="B1732" s="3"/>
      <c r="C1732" s="3"/>
      <c r="D1732" s="3"/>
      <c r="E1732" s="3"/>
      <c r="F1732" s="3"/>
      <c r="G1732" s="3"/>
      <c r="H1732" s="3"/>
      <c r="I1732" s="3"/>
      <c r="J1732" s="3"/>
      <c r="K1732" s="3"/>
      <c r="L1732" s="3"/>
      <c r="M1732" s="3"/>
    </row>
    <row r="1733" spans="1:13" s="33" customFormat="1">
      <c r="A1733" s="71"/>
      <c r="B1733" s="3"/>
      <c r="C1733" s="3"/>
      <c r="D1733" s="3"/>
      <c r="E1733" s="3"/>
      <c r="F1733" s="3"/>
      <c r="G1733" s="3"/>
      <c r="H1733" s="3"/>
      <c r="I1733" s="3"/>
      <c r="J1733" s="3"/>
      <c r="K1733" s="3"/>
      <c r="L1733" s="3"/>
      <c r="M1733" s="3"/>
    </row>
    <row r="1734" spans="1:13" s="33" customFormat="1">
      <c r="A1734" s="71"/>
      <c r="B1734" s="3"/>
      <c r="C1734" s="3"/>
      <c r="D1734" s="3"/>
      <c r="E1734" s="3"/>
      <c r="F1734" s="3"/>
      <c r="G1734" s="3"/>
      <c r="H1734" s="3"/>
      <c r="I1734" s="3"/>
      <c r="J1734" s="3"/>
      <c r="K1734" s="3"/>
      <c r="L1734" s="3"/>
      <c r="M1734" s="3"/>
    </row>
    <row r="1735" spans="1:13" s="33" customFormat="1">
      <c r="A1735" s="71"/>
      <c r="B1735" s="3"/>
      <c r="C1735" s="3"/>
      <c r="D1735" s="3"/>
      <c r="E1735" s="3"/>
      <c r="F1735" s="3"/>
      <c r="G1735" s="3"/>
      <c r="H1735" s="3"/>
      <c r="I1735" s="3"/>
      <c r="J1735" s="3"/>
      <c r="K1735" s="3"/>
      <c r="L1735" s="3"/>
      <c r="M1735" s="3"/>
    </row>
    <row r="1736" spans="1:13" s="33" customFormat="1">
      <c r="A1736" s="71"/>
      <c r="B1736" s="3"/>
      <c r="C1736" s="3"/>
      <c r="D1736" s="3"/>
      <c r="E1736" s="3"/>
      <c r="F1736" s="3"/>
      <c r="G1736" s="3"/>
      <c r="H1736" s="3"/>
      <c r="I1736" s="3"/>
      <c r="J1736" s="3"/>
      <c r="K1736" s="3"/>
      <c r="L1736" s="3"/>
      <c r="M1736" s="3"/>
    </row>
    <row r="1737" spans="1:13" s="33" customFormat="1">
      <c r="A1737" s="71"/>
      <c r="B1737" s="3"/>
      <c r="C1737" s="3"/>
      <c r="D1737" s="3"/>
      <c r="E1737" s="3"/>
      <c r="F1737" s="3"/>
      <c r="G1737" s="3"/>
      <c r="H1737" s="3"/>
      <c r="I1737" s="3"/>
      <c r="J1737" s="3"/>
      <c r="K1737" s="3"/>
      <c r="L1737" s="3"/>
      <c r="M1737" s="3"/>
    </row>
    <row r="1738" spans="1:13" s="33" customFormat="1">
      <c r="A1738" s="71"/>
      <c r="B1738" s="3"/>
      <c r="C1738" s="3"/>
      <c r="D1738" s="3"/>
      <c r="E1738" s="3"/>
      <c r="F1738" s="3"/>
      <c r="G1738" s="3"/>
      <c r="H1738" s="3"/>
      <c r="I1738" s="3"/>
      <c r="J1738" s="3"/>
      <c r="K1738" s="3"/>
      <c r="L1738" s="3"/>
      <c r="M1738" s="3"/>
    </row>
    <row r="1739" spans="1:13" s="33" customFormat="1">
      <c r="A1739" s="71"/>
      <c r="B1739" s="3"/>
      <c r="C1739" s="3"/>
      <c r="D1739" s="3"/>
      <c r="E1739" s="3"/>
      <c r="F1739" s="3"/>
      <c r="G1739" s="3"/>
      <c r="H1739" s="3"/>
      <c r="I1739" s="3"/>
      <c r="J1739" s="3"/>
      <c r="K1739" s="3"/>
      <c r="L1739" s="3"/>
      <c r="M1739" s="3"/>
    </row>
    <row r="1740" spans="1:13" s="33" customFormat="1">
      <c r="A1740" s="71"/>
      <c r="B1740" s="3"/>
      <c r="C1740" s="3"/>
      <c r="D1740" s="3"/>
      <c r="E1740" s="3"/>
      <c r="F1740" s="3"/>
      <c r="G1740" s="3"/>
      <c r="H1740" s="3"/>
      <c r="I1740" s="3"/>
      <c r="J1740" s="3"/>
      <c r="K1740" s="3"/>
      <c r="L1740" s="3"/>
      <c r="M1740" s="3"/>
    </row>
    <row r="1741" spans="1:13" s="33" customFormat="1">
      <c r="A1741" s="71"/>
      <c r="B1741" s="3"/>
      <c r="C1741" s="3"/>
      <c r="D1741" s="3"/>
      <c r="E1741" s="3"/>
      <c r="F1741" s="3"/>
      <c r="G1741" s="3"/>
      <c r="H1741" s="3"/>
      <c r="I1741" s="3"/>
      <c r="J1741" s="3"/>
      <c r="K1741" s="3"/>
      <c r="L1741" s="3"/>
      <c r="M1741" s="3"/>
    </row>
    <row r="1742" spans="1:13" s="33" customFormat="1">
      <c r="A1742" s="71"/>
      <c r="B1742" s="3"/>
      <c r="C1742" s="3"/>
      <c r="D1742" s="3"/>
      <c r="E1742" s="3"/>
      <c r="F1742" s="3"/>
      <c r="G1742" s="3"/>
      <c r="H1742" s="3"/>
      <c r="I1742" s="3"/>
      <c r="J1742" s="3"/>
      <c r="K1742" s="3"/>
      <c r="L1742" s="3"/>
      <c r="M1742" s="3"/>
    </row>
    <row r="1743" spans="1:13" s="33" customFormat="1">
      <c r="A1743" s="71"/>
      <c r="B1743" s="3"/>
      <c r="C1743" s="3"/>
      <c r="D1743" s="3"/>
      <c r="E1743" s="3"/>
      <c r="F1743" s="3"/>
      <c r="G1743" s="3"/>
      <c r="H1743" s="3"/>
      <c r="I1743" s="3"/>
      <c r="J1743" s="3"/>
      <c r="K1743" s="3"/>
      <c r="L1743" s="3"/>
      <c r="M1743" s="3"/>
    </row>
    <row r="1744" spans="1:13" s="33" customFormat="1">
      <c r="A1744" s="71"/>
      <c r="B1744" s="3"/>
      <c r="C1744" s="3"/>
      <c r="D1744" s="3"/>
      <c r="E1744" s="3"/>
      <c r="F1744" s="3"/>
      <c r="G1744" s="3"/>
      <c r="H1744" s="3"/>
      <c r="I1744" s="3"/>
      <c r="J1744" s="3"/>
      <c r="K1744" s="3"/>
      <c r="L1744" s="3"/>
      <c r="M1744" s="3"/>
    </row>
    <row r="1745" spans="1:13" s="33" customFormat="1">
      <c r="A1745" s="71"/>
      <c r="B1745" s="3"/>
      <c r="C1745" s="3"/>
      <c r="D1745" s="3"/>
      <c r="E1745" s="3"/>
      <c r="F1745" s="3"/>
      <c r="G1745" s="3"/>
      <c r="H1745" s="3"/>
      <c r="I1745" s="3"/>
      <c r="J1745" s="3"/>
      <c r="K1745" s="3"/>
      <c r="L1745" s="3"/>
      <c r="M1745" s="3"/>
    </row>
    <row r="1746" spans="1:13" s="33" customFormat="1">
      <c r="A1746" s="71"/>
      <c r="B1746" s="3"/>
      <c r="C1746" s="3"/>
      <c r="D1746" s="3"/>
      <c r="E1746" s="3"/>
      <c r="F1746" s="3"/>
      <c r="G1746" s="3"/>
      <c r="H1746" s="3"/>
      <c r="I1746" s="3"/>
      <c r="J1746" s="3"/>
      <c r="K1746" s="3"/>
      <c r="L1746" s="3"/>
      <c r="M1746" s="3"/>
    </row>
    <row r="1747" spans="1:13" s="33" customFormat="1">
      <c r="A1747" s="71"/>
      <c r="B1747" s="3"/>
      <c r="C1747" s="3"/>
      <c r="D1747" s="3"/>
      <c r="E1747" s="3"/>
      <c r="F1747" s="3"/>
      <c r="G1747" s="3"/>
      <c r="H1747" s="3"/>
      <c r="I1747" s="3"/>
      <c r="J1747" s="3"/>
      <c r="K1747" s="3"/>
      <c r="L1747" s="3"/>
      <c r="M1747" s="3"/>
    </row>
    <row r="1748" spans="1:13" s="33" customFormat="1">
      <c r="A1748" s="71"/>
      <c r="B1748" s="3"/>
      <c r="C1748" s="3"/>
      <c r="D1748" s="3"/>
      <c r="E1748" s="3"/>
      <c r="F1748" s="3"/>
      <c r="G1748" s="3"/>
      <c r="H1748" s="3"/>
      <c r="I1748" s="3"/>
      <c r="J1748" s="3"/>
      <c r="K1748" s="3"/>
      <c r="L1748" s="3"/>
      <c r="M1748" s="3"/>
    </row>
    <row r="1749" spans="1:13" s="33" customFormat="1">
      <c r="A1749" s="71"/>
      <c r="B1749" s="3"/>
      <c r="C1749" s="3"/>
      <c r="D1749" s="3"/>
      <c r="E1749" s="3"/>
      <c r="F1749" s="3"/>
      <c r="G1749" s="3"/>
      <c r="H1749" s="3"/>
      <c r="I1749" s="3"/>
      <c r="J1749" s="3"/>
      <c r="K1749" s="3"/>
      <c r="L1749" s="3"/>
      <c r="M1749" s="3"/>
    </row>
    <row r="1750" spans="1:13" s="33" customFormat="1">
      <c r="A1750" s="71"/>
      <c r="B1750" s="3"/>
      <c r="C1750" s="3"/>
      <c r="D1750" s="3"/>
      <c r="E1750" s="3"/>
      <c r="F1750" s="3"/>
      <c r="G1750" s="3"/>
      <c r="H1750" s="3"/>
      <c r="I1750" s="3"/>
      <c r="J1750" s="3"/>
      <c r="K1750" s="3"/>
      <c r="L1750" s="3"/>
      <c r="M1750" s="3"/>
    </row>
    <row r="1751" spans="1:13" s="33" customFormat="1">
      <c r="A1751" s="71"/>
      <c r="B1751" s="3"/>
      <c r="C1751" s="3"/>
      <c r="D1751" s="3"/>
      <c r="E1751" s="3"/>
      <c r="F1751" s="3"/>
      <c r="G1751" s="3"/>
      <c r="H1751" s="3"/>
      <c r="I1751" s="3"/>
      <c r="J1751" s="3"/>
      <c r="K1751" s="3"/>
      <c r="L1751" s="3"/>
      <c r="M1751" s="3"/>
    </row>
    <row r="1752" spans="1:13" s="33" customFormat="1">
      <c r="A1752" s="71"/>
      <c r="B1752" s="3"/>
      <c r="C1752" s="3"/>
      <c r="D1752" s="3"/>
      <c r="E1752" s="3"/>
      <c r="F1752" s="3"/>
      <c r="G1752" s="3"/>
      <c r="H1752" s="3"/>
      <c r="I1752" s="3"/>
      <c r="J1752" s="3"/>
      <c r="K1752" s="3"/>
      <c r="L1752" s="3"/>
      <c r="M1752" s="3"/>
    </row>
    <row r="1753" spans="1:13" s="33" customFormat="1">
      <c r="A1753" s="71"/>
      <c r="B1753" s="3"/>
      <c r="C1753" s="3"/>
      <c r="D1753" s="3"/>
      <c r="E1753" s="3"/>
      <c r="F1753" s="3"/>
      <c r="G1753" s="3"/>
      <c r="H1753" s="3"/>
      <c r="I1753" s="3"/>
      <c r="J1753" s="3"/>
      <c r="K1753" s="3"/>
      <c r="L1753" s="3"/>
      <c r="M1753" s="3"/>
    </row>
    <row r="1754" spans="1:13" s="33" customFormat="1">
      <c r="A1754" s="71"/>
      <c r="B1754" s="3"/>
      <c r="C1754" s="3"/>
      <c r="D1754" s="3"/>
      <c r="E1754" s="3"/>
      <c r="F1754" s="3"/>
      <c r="G1754" s="3"/>
      <c r="H1754" s="3"/>
      <c r="I1754" s="3"/>
      <c r="J1754" s="3"/>
      <c r="K1754" s="3"/>
      <c r="L1754" s="3"/>
      <c r="M1754" s="3"/>
    </row>
    <row r="1755" spans="1:13" s="33" customFormat="1">
      <c r="A1755" s="71"/>
      <c r="B1755" s="3"/>
      <c r="C1755" s="3"/>
      <c r="D1755" s="3"/>
      <c r="E1755" s="3"/>
      <c r="F1755" s="3"/>
      <c r="G1755" s="3"/>
      <c r="H1755" s="3"/>
      <c r="I1755" s="3"/>
      <c r="J1755" s="3"/>
      <c r="K1755" s="3"/>
      <c r="L1755" s="3"/>
      <c r="M1755" s="3"/>
    </row>
    <row r="1756" spans="1:13" s="33" customFormat="1">
      <c r="A1756" s="71"/>
      <c r="B1756" s="3"/>
      <c r="C1756" s="3"/>
      <c r="D1756" s="3"/>
      <c r="E1756" s="3"/>
      <c r="F1756" s="3"/>
      <c r="G1756" s="3"/>
      <c r="H1756" s="3"/>
      <c r="I1756" s="3"/>
      <c r="J1756" s="3"/>
      <c r="K1756" s="3"/>
      <c r="L1756" s="3"/>
      <c r="M1756" s="3"/>
    </row>
    <row r="1757" spans="1:13" s="33" customFormat="1">
      <c r="A1757" s="71"/>
      <c r="B1757" s="3"/>
      <c r="C1757" s="3"/>
      <c r="D1757" s="3"/>
      <c r="E1757" s="3"/>
      <c r="F1757" s="3"/>
      <c r="G1757" s="3"/>
      <c r="H1757" s="3"/>
      <c r="I1757" s="3"/>
      <c r="J1757" s="3"/>
      <c r="K1757" s="3"/>
      <c r="L1757" s="3"/>
      <c r="M1757" s="3"/>
    </row>
    <row r="1758" spans="1:13" s="33" customFormat="1">
      <c r="A1758" s="71"/>
      <c r="B1758" s="3"/>
      <c r="C1758" s="3"/>
      <c r="D1758" s="3"/>
      <c r="E1758" s="3"/>
      <c r="F1758" s="3"/>
      <c r="G1758" s="3"/>
      <c r="H1758" s="3"/>
      <c r="I1758" s="3"/>
      <c r="J1758" s="3"/>
      <c r="K1758" s="3"/>
      <c r="L1758" s="3"/>
      <c r="M1758" s="3"/>
    </row>
    <row r="1759" spans="1:13" s="33" customFormat="1">
      <c r="A1759" s="71"/>
      <c r="B1759" s="3"/>
      <c r="C1759" s="3"/>
      <c r="D1759" s="3"/>
      <c r="E1759" s="3"/>
      <c r="F1759" s="3"/>
      <c r="G1759" s="3"/>
      <c r="H1759" s="3"/>
      <c r="I1759" s="3"/>
      <c r="J1759" s="3"/>
      <c r="K1759" s="3"/>
      <c r="L1759" s="3"/>
      <c r="M1759" s="3"/>
    </row>
    <row r="1760" spans="1:13" s="33" customFormat="1">
      <c r="A1760" s="71"/>
      <c r="B1760" s="3"/>
      <c r="C1760" s="3"/>
      <c r="D1760" s="3"/>
      <c r="E1760" s="3"/>
      <c r="F1760" s="3"/>
      <c r="G1760" s="3"/>
      <c r="H1760" s="3"/>
      <c r="I1760" s="3"/>
      <c r="J1760" s="3"/>
      <c r="K1760" s="3"/>
      <c r="L1760" s="3"/>
      <c r="M1760" s="3"/>
    </row>
    <row r="1761" spans="1:13" s="33" customFormat="1">
      <c r="A1761" s="71"/>
      <c r="B1761" s="3"/>
      <c r="C1761" s="3"/>
      <c r="D1761" s="3"/>
      <c r="E1761" s="3"/>
      <c r="F1761" s="3"/>
      <c r="G1761" s="3"/>
      <c r="H1761" s="3"/>
      <c r="I1761" s="3"/>
      <c r="J1761" s="3"/>
      <c r="K1761" s="3"/>
      <c r="L1761" s="3"/>
      <c r="M1761" s="3"/>
    </row>
    <row r="1762" spans="1:13" s="33" customFormat="1">
      <c r="A1762" s="71"/>
      <c r="B1762" s="3"/>
      <c r="C1762" s="3"/>
      <c r="D1762" s="3"/>
      <c r="E1762" s="3"/>
      <c r="F1762" s="3"/>
      <c r="G1762" s="3"/>
      <c r="H1762" s="3"/>
      <c r="I1762" s="3"/>
      <c r="J1762" s="3"/>
      <c r="K1762" s="3"/>
      <c r="L1762" s="3"/>
      <c r="M1762" s="3"/>
    </row>
    <row r="1763" spans="1:13" s="33" customFormat="1">
      <c r="A1763" s="71"/>
      <c r="B1763" s="3"/>
      <c r="C1763" s="3"/>
      <c r="D1763" s="3"/>
      <c r="E1763" s="3"/>
      <c r="F1763" s="3"/>
      <c r="G1763" s="3"/>
      <c r="H1763" s="3"/>
      <c r="I1763" s="3"/>
      <c r="J1763" s="3"/>
      <c r="K1763" s="3"/>
      <c r="L1763" s="3"/>
      <c r="M1763" s="3"/>
    </row>
    <row r="1764" spans="1:13" s="33" customFormat="1">
      <c r="A1764" s="71"/>
      <c r="B1764" s="3"/>
      <c r="C1764" s="3"/>
      <c r="D1764" s="3"/>
      <c r="E1764" s="3"/>
      <c r="F1764" s="3"/>
      <c r="G1764" s="3"/>
      <c r="H1764" s="3"/>
      <c r="I1764" s="3"/>
      <c r="J1764" s="3"/>
      <c r="K1764" s="3"/>
      <c r="L1764" s="3"/>
      <c r="M1764" s="3"/>
    </row>
    <row r="1765" spans="1:13" s="33" customFormat="1">
      <c r="A1765" s="71"/>
      <c r="B1765" s="3"/>
      <c r="C1765" s="3"/>
      <c r="D1765" s="3"/>
      <c r="E1765" s="3"/>
      <c r="F1765" s="3"/>
      <c r="G1765" s="3"/>
      <c r="H1765" s="3"/>
      <c r="I1765" s="3"/>
      <c r="J1765" s="3"/>
      <c r="K1765" s="3"/>
      <c r="L1765" s="3"/>
      <c r="M1765" s="3"/>
    </row>
    <row r="1766" spans="1:13" s="33" customFormat="1">
      <c r="A1766" s="71"/>
      <c r="B1766" s="3"/>
      <c r="C1766" s="3"/>
      <c r="D1766" s="3"/>
      <c r="E1766" s="3"/>
      <c r="F1766" s="3"/>
      <c r="G1766" s="3"/>
      <c r="H1766" s="3"/>
      <c r="I1766" s="3"/>
      <c r="J1766" s="3"/>
      <c r="K1766" s="3"/>
      <c r="L1766" s="3"/>
      <c r="M1766" s="3"/>
    </row>
    <row r="1767" spans="1:13" s="33" customFormat="1">
      <c r="A1767" s="71"/>
      <c r="B1767" s="3"/>
      <c r="C1767" s="3"/>
      <c r="D1767" s="3"/>
      <c r="E1767" s="3"/>
      <c r="F1767" s="3"/>
      <c r="G1767" s="3"/>
      <c r="H1767" s="3"/>
      <c r="I1767" s="3"/>
      <c r="J1767" s="3"/>
      <c r="K1767" s="3"/>
      <c r="L1767" s="3"/>
      <c r="M1767" s="3"/>
    </row>
    <row r="1768" spans="1:13" s="33" customFormat="1">
      <c r="A1768" s="71"/>
      <c r="B1768" s="3"/>
      <c r="C1768" s="3"/>
      <c r="D1768" s="3"/>
      <c r="E1768" s="3"/>
      <c r="F1768" s="3"/>
      <c r="G1768" s="3"/>
      <c r="H1768" s="3"/>
      <c r="I1768" s="3"/>
      <c r="J1768" s="3"/>
      <c r="K1768" s="3"/>
      <c r="L1768" s="3"/>
      <c r="M1768" s="3"/>
    </row>
    <row r="1769" spans="1:13" s="33" customFormat="1">
      <c r="A1769" s="71"/>
      <c r="B1769" s="3"/>
      <c r="C1769" s="3"/>
      <c r="D1769" s="3"/>
      <c r="E1769" s="3"/>
      <c r="F1769" s="3"/>
      <c r="G1769" s="3"/>
      <c r="H1769" s="3"/>
      <c r="I1769" s="3"/>
      <c r="J1769" s="3"/>
      <c r="K1769" s="3"/>
      <c r="L1769" s="3"/>
      <c r="M1769" s="3"/>
    </row>
    <row r="1770" spans="1:13" s="33" customFormat="1">
      <c r="A1770" s="71"/>
      <c r="B1770" s="3"/>
      <c r="C1770" s="3"/>
      <c r="D1770" s="3"/>
      <c r="E1770" s="3"/>
      <c r="F1770" s="3"/>
      <c r="G1770" s="3"/>
      <c r="H1770" s="3"/>
      <c r="I1770" s="3"/>
      <c r="J1770" s="3"/>
      <c r="K1770" s="3"/>
      <c r="L1770" s="3"/>
      <c r="M1770" s="3"/>
    </row>
    <row r="1771" spans="1:13" s="33" customFormat="1">
      <c r="A1771" s="71"/>
      <c r="B1771" s="3"/>
      <c r="C1771" s="3"/>
      <c r="D1771" s="3"/>
      <c r="E1771" s="3"/>
      <c r="F1771" s="3"/>
      <c r="G1771" s="3"/>
      <c r="H1771" s="3"/>
      <c r="I1771" s="3"/>
      <c r="J1771" s="3"/>
      <c r="K1771" s="3"/>
      <c r="L1771" s="3"/>
      <c r="M1771" s="3"/>
    </row>
    <row r="1772" spans="1:13" s="33" customFormat="1">
      <c r="A1772" s="71"/>
      <c r="B1772" s="3"/>
      <c r="C1772" s="3"/>
      <c r="D1772" s="3"/>
      <c r="E1772" s="3"/>
      <c r="F1772" s="3"/>
      <c r="G1772" s="3"/>
      <c r="H1772" s="3"/>
      <c r="I1772" s="3"/>
      <c r="J1772" s="3"/>
      <c r="K1772" s="3"/>
      <c r="L1772" s="3"/>
      <c r="M1772" s="3"/>
    </row>
    <row r="1773" spans="1:13" s="33" customFormat="1">
      <c r="A1773" s="71"/>
      <c r="B1773" s="3"/>
      <c r="C1773" s="3"/>
      <c r="D1773" s="3"/>
      <c r="E1773" s="3"/>
      <c r="F1773" s="3"/>
      <c r="G1773" s="3"/>
      <c r="H1773" s="3"/>
      <c r="I1773" s="3"/>
      <c r="J1773" s="3"/>
      <c r="K1773" s="3"/>
      <c r="L1773" s="3"/>
      <c r="M1773" s="3"/>
    </row>
    <row r="1774" spans="1:13" s="33" customFormat="1">
      <c r="A1774" s="71"/>
      <c r="B1774" s="3"/>
      <c r="C1774" s="3"/>
      <c r="D1774" s="3"/>
      <c r="E1774" s="3"/>
      <c r="F1774" s="3"/>
      <c r="G1774" s="3"/>
      <c r="H1774" s="3"/>
      <c r="I1774" s="3"/>
      <c r="J1774" s="3"/>
      <c r="K1774" s="3"/>
      <c r="L1774" s="3"/>
      <c r="M1774" s="3"/>
    </row>
    <row r="1775" spans="1:13" s="33" customFormat="1">
      <c r="A1775" s="71"/>
      <c r="B1775" s="3"/>
      <c r="C1775" s="3"/>
      <c r="D1775" s="3"/>
      <c r="E1775" s="3"/>
      <c r="F1775" s="3"/>
      <c r="G1775" s="3"/>
      <c r="H1775" s="3"/>
      <c r="I1775" s="3"/>
      <c r="J1775" s="3"/>
      <c r="K1775" s="3"/>
      <c r="L1775" s="3"/>
      <c r="M1775" s="3"/>
    </row>
    <row r="1776" spans="1:13" s="33" customFormat="1">
      <c r="A1776" s="71"/>
      <c r="B1776" s="3"/>
      <c r="C1776" s="3"/>
      <c r="D1776" s="3"/>
      <c r="E1776" s="3"/>
      <c r="F1776" s="3"/>
      <c r="G1776" s="3"/>
      <c r="H1776" s="3"/>
      <c r="I1776" s="3"/>
      <c r="J1776" s="3"/>
      <c r="K1776" s="3"/>
      <c r="L1776" s="3"/>
      <c r="M1776" s="3"/>
    </row>
    <row r="1777" spans="1:13" s="33" customFormat="1">
      <c r="A1777" s="71"/>
      <c r="B1777" s="3"/>
      <c r="C1777" s="3"/>
      <c r="D1777" s="3"/>
      <c r="E1777" s="3"/>
      <c r="F1777" s="3"/>
      <c r="G1777" s="3"/>
      <c r="H1777" s="3"/>
      <c r="I1777" s="3"/>
      <c r="J1777" s="3"/>
      <c r="K1777" s="3"/>
      <c r="L1777" s="3"/>
      <c r="M1777" s="3"/>
    </row>
    <row r="1778" spans="1:13" s="33" customFormat="1">
      <c r="A1778" s="71"/>
      <c r="B1778" s="3"/>
      <c r="C1778" s="3"/>
      <c r="D1778" s="3"/>
      <c r="E1778" s="3"/>
      <c r="F1778" s="3"/>
      <c r="G1778" s="3"/>
      <c r="H1778" s="3"/>
      <c r="I1778" s="3"/>
      <c r="J1778" s="3"/>
      <c r="K1778" s="3"/>
      <c r="L1778" s="3"/>
      <c r="M1778" s="3"/>
    </row>
    <row r="1779" spans="1:13" s="33" customFormat="1">
      <c r="A1779" s="71"/>
      <c r="B1779" s="3"/>
      <c r="C1779" s="3"/>
      <c r="D1779" s="3"/>
      <c r="E1779" s="3"/>
      <c r="F1779" s="3"/>
      <c r="G1779" s="3"/>
      <c r="H1779" s="3"/>
      <c r="I1779" s="3"/>
      <c r="J1779" s="3"/>
      <c r="K1779" s="3"/>
      <c r="L1779" s="3"/>
      <c r="M1779" s="3"/>
    </row>
    <row r="1780" spans="1:13" s="33" customFormat="1">
      <c r="A1780" s="71"/>
      <c r="B1780" s="3"/>
      <c r="C1780" s="3"/>
      <c r="D1780" s="3"/>
      <c r="E1780" s="3"/>
      <c r="F1780" s="3"/>
      <c r="G1780" s="3"/>
      <c r="H1780" s="3"/>
      <c r="I1780" s="3"/>
      <c r="J1780" s="3"/>
      <c r="K1780" s="3"/>
      <c r="L1780" s="3"/>
      <c r="M1780" s="3"/>
    </row>
    <row r="1781" spans="1:13" s="33" customFormat="1">
      <c r="A1781" s="71"/>
      <c r="B1781" s="3"/>
      <c r="C1781" s="3"/>
      <c r="D1781" s="3"/>
      <c r="E1781" s="3"/>
      <c r="F1781" s="3"/>
      <c r="G1781" s="3"/>
      <c r="H1781" s="3"/>
      <c r="I1781" s="3"/>
      <c r="J1781" s="3"/>
      <c r="K1781" s="3"/>
      <c r="L1781" s="3"/>
      <c r="M1781" s="3"/>
    </row>
    <row r="1782" spans="1:13" s="33" customFormat="1">
      <c r="A1782" s="71"/>
      <c r="B1782" s="3"/>
      <c r="C1782" s="3"/>
      <c r="D1782" s="3"/>
      <c r="E1782" s="3"/>
      <c r="F1782" s="3"/>
      <c r="G1782" s="3"/>
      <c r="H1782" s="3"/>
      <c r="I1782" s="3"/>
      <c r="J1782" s="3"/>
      <c r="K1782" s="3"/>
      <c r="L1782" s="3"/>
      <c r="M1782" s="3"/>
    </row>
    <row r="1783" spans="1:13" s="33" customFormat="1">
      <c r="A1783" s="71"/>
      <c r="B1783" s="3"/>
      <c r="C1783" s="3"/>
      <c r="D1783" s="3"/>
      <c r="E1783" s="3"/>
      <c r="F1783" s="3"/>
      <c r="G1783" s="3"/>
      <c r="H1783" s="3"/>
      <c r="I1783" s="3"/>
      <c r="J1783" s="3"/>
      <c r="K1783" s="3"/>
      <c r="L1783" s="3"/>
      <c r="M1783" s="3"/>
    </row>
    <row r="1784" spans="1:13" s="33" customFormat="1">
      <c r="A1784" s="71"/>
      <c r="B1784" s="3"/>
      <c r="C1784" s="3"/>
      <c r="D1784" s="3"/>
      <c r="E1784" s="3"/>
      <c r="F1784" s="3"/>
      <c r="G1784" s="3"/>
      <c r="H1784" s="3"/>
      <c r="I1784" s="3"/>
      <c r="J1784" s="3"/>
      <c r="K1784" s="3"/>
      <c r="L1784" s="3"/>
      <c r="M1784" s="3"/>
    </row>
    <row r="1785" spans="1:13" s="33" customFormat="1">
      <c r="A1785" s="71"/>
      <c r="B1785" s="3"/>
      <c r="C1785" s="3"/>
      <c r="D1785" s="3"/>
      <c r="E1785" s="3"/>
      <c r="F1785" s="3"/>
      <c r="G1785" s="3"/>
      <c r="H1785" s="3"/>
      <c r="I1785" s="3"/>
      <c r="J1785" s="3"/>
      <c r="K1785" s="3"/>
      <c r="L1785" s="3"/>
      <c r="M1785" s="3"/>
    </row>
    <row r="1786" spans="1:13" s="33" customFormat="1">
      <c r="A1786" s="71"/>
      <c r="B1786" s="3"/>
      <c r="C1786" s="3"/>
      <c r="D1786" s="3"/>
      <c r="E1786" s="3"/>
      <c r="F1786" s="3"/>
      <c r="G1786" s="3"/>
      <c r="H1786" s="3"/>
      <c r="I1786" s="3"/>
      <c r="J1786" s="3"/>
      <c r="K1786" s="3"/>
      <c r="L1786" s="3"/>
      <c r="M1786" s="3"/>
    </row>
    <row r="1787" spans="1:13" s="33" customFormat="1">
      <c r="A1787" s="71"/>
      <c r="B1787" s="3"/>
      <c r="C1787" s="3"/>
      <c r="D1787" s="3"/>
      <c r="E1787" s="3"/>
      <c r="F1787" s="3"/>
      <c r="G1787" s="3"/>
      <c r="H1787" s="3"/>
      <c r="I1787" s="3"/>
      <c r="J1787" s="3"/>
      <c r="K1787" s="3"/>
      <c r="L1787" s="3"/>
      <c r="M1787" s="3"/>
    </row>
    <row r="1788" spans="1:13" s="33" customFormat="1">
      <c r="A1788" s="71"/>
      <c r="B1788" s="3"/>
      <c r="C1788" s="3"/>
      <c r="D1788" s="3"/>
      <c r="E1788" s="3"/>
      <c r="F1788" s="3"/>
      <c r="G1788" s="3"/>
      <c r="H1788" s="3"/>
      <c r="I1788" s="3"/>
      <c r="J1788" s="3"/>
      <c r="K1788" s="3"/>
      <c r="L1788" s="3"/>
      <c r="M1788" s="3"/>
    </row>
    <row r="1789" spans="1:13" s="33" customFormat="1">
      <c r="A1789" s="71"/>
      <c r="B1789" s="3"/>
      <c r="C1789" s="3"/>
      <c r="D1789" s="3"/>
      <c r="E1789" s="3"/>
      <c r="F1789" s="3"/>
      <c r="G1789" s="3"/>
      <c r="H1789" s="3"/>
      <c r="I1789" s="3"/>
      <c r="J1789" s="3"/>
      <c r="K1789" s="3"/>
      <c r="L1789" s="3"/>
      <c r="M1789" s="3"/>
    </row>
    <row r="1790" spans="1:13" s="33" customFormat="1">
      <c r="A1790" s="71"/>
      <c r="B1790" s="3"/>
      <c r="C1790" s="3"/>
      <c r="D1790" s="3"/>
      <c r="E1790" s="3"/>
      <c r="F1790" s="3"/>
      <c r="G1790" s="3"/>
      <c r="H1790" s="3"/>
      <c r="I1790" s="3"/>
      <c r="J1790" s="3"/>
      <c r="K1790" s="3"/>
      <c r="L1790" s="3"/>
      <c r="M1790" s="3"/>
    </row>
    <row r="1791" spans="1:13" s="33" customFormat="1">
      <c r="A1791" s="71"/>
      <c r="B1791" s="3"/>
      <c r="C1791" s="3"/>
      <c r="D1791" s="3"/>
      <c r="E1791" s="3"/>
      <c r="F1791" s="3"/>
      <c r="G1791" s="3"/>
      <c r="H1791" s="3"/>
      <c r="I1791" s="3"/>
      <c r="J1791" s="3"/>
      <c r="K1791" s="3"/>
      <c r="L1791" s="3"/>
      <c r="M1791" s="3"/>
    </row>
    <row r="1792" spans="1:13" s="33" customFormat="1">
      <c r="A1792" s="71"/>
      <c r="B1792" s="3"/>
      <c r="C1792" s="3"/>
      <c r="D1792" s="3"/>
      <c r="E1792" s="3"/>
      <c r="F1792" s="3"/>
      <c r="G1792" s="3"/>
      <c r="H1792" s="3"/>
      <c r="I1792" s="3"/>
      <c r="J1792" s="3"/>
      <c r="K1792" s="3"/>
      <c r="L1792" s="3"/>
      <c r="M1792" s="3"/>
    </row>
    <row r="1793" spans="1:13" s="33" customFormat="1">
      <c r="A1793" s="71"/>
      <c r="B1793" s="3"/>
      <c r="C1793" s="3"/>
      <c r="D1793" s="3"/>
      <c r="E1793" s="3"/>
      <c r="F1793" s="3"/>
      <c r="G1793" s="3"/>
      <c r="H1793" s="3"/>
      <c r="I1793" s="3"/>
      <c r="J1793" s="3"/>
      <c r="K1793" s="3"/>
      <c r="L1793" s="3"/>
      <c r="M1793" s="3"/>
    </row>
    <row r="1794" spans="1:13" s="33" customFormat="1">
      <c r="A1794" s="71"/>
      <c r="B1794" s="3"/>
      <c r="C1794" s="3"/>
      <c r="D1794" s="3"/>
      <c r="E1794" s="3"/>
      <c r="F1794" s="3"/>
      <c r="G1794" s="3"/>
      <c r="H1794" s="3"/>
      <c r="I1794" s="3"/>
      <c r="J1794" s="3"/>
      <c r="K1794" s="3"/>
      <c r="L1794" s="3"/>
      <c r="M1794" s="3"/>
    </row>
    <row r="1795" spans="1:13" s="33" customFormat="1">
      <c r="A1795" s="71"/>
      <c r="B1795" s="3"/>
      <c r="C1795" s="3"/>
      <c r="D1795" s="3"/>
      <c r="E1795" s="3"/>
      <c r="F1795" s="3"/>
      <c r="G1795" s="3"/>
      <c r="H1795" s="3"/>
      <c r="I1795" s="3"/>
      <c r="J1795" s="3"/>
      <c r="K1795" s="3"/>
      <c r="L1795" s="3"/>
      <c r="M1795" s="3"/>
    </row>
    <row r="1796" spans="1:13" s="33" customFormat="1">
      <c r="A1796" s="71"/>
      <c r="B1796" s="3"/>
      <c r="C1796" s="3"/>
      <c r="D1796" s="3"/>
      <c r="E1796" s="3"/>
      <c r="F1796" s="3"/>
      <c r="G1796" s="3"/>
      <c r="H1796" s="3"/>
      <c r="I1796" s="3"/>
      <c r="J1796" s="3"/>
      <c r="K1796" s="3"/>
      <c r="L1796" s="3"/>
      <c r="M1796" s="3"/>
    </row>
    <row r="1797" spans="1:13" s="33" customFormat="1">
      <c r="A1797" s="71"/>
      <c r="B1797" s="3"/>
      <c r="C1797" s="3"/>
      <c r="D1797" s="3"/>
      <c r="E1797" s="3"/>
      <c r="F1797" s="3"/>
      <c r="G1797" s="3"/>
      <c r="H1797" s="3"/>
      <c r="I1797" s="3"/>
      <c r="J1797" s="3"/>
      <c r="K1797" s="3"/>
      <c r="L1797" s="3"/>
      <c r="M1797" s="3"/>
    </row>
    <row r="1798" spans="1:13" s="33" customFormat="1">
      <c r="A1798" s="71"/>
      <c r="B1798" s="3"/>
      <c r="C1798" s="3"/>
      <c r="D1798" s="3"/>
      <c r="E1798" s="3"/>
      <c r="F1798" s="3"/>
      <c r="G1798" s="3"/>
      <c r="H1798" s="3"/>
      <c r="I1798" s="3"/>
      <c r="J1798" s="3"/>
      <c r="K1798" s="3"/>
      <c r="L1798" s="3"/>
      <c r="M1798" s="3"/>
    </row>
    <row r="1799" spans="1:13" s="33" customFormat="1">
      <c r="A1799" s="71"/>
      <c r="B1799" s="3"/>
      <c r="C1799" s="3"/>
      <c r="D1799" s="3"/>
      <c r="E1799" s="3"/>
      <c r="F1799" s="3"/>
      <c r="G1799" s="3"/>
      <c r="H1799" s="3"/>
      <c r="I1799" s="3"/>
      <c r="J1799" s="3"/>
      <c r="K1799" s="3"/>
      <c r="L1799" s="3"/>
      <c r="M1799" s="3"/>
    </row>
    <row r="1800" spans="1:13" s="33" customFormat="1">
      <c r="A1800" s="71"/>
      <c r="B1800" s="3"/>
      <c r="C1800" s="3"/>
      <c r="D1800" s="3"/>
      <c r="E1800" s="3"/>
      <c r="F1800" s="3"/>
      <c r="G1800" s="3"/>
      <c r="H1800" s="3"/>
      <c r="I1800" s="3"/>
      <c r="J1800" s="3"/>
      <c r="K1800" s="3"/>
      <c r="L1800" s="3"/>
      <c r="M1800" s="3"/>
    </row>
    <row r="1801" spans="1:13" s="33" customFormat="1">
      <c r="A1801" s="71"/>
      <c r="B1801" s="3"/>
      <c r="C1801" s="3"/>
      <c r="D1801" s="3"/>
      <c r="E1801" s="3"/>
      <c r="F1801" s="3"/>
      <c r="G1801" s="3"/>
      <c r="H1801" s="3"/>
      <c r="I1801" s="3"/>
      <c r="J1801" s="3"/>
      <c r="K1801" s="3"/>
      <c r="L1801" s="3"/>
      <c r="M1801" s="3"/>
    </row>
    <row r="1802" spans="1:13" s="33" customFormat="1">
      <c r="A1802" s="71"/>
      <c r="B1802" s="3"/>
      <c r="C1802" s="3"/>
      <c r="D1802" s="3"/>
      <c r="E1802" s="3"/>
      <c r="F1802" s="3"/>
      <c r="G1802" s="3"/>
      <c r="H1802" s="3"/>
      <c r="I1802" s="3"/>
      <c r="J1802" s="3"/>
      <c r="K1802" s="3"/>
      <c r="L1802" s="3"/>
      <c r="M1802" s="3"/>
    </row>
    <row r="1803" spans="1:13" s="33" customFormat="1">
      <c r="A1803" s="71"/>
      <c r="B1803" s="3"/>
      <c r="C1803" s="3"/>
      <c r="D1803" s="3"/>
      <c r="E1803" s="3"/>
      <c r="F1803" s="3"/>
      <c r="G1803" s="3"/>
      <c r="H1803" s="3"/>
      <c r="I1803" s="3"/>
      <c r="J1803" s="3"/>
      <c r="K1803" s="3"/>
      <c r="L1803" s="3"/>
      <c r="M1803" s="3"/>
    </row>
    <row r="1804" spans="1:13" s="33" customFormat="1">
      <c r="A1804" s="71"/>
      <c r="B1804" s="3"/>
      <c r="C1804" s="3"/>
      <c r="D1804" s="3"/>
      <c r="E1804" s="3"/>
      <c r="F1804" s="3"/>
      <c r="G1804" s="3"/>
      <c r="H1804" s="3"/>
      <c r="I1804" s="3"/>
      <c r="J1804" s="3"/>
      <c r="K1804" s="3"/>
      <c r="L1804" s="3"/>
      <c r="M1804" s="3"/>
    </row>
    <row r="1805" spans="1:13" s="33" customFormat="1">
      <c r="A1805" s="71"/>
      <c r="B1805" s="3"/>
      <c r="C1805" s="3"/>
      <c r="D1805" s="3"/>
      <c r="E1805" s="3"/>
      <c r="F1805" s="3"/>
      <c r="G1805" s="3"/>
      <c r="H1805" s="3"/>
      <c r="I1805" s="3"/>
      <c r="J1805" s="3"/>
      <c r="K1805" s="3"/>
      <c r="L1805" s="3"/>
      <c r="M1805" s="3"/>
    </row>
    <row r="1806" spans="1:13" s="33" customFormat="1">
      <c r="A1806" s="71"/>
      <c r="B1806" s="3"/>
      <c r="C1806" s="3"/>
      <c r="D1806" s="3"/>
      <c r="E1806" s="3"/>
      <c r="F1806" s="3"/>
      <c r="G1806" s="3"/>
      <c r="H1806" s="3"/>
      <c r="I1806" s="3"/>
      <c r="J1806" s="3"/>
      <c r="K1806" s="3"/>
      <c r="L1806" s="3"/>
      <c r="M1806" s="3"/>
    </row>
    <row r="1807" spans="1:13" s="33" customFormat="1">
      <c r="A1807" s="71"/>
      <c r="B1807" s="3"/>
      <c r="C1807" s="3"/>
      <c r="D1807" s="3"/>
      <c r="E1807" s="3"/>
      <c r="F1807" s="3"/>
      <c r="G1807" s="3"/>
      <c r="H1807" s="3"/>
      <c r="I1807" s="3"/>
      <c r="J1807" s="3"/>
      <c r="K1807" s="3"/>
      <c r="L1807" s="3"/>
      <c r="M1807" s="3"/>
    </row>
    <row r="1808" spans="1:13" s="33" customFormat="1">
      <c r="A1808" s="71"/>
      <c r="B1808" s="3"/>
      <c r="C1808" s="3"/>
      <c r="D1808" s="3"/>
      <c r="E1808" s="3"/>
      <c r="F1808" s="3"/>
      <c r="G1808" s="3"/>
      <c r="H1808" s="3"/>
      <c r="I1808" s="3"/>
      <c r="J1808" s="3"/>
      <c r="K1808" s="3"/>
      <c r="L1808" s="3"/>
      <c r="M1808" s="3"/>
    </row>
    <row r="1809" spans="1:13" s="33" customFormat="1">
      <c r="A1809" s="71"/>
      <c r="B1809" s="3"/>
      <c r="C1809" s="3"/>
      <c r="D1809" s="3"/>
      <c r="E1809" s="3"/>
      <c r="F1809" s="3"/>
      <c r="G1809" s="3"/>
      <c r="H1809" s="3"/>
      <c r="I1809" s="3"/>
      <c r="J1809" s="3"/>
      <c r="K1809" s="3"/>
      <c r="L1809" s="3"/>
      <c r="M1809" s="3"/>
    </row>
    <row r="1810" spans="1:13" s="33" customFormat="1">
      <c r="A1810" s="71"/>
      <c r="B1810" s="3"/>
      <c r="C1810" s="3"/>
      <c r="D1810" s="3"/>
      <c r="E1810" s="3"/>
      <c r="F1810" s="3"/>
      <c r="G1810" s="3"/>
      <c r="H1810" s="3"/>
      <c r="I1810" s="3"/>
      <c r="J1810" s="3"/>
      <c r="K1810" s="3"/>
      <c r="L1810" s="3"/>
      <c r="M1810" s="3"/>
    </row>
    <row r="1811" spans="1:13" s="33" customFormat="1">
      <c r="A1811" s="71"/>
      <c r="B1811" s="3"/>
      <c r="C1811" s="3"/>
      <c r="D1811" s="3"/>
      <c r="E1811" s="3"/>
      <c r="F1811" s="3"/>
      <c r="G1811" s="3"/>
      <c r="H1811" s="3"/>
      <c r="I1811" s="3"/>
      <c r="J1811" s="3"/>
      <c r="K1811" s="3"/>
      <c r="L1811" s="3"/>
      <c r="M1811" s="3"/>
    </row>
    <row r="1812" spans="1:13" s="33" customFormat="1">
      <c r="A1812" s="71"/>
      <c r="B1812" s="3"/>
      <c r="C1812" s="3"/>
      <c r="D1812" s="3"/>
      <c r="E1812" s="3"/>
      <c r="F1812" s="3"/>
      <c r="G1812" s="3"/>
      <c r="H1812" s="3"/>
      <c r="I1812" s="3"/>
      <c r="J1812" s="3"/>
      <c r="K1812" s="3"/>
      <c r="L1812" s="3"/>
      <c r="M1812" s="3"/>
    </row>
    <row r="1813" spans="1:13" s="33" customFormat="1">
      <c r="A1813" s="71"/>
      <c r="B1813" s="3"/>
      <c r="C1813" s="3"/>
      <c r="D1813" s="3"/>
      <c r="E1813" s="3"/>
      <c r="F1813" s="3"/>
      <c r="G1813" s="3"/>
      <c r="H1813" s="3"/>
      <c r="I1813" s="3"/>
      <c r="J1813" s="3"/>
      <c r="K1813" s="3"/>
      <c r="L1813" s="3"/>
      <c r="M1813" s="3"/>
    </row>
    <row r="1814" spans="1:13" s="33" customFormat="1">
      <c r="A1814" s="71"/>
      <c r="B1814" s="3"/>
      <c r="C1814" s="3"/>
      <c r="D1814" s="3"/>
      <c r="E1814" s="3"/>
      <c r="F1814" s="3"/>
      <c r="G1814" s="3"/>
      <c r="H1814" s="3"/>
      <c r="I1814" s="3"/>
      <c r="J1814" s="3"/>
      <c r="K1814" s="3"/>
      <c r="L1814" s="3"/>
      <c r="M1814" s="3"/>
    </row>
    <row r="1815" spans="1:13" s="33" customFormat="1">
      <c r="A1815" s="71"/>
      <c r="B1815" s="3"/>
      <c r="C1815" s="3"/>
      <c r="D1815" s="3"/>
      <c r="E1815" s="3"/>
      <c r="F1815" s="3"/>
      <c r="G1815" s="3"/>
      <c r="H1815" s="3"/>
      <c r="I1815" s="3"/>
      <c r="J1815" s="3"/>
      <c r="K1815" s="3"/>
      <c r="L1815" s="3"/>
      <c r="M1815" s="3"/>
    </row>
    <row r="1816" spans="1:13" s="33" customFormat="1">
      <c r="A1816" s="71"/>
      <c r="B1816" s="3"/>
      <c r="C1816" s="3"/>
      <c r="D1816" s="3"/>
      <c r="E1816" s="3"/>
      <c r="F1816" s="3"/>
      <c r="G1816" s="3"/>
      <c r="H1816" s="3"/>
      <c r="I1816" s="3"/>
      <c r="J1816" s="3"/>
      <c r="K1816" s="3"/>
      <c r="L1816" s="3"/>
      <c r="M1816" s="3"/>
    </row>
    <row r="1817" spans="1:13" s="33" customFormat="1">
      <c r="A1817" s="71"/>
      <c r="B1817" s="3"/>
      <c r="C1817" s="3"/>
      <c r="D1817" s="3"/>
      <c r="E1817" s="3"/>
      <c r="F1817" s="3"/>
      <c r="G1817" s="3"/>
      <c r="H1817" s="3"/>
      <c r="I1817" s="3"/>
      <c r="J1817" s="3"/>
      <c r="K1817" s="3"/>
      <c r="L1817" s="3"/>
      <c r="M1817" s="3"/>
    </row>
    <row r="1818" spans="1:13" s="33" customFormat="1">
      <c r="A1818" s="71"/>
      <c r="B1818" s="3"/>
      <c r="C1818" s="3"/>
      <c r="D1818" s="3"/>
      <c r="E1818" s="3"/>
      <c r="F1818" s="3"/>
      <c r="G1818" s="3"/>
      <c r="H1818" s="3"/>
      <c r="I1818" s="3"/>
      <c r="J1818" s="3"/>
      <c r="K1818" s="3"/>
      <c r="L1818" s="3"/>
      <c r="M1818" s="3"/>
    </row>
    <row r="1819" spans="1:13" s="33" customFormat="1">
      <c r="A1819" s="71"/>
      <c r="B1819" s="3"/>
      <c r="C1819" s="3"/>
      <c r="D1819" s="3"/>
      <c r="E1819" s="3"/>
      <c r="F1819" s="3"/>
      <c r="G1819" s="3"/>
      <c r="H1819" s="3"/>
      <c r="I1819" s="3"/>
      <c r="J1819" s="3"/>
      <c r="K1819" s="3"/>
      <c r="L1819" s="3"/>
      <c r="M1819" s="3"/>
    </row>
    <row r="1820" spans="1:13" s="33" customFormat="1">
      <c r="A1820" s="71"/>
      <c r="B1820" s="3"/>
      <c r="C1820" s="3"/>
      <c r="D1820" s="3"/>
      <c r="E1820" s="3"/>
      <c r="F1820" s="3"/>
      <c r="G1820" s="3"/>
      <c r="H1820" s="3"/>
      <c r="I1820" s="3"/>
      <c r="J1820" s="3"/>
      <c r="K1820" s="3"/>
      <c r="L1820" s="3"/>
      <c r="M1820" s="3"/>
    </row>
    <row r="1821" spans="1:13" s="33" customFormat="1">
      <c r="A1821" s="71"/>
      <c r="B1821" s="3"/>
      <c r="C1821" s="3"/>
      <c r="D1821" s="3"/>
      <c r="E1821" s="3"/>
      <c r="F1821" s="3"/>
      <c r="G1821" s="3"/>
      <c r="H1821" s="3"/>
      <c r="I1821" s="3"/>
      <c r="J1821" s="3"/>
      <c r="K1821" s="3"/>
      <c r="L1821" s="3"/>
      <c r="M1821" s="3"/>
    </row>
    <row r="1822" spans="1:13" s="33" customFormat="1">
      <c r="A1822" s="71"/>
      <c r="B1822" s="3"/>
      <c r="C1822" s="3"/>
      <c r="D1822" s="3"/>
      <c r="E1822" s="3"/>
      <c r="F1822" s="3"/>
      <c r="G1822" s="3"/>
      <c r="H1822" s="3"/>
      <c r="I1822" s="3"/>
      <c r="J1822" s="3"/>
      <c r="K1822" s="3"/>
      <c r="L1822" s="3"/>
      <c r="M1822" s="3"/>
    </row>
    <row r="1823" spans="1:13" s="33" customFormat="1">
      <c r="A1823" s="71"/>
      <c r="B1823" s="3"/>
      <c r="C1823" s="3"/>
      <c r="D1823" s="3"/>
      <c r="E1823" s="3"/>
      <c r="F1823" s="3"/>
      <c r="G1823" s="3"/>
      <c r="H1823" s="3"/>
      <c r="I1823" s="3"/>
      <c r="J1823" s="3"/>
      <c r="K1823" s="3"/>
      <c r="L1823" s="3"/>
      <c r="M1823" s="3"/>
    </row>
    <row r="1824" spans="1:13" s="33" customFormat="1">
      <c r="A1824" s="71"/>
      <c r="B1824" s="3"/>
      <c r="C1824" s="3"/>
      <c r="D1824" s="3"/>
      <c r="E1824" s="3"/>
      <c r="F1824" s="3"/>
      <c r="G1824" s="3"/>
      <c r="H1824" s="3"/>
      <c r="I1824" s="3"/>
      <c r="J1824" s="3"/>
      <c r="K1824" s="3"/>
      <c r="L1824" s="3"/>
      <c r="M1824" s="3"/>
    </row>
    <row r="1825" spans="1:13" s="33" customFormat="1">
      <c r="A1825" s="71"/>
      <c r="B1825" s="3"/>
      <c r="C1825" s="3"/>
      <c r="D1825" s="3"/>
      <c r="E1825" s="3"/>
      <c r="F1825" s="3"/>
      <c r="G1825" s="3"/>
      <c r="H1825" s="3"/>
      <c r="I1825" s="3"/>
      <c r="J1825" s="3"/>
      <c r="K1825" s="3"/>
      <c r="L1825" s="3"/>
      <c r="M1825" s="3"/>
    </row>
    <row r="1826" spans="1:13" s="33" customFormat="1">
      <c r="A1826" s="71"/>
      <c r="B1826" s="3"/>
      <c r="C1826" s="3"/>
      <c r="D1826" s="3"/>
      <c r="E1826" s="3"/>
      <c r="F1826" s="3"/>
      <c r="G1826" s="3"/>
      <c r="H1826" s="3"/>
      <c r="I1826" s="3"/>
      <c r="J1826" s="3"/>
      <c r="K1826" s="3"/>
      <c r="L1826" s="3"/>
      <c r="M1826" s="3"/>
    </row>
    <row r="1827" spans="1:13" s="33" customFormat="1">
      <c r="A1827" s="71"/>
      <c r="B1827" s="3"/>
      <c r="C1827" s="3"/>
      <c r="D1827" s="3"/>
      <c r="E1827" s="3"/>
      <c r="F1827" s="3"/>
      <c r="G1827" s="3"/>
      <c r="H1827" s="3"/>
      <c r="I1827" s="3"/>
      <c r="J1827" s="3"/>
      <c r="K1827" s="3"/>
      <c r="L1827" s="3"/>
      <c r="M1827" s="3"/>
    </row>
    <row r="1828" spans="1:13" s="33" customFormat="1">
      <c r="A1828" s="71"/>
      <c r="B1828" s="3"/>
      <c r="C1828" s="3"/>
      <c r="D1828" s="3"/>
      <c r="E1828" s="3"/>
      <c r="F1828" s="3"/>
      <c r="G1828" s="3"/>
      <c r="H1828" s="3"/>
      <c r="I1828" s="3"/>
      <c r="J1828" s="3"/>
      <c r="K1828" s="3"/>
      <c r="L1828" s="3"/>
      <c r="M1828" s="3"/>
    </row>
    <row r="1829" spans="1:13" s="33" customFormat="1">
      <c r="A1829" s="71"/>
      <c r="B1829" s="3"/>
      <c r="C1829" s="3"/>
      <c r="D1829" s="3"/>
      <c r="E1829" s="3"/>
      <c r="F1829" s="3"/>
      <c r="G1829" s="3"/>
      <c r="H1829" s="3"/>
      <c r="I1829" s="3"/>
      <c r="J1829" s="3"/>
      <c r="K1829" s="3"/>
      <c r="L1829" s="3"/>
      <c r="M1829" s="3"/>
    </row>
    <row r="1830" spans="1:13" s="33" customFormat="1">
      <c r="A1830" s="71"/>
      <c r="B1830" s="3"/>
      <c r="C1830" s="3"/>
      <c r="D1830" s="3"/>
      <c r="E1830" s="3"/>
      <c r="F1830" s="3"/>
      <c r="G1830" s="3"/>
      <c r="H1830" s="3"/>
      <c r="I1830" s="3"/>
      <c r="J1830" s="3"/>
      <c r="K1830" s="3"/>
      <c r="L1830" s="3"/>
      <c r="M1830" s="3"/>
    </row>
    <row r="1831" spans="1:13" s="33" customFormat="1">
      <c r="A1831" s="71"/>
      <c r="B1831" s="3"/>
      <c r="C1831" s="3"/>
      <c r="D1831" s="3"/>
      <c r="E1831" s="3"/>
      <c r="F1831" s="3"/>
      <c r="G1831" s="3"/>
      <c r="H1831" s="3"/>
      <c r="I1831" s="3"/>
      <c r="J1831" s="3"/>
      <c r="K1831" s="3"/>
      <c r="L1831" s="3"/>
      <c r="M1831" s="3"/>
    </row>
    <row r="1832" spans="1:13" s="33" customFormat="1">
      <c r="A1832" s="71"/>
      <c r="B1832" s="3"/>
      <c r="C1832" s="3"/>
      <c r="D1832" s="3"/>
      <c r="E1832" s="3"/>
      <c r="F1832" s="3"/>
      <c r="G1832" s="3"/>
      <c r="H1832" s="3"/>
      <c r="I1832" s="3"/>
      <c r="J1832" s="3"/>
      <c r="K1832" s="3"/>
      <c r="L1832" s="3"/>
      <c r="M1832" s="3"/>
    </row>
    <row r="1833" spans="1:13" s="33" customFormat="1">
      <c r="A1833" s="71"/>
      <c r="B1833" s="3"/>
      <c r="C1833" s="3"/>
      <c r="D1833" s="3"/>
      <c r="E1833" s="3"/>
      <c r="F1833" s="3"/>
      <c r="G1833" s="3"/>
      <c r="H1833" s="3"/>
      <c r="I1833" s="3"/>
      <c r="J1833" s="3"/>
      <c r="K1833" s="3"/>
      <c r="L1833" s="3"/>
      <c r="M1833" s="3"/>
    </row>
    <row r="1834" spans="1:13" s="33" customFormat="1">
      <c r="A1834" s="71"/>
      <c r="B1834" s="3"/>
      <c r="C1834" s="3"/>
      <c r="D1834" s="3"/>
      <c r="E1834" s="3"/>
      <c r="F1834" s="3"/>
      <c r="G1834" s="3"/>
      <c r="H1834" s="3"/>
      <c r="I1834" s="3"/>
      <c r="J1834" s="3"/>
      <c r="K1834" s="3"/>
      <c r="L1834" s="3"/>
      <c r="M1834" s="3"/>
    </row>
    <row r="1835" spans="1:13" s="33" customFormat="1">
      <c r="A1835" s="71"/>
      <c r="B1835" s="3"/>
      <c r="C1835" s="3"/>
      <c r="D1835" s="3"/>
      <c r="E1835" s="3"/>
      <c r="F1835" s="3"/>
      <c r="G1835" s="3"/>
      <c r="H1835" s="3"/>
      <c r="I1835" s="3"/>
      <c r="J1835" s="3"/>
      <c r="K1835" s="3"/>
      <c r="L1835" s="3"/>
      <c r="M1835" s="3"/>
    </row>
    <row r="1836" spans="1:13" s="33" customFormat="1">
      <c r="A1836" s="71"/>
      <c r="B1836" s="3"/>
      <c r="C1836" s="3"/>
      <c r="D1836" s="3"/>
      <c r="E1836" s="3"/>
      <c r="F1836" s="3"/>
      <c r="G1836" s="3"/>
      <c r="H1836" s="3"/>
      <c r="I1836" s="3"/>
      <c r="J1836" s="3"/>
      <c r="K1836" s="3"/>
      <c r="L1836" s="3"/>
      <c r="M1836" s="3"/>
    </row>
    <row r="1837" spans="1:13" s="33" customFormat="1">
      <c r="A1837" s="71"/>
      <c r="B1837" s="3"/>
      <c r="C1837" s="3"/>
      <c r="D1837" s="3"/>
      <c r="E1837" s="3"/>
      <c r="F1837" s="3"/>
      <c r="G1837" s="3"/>
      <c r="H1837" s="3"/>
      <c r="I1837" s="3"/>
      <c r="J1837" s="3"/>
      <c r="K1837" s="3"/>
      <c r="L1837" s="3"/>
      <c r="M1837" s="3"/>
    </row>
    <row r="1838" spans="1:13" s="33" customFormat="1">
      <c r="A1838" s="71"/>
      <c r="B1838" s="3"/>
      <c r="C1838" s="3"/>
      <c r="D1838" s="3"/>
      <c r="E1838" s="3"/>
      <c r="F1838" s="3"/>
      <c r="G1838" s="3"/>
      <c r="H1838" s="3"/>
      <c r="I1838" s="3"/>
      <c r="J1838" s="3"/>
      <c r="K1838" s="3"/>
      <c r="L1838" s="3"/>
      <c r="M1838" s="3"/>
    </row>
    <row r="1839" spans="1:13" s="33" customFormat="1">
      <c r="A1839" s="71"/>
      <c r="B1839" s="3"/>
      <c r="C1839" s="3"/>
      <c r="D1839" s="3"/>
      <c r="E1839" s="3"/>
      <c r="F1839" s="3"/>
      <c r="G1839" s="3"/>
      <c r="H1839" s="3"/>
      <c r="I1839" s="3"/>
      <c r="J1839" s="3"/>
      <c r="K1839" s="3"/>
      <c r="L1839" s="3"/>
      <c r="M1839" s="3"/>
    </row>
    <row r="1840" spans="1:13" s="33" customFormat="1">
      <c r="A1840" s="71"/>
      <c r="B1840" s="3"/>
      <c r="C1840" s="3"/>
      <c r="D1840" s="3"/>
      <c r="E1840" s="3"/>
      <c r="F1840" s="3"/>
      <c r="G1840" s="3"/>
      <c r="H1840" s="3"/>
      <c r="I1840" s="3"/>
      <c r="J1840" s="3"/>
      <c r="K1840" s="3"/>
      <c r="L1840" s="3"/>
      <c r="M1840" s="3"/>
    </row>
    <row r="1841" spans="1:13" s="33" customFormat="1">
      <c r="A1841" s="71"/>
      <c r="B1841" s="3"/>
      <c r="C1841" s="3"/>
      <c r="D1841" s="3"/>
      <c r="E1841" s="3"/>
      <c r="F1841" s="3"/>
      <c r="G1841" s="3"/>
      <c r="H1841" s="3"/>
      <c r="I1841" s="3"/>
      <c r="J1841" s="3"/>
      <c r="K1841" s="3"/>
      <c r="L1841" s="3"/>
      <c r="M1841" s="3"/>
    </row>
    <row r="1842" spans="1:13" s="33" customFormat="1">
      <c r="A1842" s="71"/>
      <c r="B1842" s="3"/>
      <c r="C1842" s="3"/>
      <c r="D1842" s="3"/>
      <c r="E1842" s="3"/>
      <c r="F1842" s="3"/>
      <c r="G1842" s="3"/>
      <c r="H1842" s="3"/>
      <c r="I1842" s="3"/>
      <c r="J1842" s="3"/>
      <c r="K1842" s="3"/>
      <c r="L1842" s="3"/>
      <c r="M1842" s="3"/>
    </row>
    <row r="1843" spans="1:13" s="33" customFormat="1">
      <c r="A1843" s="71"/>
      <c r="B1843" s="3"/>
      <c r="C1843" s="3"/>
      <c r="D1843" s="3"/>
      <c r="E1843" s="3"/>
      <c r="F1843" s="3"/>
      <c r="G1843" s="3"/>
      <c r="H1843" s="3"/>
      <c r="I1843" s="3"/>
      <c r="J1843" s="3"/>
      <c r="K1843" s="3"/>
      <c r="L1843" s="3"/>
      <c r="M1843" s="3"/>
    </row>
    <row r="1844" spans="1:13" s="33" customFormat="1">
      <c r="A1844" s="71"/>
      <c r="B1844" s="3"/>
      <c r="C1844" s="3"/>
      <c r="D1844" s="3"/>
      <c r="E1844" s="3"/>
      <c r="F1844" s="3"/>
      <c r="G1844" s="3"/>
      <c r="H1844" s="3"/>
      <c r="I1844" s="3"/>
      <c r="J1844" s="3"/>
      <c r="K1844" s="3"/>
      <c r="L1844" s="3"/>
      <c r="M1844" s="3"/>
    </row>
    <row r="1845" spans="1:13" s="33" customFormat="1">
      <c r="A1845" s="71"/>
      <c r="B1845" s="3"/>
      <c r="C1845" s="3"/>
      <c r="D1845" s="3"/>
      <c r="E1845" s="3"/>
      <c r="F1845" s="3"/>
      <c r="G1845" s="3"/>
      <c r="H1845" s="3"/>
      <c r="I1845" s="3"/>
      <c r="J1845" s="3"/>
      <c r="K1845" s="3"/>
      <c r="L1845" s="3"/>
      <c r="M1845" s="3"/>
    </row>
    <row r="1846" spans="1:13" s="33" customFormat="1">
      <c r="A1846" s="71"/>
      <c r="B1846" s="3"/>
      <c r="C1846" s="3"/>
      <c r="D1846" s="3"/>
      <c r="E1846" s="3"/>
      <c r="F1846" s="3"/>
      <c r="G1846" s="3"/>
      <c r="H1846" s="3"/>
      <c r="I1846" s="3"/>
      <c r="J1846" s="3"/>
      <c r="K1846" s="3"/>
      <c r="L1846" s="3"/>
      <c r="M1846" s="3"/>
    </row>
    <row r="1847" spans="1:13" s="33" customFormat="1">
      <c r="A1847" s="71"/>
      <c r="B1847" s="3"/>
      <c r="C1847" s="3"/>
      <c r="D1847" s="3"/>
      <c r="E1847" s="3"/>
      <c r="F1847" s="3"/>
      <c r="G1847" s="3"/>
      <c r="H1847" s="3"/>
      <c r="I1847" s="3"/>
      <c r="J1847" s="3"/>
      <c r="K1847" s="3"/>
      <c r="L1847" s="3"/>
      <c r="M1847" s="3"/>
    </row>
    <row r="1848" spans="1:13" s="33" customFormat="1">
      <c r="A1848" s="71"/>
      <c r="B1848" s="3"/>
      <c r="C1848" s="3"/>
      <c r="D1848" s="3"/>
      <c r="E1848" s="3"/>
      <c r="F1848" s="3"/>
      <c r="G1848" s="3"/>
      <c r="H1848" s="3"/>
      <c r="I1848" s="3"/>
      <c r="J1848" s="3"/>
      <c r="K1848" s="3"/>
      <c r="L1848" s="3"/>
      <c r="M1848" s="3"/>
    </row>
    <row r="1849" spans="1:13" s="33" customFormat="1">
      <c r="A1849" s="71"/>
      <c r="B1849" s="3"/>
      <c r="C1849" s="3"/>
      <c r="D1849" s="3"/>
      <c r="E1849" s="3"/>
      <c r="F1849" s="3"/>
      <c r="G1849" s="3"/>
      <c r="H1849" s="3"/>
      <c r="I1849" s="3"/>
      <c r="J1849" s="3"/>
      <c r="K1849" s="3"/>
      <c r="L1849" s="3"/>
      <c r="M1849" s="3"/>
    </row>
    <row r="1850" spans="1:13" s="33" customFormat="1">
      <c r="A1850" s="71"/>
      <c r="B1850" s="3"/>
      <c r="C1850" s="3"/>
      <c r="D1850" s="3"/>
      <c r="E1850" s="3"/>
      <c r="F1850" s="3"/>
      <c r="G1850" s="3"/>
      <c r="H1850" s="3"/>
      <c r="I1850" s="3"/>
      <c r="J1850" s="3"/>
      <c r="K1850" s="3"/>
      <c r="L1850" s="3"/>
      <c r="M1850" s="3"/>
    </row>
    <row r="1851" spans="1:13" s="33" customFormat="1">
      <c r="A1851" s="71"/>
      <c r="B1851" s="3"/>
      <c r="C1851" s="3"/>
      <c r="D1851" s="3"/>
      <c r="E1851" s="3"/>
      <c r="F1851" s="3"/>
      <c r="G1851" s="3"/>
      <c r="H1851" s="3"/>
      <c r="I1851" s="3"/>
      <c r="J1851" s="3"/>
      <c r="K1851" s="3"/>
      <c r="L1851" s="3"/>
      <c r="M1851" s="3"/>
    </row>
    <row r="1852" spans="1:13" s="33" customFormat="1">
      <c r="A1852" s="71"/>
      <c r="B1852" s="3"/>
      <c r="C1852" s="3"/>
      <c r="D1852" s="3"/>
      <c r="E1852" s="3"/>
      <c r="F1852" s="3"/>
      <c r="G1852" s="3"/>
      <c r="H1852" s="3"/>
      <c r="I1852" s="3"/>
      <c r="J1852" s="3"/>
      <c r="K1852" s="3"/>
      <c r="L1852" s="3"/>
      <c r="M1852" s="3"/>
    </row>
    <row r="1853" spans="1:13" s="33" customFormat="1">
      <c r="A1853" s="71"/>
      <c r="B1853" s="3"/>
      <c r="C1853" s="3"/>
      <c r="D1853" s="3"/>
      <c r="E1853" s="3"/>
      <c r="F1853" s="3"/>
      <c r="G1853" s="3"/>
      <c r="H1853" s="3"/>
      <c r="I1853" s="3"/>
      <c r="J1853" s="3"/>
      <c r="K1853" s="3"/>
      <c r="L1853" s="3"/>
      <c r="M1853" s="3"/>
    </row>
    <row r="1854" spans="1:13" s="33" customFormat="1">
      <c r="A1854" s="71"/>
      <c r="B1854" s="3"/>
      <c r="C1854" s="3"/>
      <c r="D1854" s="3"/>
      <c r="E1854" s="3"/>
      <c r="F1854" s="3"/>
      <c r="G1854" s="3"/>
      <c r="H1854" s="3"/>
      <c r="I1854" s="3"/>
      <c r="J1854" s="3"/>
      <c r="K1854" s="3"/>
      <c r="L1854" s="3"/>
      <c r="M1854" s="3"/>
    </row>
    <row r="1855" spans="1:13" s="33" customFormat="1">
      <c r="A1855" s="71"/>
      <c r="B1855" s="3"/>
      <c r="C1855" s="3"/>
      <c r="D1855" s="3"/>
      <c r="E1855" s="3"/>
      <c r="F1855" s="3"/>
      <c r="G1855" s="3"/>
      <c r="H1855" s="3"/>
      <c r="I1855" s="3"/>
      <c r="J1855" s="3"/>
      <c r="K1855" s="3"/>
      <c r="L1855" s="3"/>
      <c r="M1855" s="3"/>
    </row>
    <row r="1856" spans="1:13" s="33" customFormat="1">
      <c r="A1856" s="71"/>
      <c r="B1856" s="3"/>
      <c r="C1856" s="3"/>
      <c r="D1856" s="3"/>
      <c r="E1856" s="3"/>
      <c r="F1856" s="3"/>
      <c r="G1856" s="3"/>
      <c r="H1856" s="3"/>
      <c r="I1856" s="3"/>
      <c r="J1856" s="3"/>
      <c r="K1856" s="3"/>
      <c r="L1856" s="3"/>
      <c r="M1856" s="3"/>
    </row>
    <row r="1857" spans="1:13" s="33" customFormat="1">
      <c r="A1857" s="71"/>
      <c r="B1857" s="3"/>
      <c r="C1857" s="3"/>
      <c r="D1857" s="3"/>
      <c r="E1857" s="3"/>
      <c r="F1857" s="3"/>
      <c r="G1857" s="3"/>
      <c r="H1857" s="3"/>
      <c r="I1857" s="3"/>
      <c r="J1857" s="3"/>
      <c r="K1857" s="3"/>
      <c r="L1857" s="3"/>
      <c r="M1857" s="3"/>
    </row>
    <row r="1858" spans="1:13" s="33" customFormat="1">
      <c r="A1858" s="71"/>
      <c r="B1858" s="3"/>
      <c r="C1858" s="3"/>
      <c r="D1858" s="3"/>
      <c r="E1858" s="3"/>
      <c r="F1858" s="3"/>
      <c r="G1858" s="3"/>
      <c r="H1858" s="3"/>
      <c r="I1858" s="3"/>
      <c r="J1858" s="3"/>
      <c r="K1858" s="3"/>
      <c r="L1858" s="3"/>
      <c r="M1858" s="3"/>
    </row>
    <row r="1859" spans="1:13" s="33" customFormat="1">
      <c r="A1859" s="71"/>
      <c r="B1859" s="3"/>
      <c r="C1859" s="3"/>
      <c r="D1859" s="3"/>
      <c r="E1859" s="3"/>
      <c r="F1859" s="3"/>
      <c r="G1859" s="3"/>
      <c r="H1859" s="3"/>
      <c r="I1859" s="3"/>
      <c r="J1859" s="3"/>
      <c r="K1859" s="3"/>
      <c r="L1859" s="3"/>
      <c r="M1859" s="3"/>
    </row>
    <row r="1860" spans="1:13" s="33" customFormat="1">
      <c r="A1860" s="71"/>
      <c r="B1860" s="3"/>
      <c r="C1860" s="3"/>
      <c r="D1860" s="3"/>
      <c r="E1860" s="3"/>
      <c r="F1860" s="3"/>
      <c r="G1860" s="3"/>
      <c r="H1860" s="3"/>
      <c r="I1860" s="3"/>
      <c r="J1860" s="3"/>
      <c r="K1860" s="3"/>
      <c r="L1860" s="3"/>
      <c r="M1860" s="3"/>
    </row>
    <row r="1861" spans="1:13" s="33" customFormat="1">
      <c r="A1861" s="71"/>
      <c r="B1861" s="3"/>
      <c r="C1861" s="3"/>
      <c r="D1861" s="3"/>
      <c r="E1861" s="3"/>
      <c r="F1861" s="3"/>
      <c r="G1861" s="3"/>
      <c r="H1861" s="3"/>
      <c r="I1861" s="3"/>
      <c r="J1861" s="3"/>
      <c r="K1861" s="3"/>
      <c r="L1861" s="3"/>
      <c r="M1861" s="3"/>
    </row>
    <row r="1862" spans="1:13" s="33" customFormat="1">
      <c r="A1862" s="71"/>
      <c r="B1862" s="3"/>
      <c r="C1862" s="3"/>
      <c r="D1862" s="3"/>
      <c r="E1862" s="3"/>
      <c r="F1862" s="3"/>
      <c r="G1862" s="3"/>
      <c r="H1862" s="3"/>
      <c r="I1862" s="3"/>
      <c r="J1862" s="3"/>
      <c r="K1862" s="3"/>
      <c r="L1862" s="3"/>
      <c r="M1862" s="3"/>
    </row>
    <row r="1863" spans="1:13" s="33" customFormat="1">
      <c r="A1863" s="71"/>
      <c r="B1863" s="3"/>
      <c r="C1863" s="3"/>
      <c r="D1863" s="3"/>
      <c r="E1863" s="3"/>
      <c r="F1863" s="3"/>
      <c r="G1863" s="3"/>
      <c r="H1863" s="3"/>
      <c r="I1863" s="3"/>
      <c r="J1863" s="3"/>
      <c r="K1863" s="3"/>
      <c r="L1863" s="3"/>
      <c r="M1863" s="3"/>
    </row>
    <row r="1864" spans="1:13" s="33" customFormat="1">
      <c r="A1864" s="71"/>
      <c r="B1864" s="3"/>
      <c r="C1864" s="3"/>
      <c r="D1864" s="3"/>
      <c r="E1864" s="3"/>
      <c r="F1864" s="3"/>
      <c r="G1864" s="3"/>
      <c r="H1864" s="3"/>
      <c r="I1864" s="3"/>
      <c r="J1864" s="3"/>
      <c r="K1864" s="3"/>
      <c r="L1864" s="3"/>
      <c r="M1864" s="3"/>
    </row>
    <row r="1865" spans="1:13" s="33" customFormat="1">
      <c r="A1865" s="71"/>
      <c r="B1865" s="3"/>
      <c r="C1865" s="3"/>
      <c r="D1865" s="3"/>
      <c r="E1865" s="3"/>
      <c r="F1865" s="3"/>
      <c r="G1865" s="3"/>
      <c r="H1865" s="3"/>
      <c r="I1865" s="3"/>
      <c r="J1865" s="3"/>
      <c r="K1865" s="3"/>
      <c r="L1865" s="3"/>
      <c r="M1865" s="3"/>
    </row>
    <row r="1866" spans="1:13" s="33" customFormat="1">
      <c r="A1866" s="71"/>
      <c r="B1866" s="3"/>
      <c r="C1866" s="3"/>
      <c r="D1866" s="3"/>
      <c r="E1866" s="3"/>
      <c r="F1866" s="3"/>
      <c r="G1866" s="3"/>
      <c r="H1866" s="3"/>
      <c r="I1866" s="3"/>
      <c r="J1866" s="3"/>
      <c r="K1866" s="3"/>
      <c r="L1866" s="3"/>
      <c r="M1866" s="3"/>
    </row>
    <row r="1867" spans="1:13" s="33" customFormat="1">
      <c r="A1867" s="71"/>
      <c r="B1867" s="3"/>
      <c r="C1867" s="3"/>
      <c r="D1867" s="3"/>
      <c r="E1867" s="3"/>
      <c r="F1867" s="3"/>
      <c r="G1867" s="3"/>
      <c r="H1867" s="3"/>
      <c r="I1867" s="3"/>
      <c r="J1867" s="3"/>
      <c r="K1867" s="3"/>
      <c r="L1867" s="3"/>
      <c r="M1867" s="3"/>
    </row>
    <row r="1868" spans="1:13" s="33" customFormat="1">
      <c r="A1868" s="71"/>
      <c r="B1868" s="3"/>
      <c r="C1868" s="3"/>
      <c r="D1868" s="3"/>
      <c r="E1868" s="3"/>
      <c r="F1868" s="3"/>
      <c r="G1868" s="3"/>
      <c r="H1868" s="3"/>
      <c r="I1868" s="3"/>
      <c r="J1868" s="3"/>
      <c r="K1868" s="3"/>
      <c r="L1868" s="3"/>
      <c r="M1868" s="3"/>
    </row>
    <row r="1869" spans="1:13" s="33" customFormat="1">
      <c r="A1869" s="71"/>
      <c r="B1869" s="3"/>
      <c r="C1869" s="3"/>
      <c r="D1869" s="3"/>
      <c r="E1869" s="3"/>
      <c r="F1869" s="3"/>
      <c r="G1869" s="3"/>
      <c r="H1869" s="3"/>
      <c r="I1869" s="3"/>
      <c r="J1869" s="3"/>
      <c r="K1869" s="3"/>
      <c r="L1869" s="3"/>
      <c r="M1869" s="3"/>
    </row>
    <row r="1870" spans="1:13" s="33" customFormat="1">
      <c r="A1870" s="71"/>
      <c r="B1870" s="3"/>
      <c r="C1870" s="3"/>
      <c r="D1870" s="3"/>
      <c r="E1870" s="3"/>
      <c r="F1870" s="3"/>
      <c r="G1870" s="3"/>
      <c r="H1870" s="3"/>
      <c r="I1870" s="3"/>
      <c r="J1870" s="3"/>
      <c r="K1870" s="3"/>
      <c r="L1870" s="3"/>
      <c r="M1870" s="3"/>
    </row>
    <row r="1871" spans="1:13" s="33" customFormat="1">
      <c r="A1871" s="71"/>
      <c r="B1871" s="3"/>
      <c r="C1871" s="3"/>
      <c r="D1871" s="3"/>
      <c r="E1871" s="3"/>
      <c r="F1871" s="3"/>
      <c r="G1871" s="3"/>
      <c r="H1871" s="3"/>
      <c r="I1871" s="3"/>
      <c r="J1871" s="3"/>
      <c r="K1871" s="3"/>
      <c r="L1871" s="3"/>
      <c r="M1871" s="3"/>
    </row>
    <row r="1872" spans="1:13" s="33" customFormat="1">
      <c r="A1872" s="71"/>
      <c r="B1872" s="3"/>
      <c r="C1872" s="3"/>
      <c r="D1872" s="3"/>
      <c r="E1872" s="3"/>
      <c r="F1872" s="3"/>
      <c r="G1872" s="3"/>
      <c r="H1872" s="3"/>
      <c r="I1872" s="3"/>
      <c r="J1872" s="3"/>
      <c r="K1872" s="3"/>
      <c r="L1872" s="3"/>
      <c r="M1872" s="3"/>
    </row>
    <row r="1873" spans="1:13" s="33" customFormat="1">
      <c r="A1873" s="71"/>
      <c r="B1873" s="3"/>
      <c r="C1873" s="3"/>
      <c r="D1873" s="3"/>
      <c r="E1873" s="3"/>
      <c r="F1873" s="3"/>
      <c r="G1873" s="3"/>
      <c r="H1873" s="3"/>
      <c r="I1873" s="3"/>
      <c r="J1873" s="3"/>
      <c r="K1873" s="3"/>
      <c r="L1873" s="3"/>
      <c r="M1873" s="3"/>
    </row>
    <row r="1874" spans="1:13" s="33" customFormat="1">
      <c r="A1874" s="71"/>
      <c r="B1874" s="3"/>
      <c r="C1874" s="3"/>
      <c r="D1874" s="3"/>
      <c r="E1874" s="3"/>
      <c r="F1874" s="3"/>
      <c r="G1874" s="3"/>
      <c r="H1874" s="3"/>
      <c r="I1874" s="3"/>
      <c r="J1874" s="3"/>
      <c r="K1874" s="3"/>
      <c r="L1874" s="3"/>
      <c r="M1874" s="3"/>
    </row>
    <row r="1875" spans="1:13" s="33" customFormat="1">
      <c r="A1875" s="71"/>
      <c r="B1875" s="3"/>
      <c r="C1875" s="3"/>
      <c r="D1875" s="3"/>
      <c r="E1875" s="3"/>
      <c r="F1875" s="3"/>
      <c r="G1875" s="3"/>
      <c r="H1875" s="3"/>
      <c r="I1875" s="3"/>
      <c r="J1875" s="3"/>
      <c r="K1875" s="3"/>
      <c r="L1875" s="3"/>
      <c r="M1875" s="3"/>
    </row>
    <row r="1876" spans="1:13" s="33" customFormat="1">
      <c r="A1876" s="71"/>
      <c r="B1876" s="3"/>
      <c r="C1876" s="3"/>
      <c r="D1876" s="3"/>
      <c r="E1876" s="3"/>
      <c r="F1876" s="3"/>
      <c r="G1876" s="3"/>
      <c r="H1876" s="3"/>
      <c r="I1876" s="3"/>
      <c r="J1876" s="3"/>
      <c r="K1876" s="3"/>
      <c r="L1876" s="3"/>
      <c r="M1876" s="3"/>
    </row>
    <row r="1877" spans="1:13" s="33" customFormat="1">
      <c r="A1877" s="71"/>
      <c r="B1877" s="3"/>
      <c r="C1877" s="3"/>
      <c r="D1877" s="3"/>
      <c r="E1877" s="3"/>
      <c r="F1877" s="3"/>
      <c r="G1877" s="3"/>
      <c r="H1877" s="3"/>
      <c r="I1877" s="3"/>
      <c r="J1877" s="3"/>
      <c r="K1877" s="3"/>
      <c r="L1877" s="3"/>
      <c r="M1877" s="3"/>
    </row>
    <row r="1878" spans="1:13" s="33" customFormat="1">
      <c r="A1878" s="71"/>
      <c r="B1878" s="3"/>
      <c r="C1878" s="3"/>
      <c r="D1878" s="3"/>
      <c r="E1878" s="3"/>
      <c r="F1878" s="3"/>
      <c r="G1878" s="3"/>
      <c r="H1878" s="3"/>
      <c r="I1878" s="3"/>
      <c r="J1878" s="3"/>
      <c r="K1878" s="3"/>
      <c r="L1878" s="3"/>
      <c r="M1878" s="3"/>
    </row>
    <row r="1879" spans="1:13" s="33" customFormat="1">
      <c r="A1879" s="71"/>
      <c r="B1879" s="3"/>
      <c r="C1879" s="3"/>
      <c r="D1879" s="3"/>
      <c r="E1879" s="3"/>
      <c r="F1879" s="3"/>
      <c r="G1879" s="3"/>
      <c r="H1879" s="3"/>
      <c r="I1879" s="3"/>
      <c r="J1879" s="3"/>
      <c r="K1879" s="3"/>
      <c r="L1879" s="3"/>
      <c r="M1879" s="3"/>
    </row>
    <row r="1880" spans="1:13" s="33" customFormat="1">
      <c r="A1880" s="71"/>
      <c r="B1880" s="3"/>
      <c r="C1880" s="3"/>
      <c r="D1880" s="3"/>
      <c r="E1880" s="3"/>
      <c r="F1880" s="3"/>
      <c r="G1880" s="3"/>
      <c r="H1880" s="3"/>
      <c r="I1880" s="3"/>
      <c r="J1880" s="3"/>
      <c r="K1880" s="3"/>
      <c r="L1880" s="3"/>
      <c r="M1880" s="3"/>
    </row>
    <row r="1881" spans="1:13" s="33" customFormat="1">
      <c r="A1881" s="71"/>
      <c r="B1881" s="3"/>
      <c r="C1881" s="3"/>
      <c r="D1881" s="3"/>
      <c r="E1881" s="3"/>
      <c r="F1881" s="3"/>
      <c r="G1881" s="3"/>
      <c r="H1881" s="3"/>
      <c r="I1881" s="3"/>
      <c r="J1881" s="3"/>
      <c r="K1881" s="3"/>
      <c r="L1881" s="3"/>
      <c r="M1881" s="3"/>
    </row>
    <row r="1882" spans="1:13" s="33" customFormat="1">
      <c r="A1882" s="71"/>
      <c r="B1882" s="3"/>
      <c r="C1882" s="3"/>
      <c r="D1882" s="3"/>
      <c r="E1882" s="3"/>
      <c r="F1882" s="3"/>
      <c r="G1882" s="3"/>
      <c r="H1882" s="3"/>
      <c r="I1882" s="3"/>
      <c r="J1882" s="3"/>
      <c r="K1882" s="3"/>
      <c r="L1882" s="3"/>
      <c r="M1882" s="3"/>
    </row>
    <row r="1883" spans="1:13" s="33" customFormat="1">
      <c r="A1883" s="71"/>
      <c r="B1883" s="3"/>
      <c r="C1883" s="3"/>
      <c r="D1883" s="3"/>
      <c r="E1883" s="3"/>
      <c r="F1883" s="3"/>
      <c r="G1883" s="3"/>
      <c r="H1883" s="3"/>
      <c r="I1883" s="3"/>
      <c r="J1883" s="3"/>
      <c r="K1883" s="3"/>
      <c r="L1883" s="3"/>
      <c r="M1883" s="3"/>
    </row>
    <row r="1884" spans="1:13" s="33" customFormat="1">
      <c r="A1884" s="71"/>
      <c r="B1884" s="3"/>
      <c r="C1884" s="3"/>
      <c r="D1884" s="3"/>
      <c r="E1884" s="3"/>
      <c r="F1884" s="3"/>
      <c r="G1884" s="3"/>
      <c r="H1884" s="3"/>
      <c r="I1884" s="3"/>
      <c r="J1884" s="3"/>
      <c r="K1884" s="3"/>
      <c r="L1884" s="3"/>
      <c r="M1884" s="3"/>
    </row>
    <row r="1885" spans="1:13" s="33" customFormat="1">
      <c r="A1885" s="71"/>
      <c r="B1885" s="3"/>
      <c r="C1885" s="3"/>
      <c r="D1885" s="3"/>
      <c r="E1885" s="3"/>
      <c r="F1885" s="3"/>
      <c r="G1885" s="3"/>
      <c r="H1885" s="3"/>
      <c r="I1885" s="3"/>
      <c r="J1885" s="3"/>
      <c r="K1885" s="3"/>
      <c r="L1885" s="3"/>
      <c r="M1885" s="3"/>
    </row>
    <row r="1886" spans="1:13" s="33" customFormat="1">
      <c r="A1886" s="71"/>
      <c r="B1886" s="3"/>
      <c r="C1886" s="3"/>
      <c r="D1886" s="3"/>
      <c r="E1886" s="3"/>
      <c r="F1886" s="3"/>
      <c r="G1886" s="3"/>
      <c r="H1886" s="3"/>
      <c r="I1886" s="3"/>
      <c r="J1886" s="3"/>
      <c r="K1886" s="3"/>
      <c r="L1886" s="3"/>
      <c r="M1886" s="3"/>
    </row>
    <row r="1887" spans="1:13" s="33" customFormat="1">
      <c r="A1887" s="71"/>
      <c r="B1887" s="3"/>
      <c r="C1887" s="3"/>
      <c r="D1887" s="3"/>
      <c r="E1887" s="3"/>
      <c r="F1887" s="3"/>
      <c r="G1887" s="3"/>
      <c r="H1887" s="3"/>
      <c r="I1887" s="3"/>
      <c r="J1887" s="3"/>
      <c r="K1887" s="3"/>
      <c r="L1887" s="3"/>
      <c r="M1887" s="3"/>
    </row>
    <row r="1888" spans="1:13" s="33" customFormat="1">
      <c r="A1888" s="71"/>
      <c r="B1888" s="3"/>
      <c r="C1888" s="3"/>
      <c r="D1888" s="3"/>
      <c r="E1888" s="3"/>
      <c r="F1888" s="3"/>
      <c r="G1888" s="3"/>
      <c r="H1888" s="3"/>
      <c r="I1888" s="3"/>
      <c r="J1888" s="3"/>
      <c r="K1888" s="3"/>
      <c r="L1888" s="3"/>
      <c r="M1888" s="3"/>
    </row>
    <row r="1889" spans="1:13" s="33" customFormat="1">
      <c r="A1889" s="71"/>
      <c r="B1889" s="3"/>
      <c r="C1889" s="3"/>
      <c r="D1889" s="3"/>
      <c r="E1889" s="3"/>
      <c r="F1889" s="3"/>
      <c r="G1889" s="3"/>
      <c r="H1889" s="3"/>
      <c r="I1889" s="3"/>
      <c r="J1889" s="3"/>
      <c r="K1889" s="3"/>
      <c r="L1889" s="3"/>
      <c r="M1889" s="3"/>
    </row>
    <row r="1890" spans="1:13" s="33" customFormat="1">
      <c r="A1890" s="71"/>
      <c r="B1890" s="3"/>
      <c r="C1890" s="3"/>
      <c r="D1890" s="3"/>
      <c r="E1890" s="3"/>
      <c r="F1890" s="3"/>
      <c r="G1890" s="3"/>
      <c r="H1890" s="3"/>
      <c r="I1890" s="3"/>
      <c r="J1890" s="3"/>
      <c r="K1890" s="3"/>
      <c r="L1890" s="3"/>
      <c r="M1890" s="3"/>
    </row>
    <row r="1891" spans="1:13" s="33" customFormat="1">
      <c r="A1891" s="71"/>
      <c r="B1891" s="3"/>
      <c r="C1891" s="3"/>
      <c r="D1891" s="3"/>
      <c r="E1891" s="3"/>
      <c r="F1891" s="3"/>
      <c r="G1891" s="3"/>
      <c r="H1891" s="3"/>
      <c r="I1891" s="3"/>
      <c r="J1891" s="3"/>
      <c r="K1891" s="3"/>
      <c r="L1891" s="3"/>
      <c r="M1891" s="3"/>
    </row>
    <row r="1892" spans="1:13" s="33" customFormat="1">
      <c r="A1892" s="71"/>
      <c r="B1892" s="3"/>
      <c r="C1892" s="3"/>
      <c r="D1892" s="3"/>
      <c r="E1892" s="3"/>
      <c r="F1892" s="3"/>
      <c r="G1892" s="3"/>
      <c r="H1892" s="3"/>
      <c r="I1892" s="3"/>
      <c r="J1892" s="3"/>
      <c r="K1892" s="3"/>
      <c r="L1892" s="3"/>
      <c r="M1892" s="3"/>
    </row>
    <row r="1893" spans="1:13" s="33" customFormat="1">
      <c r="A1893" s="71"/>
      <c r="B1893" s="3"/>
      <c r="C1893" s="3"/>
      <c r="D1893" s="3"/>
      <c r="E1893" s="3"/>
      <c r="F1893" s="3"/>
      <c r="G1893" s="3"/>
      <c r="H1893" s="3"/>
      <c r="I1893" s="3"/>
      <c r="J1893" s="3"/>
      <c r="K1893" s="3"/>
      <c r="L1893" s="3"/>
      <c r="M1893" s="3"/>
    </row>
    <row r="1894" spans="1:13" s="33" customFormat="1">
      <c r="A1894" s="71"/>
      <c r="B1894" s="3"/>
      <c r="C1894" s="3"/>
      <c r="D1894" s="3"/>
      <c r="E1894" s="3"/>
      <c r="F1894" s="3"/>
      <c r="G1894" s="3"/>
      <c r="H1894" s="3"/>
      <c r="I1894" s="3"/>
      <c r="J1894" s="3"/>
      <c r="K1894" s="3"/>
      <c r="L1894" s="3"/>
      <c r="M1894" s="3"/>
    </row>
    <row r="1895" spans="1:13" s="33" customFormat="1">
      <c r="A1895" s="71"/>
      <c r="B1895" s="3"/>
      <c r="C1895" s="3"/>
      <c r="D1895" s="3"/>
      <c r="E1895" s="3"/>
      <c r="F1895" s="3"/>
      <c r="G1895" s="3"/>
      <c r="H1895" s="3"/>
      <c r="I1895" s="3"/>
      <c r="J1895" s="3"/>
      <c r="K1895" s="3"/>
      <c r="L1895" s="3"/>
      <c r="M1895" s="3"/>
    </row>
    <row r="1896" spans="1:13" s="33" customFormat="1">
      <c r="A1896" s="71"/>
      <c r="B1896" s="3"/>
      <c r="C1896" s="3"/>
      <c r="D1896" s="3"/>
      <c r="E1896" s="3"/>
      <c r="F1896" s="3"/>
      <c r="G1896" s="3"/>
      <c r="H1896" s="3"/>
      <c r="I1896" s="3"/>
      <c r="J1896" s="3"/>
      <c r="K1896" s="3"/>
      <c r="L1896" s="3"/>
      <c r="M1896" s="3"/>
    </row>
    <row r="1897" spans="1:13" s="33" customFormat="1">
      <c r="A1897" s="71"/>
      <c r="B1897" s="3"/>
      <c r="C1897" s="3"/>
      <c r="D1897" s="3"/>
      <c r="E1897" s="3"/>
      <c r="F1897" s="3"/>
      <c r="G1897" s="3"/>
      <c r="H1897" s="3"/>
      <c r="I1897" s="3"/>
      <c r="J1897" s="3"/>
      <c r="K1897" s="3"/>
      <c r="L1897" s="3"/>
      <c r="M1897" s="3"/>
    </row>
    <row r="1898" spans="1:13" s="33" customFormat="1">
      <c r="A1898" s="71"/>
      <c r="B1898" s="3"/>
      <c r="C1898" s="3"/>
      <c r="D1898" s="3"/>
      <c r="E1898" s="3"/>
      <c r="F1898" s="3"/>
      <c r="G1898" s="3"/>
      <c r="H1898" s="3"/>
      <c r="I1898" s="3"/>
      <c r="J1898" s="3"/>
      <c r="K1898" s="3"/>
      <c r="L1898" s="3"/>
      <c r="M1898" s="3"/>
    </row>
    <row r="1899" spans="1:13" s="33" customFormat="1">
      <c r="A1899" s="71"/>
      <c r="B1899" s="3"/>
      <c r="C1899" s="3"/>
      <c r="D1899" s="3"/>
      <c r="E1899" s="3"/>
      <c r="F1899" s="3"/>
      <c r="G1899" s="3"/>
      <c r="H1899" s="3"/>
      <c r="I1899" s="3"/>
      <c r="J1899" s="3"/>
      <c r="K1899" s="3"/>
      <c r="L1899" s="3"/>
      <c r="M1899" s="3"/>
    </row>
    <row r="1900" spans="1:13" s="33" customFormat="1">
      <c r="A1900" s="71"/>
      <c r="B1900" s="3"/>
      <c r="C1900" s="3"/>
      <c r="D1900" s="3"/>
      <c r="E1900" s="3"/>
      <c r="F1900" s="3"/>
      <c r="G1900" s="3"/>
      <c r="H1900" s="3"/>
      <c r="I1900" s="3"/>
      <c r="J1900" s="3"/>
      <c r="K1900" s="3"/>
      <c r="L1900" s="3"/>
      <c r="M1900" s="3"/>
    </row>
    <row r="1901" spans="1:13" s="33" customFormat="1">
      <c r="A1901" s="71"/>
      <c r="B1901" s="3"/>
      <c r="C1901" s="3"/>
      <c r="D1901" s="3"/>
      <c r="E1901" s="3"/>
      <c r="F1901" s="3"/>
      <c r="G1901" s="3"/>
      <c r="H1901" s="3"/>
      <c r="I1901" s="3"/>
      <c r="J1901" s="3"/>
      <c r="K1901" s="3"/>
      <c r="L1901" s="3"/>
      <c r="M1901" s="3"/>
    </row>
    <row r="1902" spans="1:13" s="33" customFormat="1">
      <c r="A1902" s="71"/>
      <c r="B1902" s="3"/>
      <c r="C1902" s="3"/>
      <c r="D1902" s="3"/>
      <c r="E1902" s="3"/>
      <c r="F1902" s="3"/>
      <c r="G1902" s="3"/>
      <c r="H1902" s="3"/>
      <c r="I1902" s="3"/>
      <c r="J1902" s="3"/>
      <c r="K1902" s="3"/>
      <c r="L1902" s="3"/>
      <c r="M1902" s="3"/>
    </row>
    <row r="1903" spans="1:13" s="33" customFormat="1">
      <c r="A1903" s="71"/>
      <c r="B1903" s="3"/>
      <c r="C1903" s="3"/>
      <c r="D1903" s="3"/>
      <c r="E1903" s="3"/>
      <c r="F1903" s="3"/>
      <c r="G1903" s="3"/>
      <c r="H1903" s="3"/>
      <c r="I1903" s="3"/>
      <c r="J1903" s="3"/>
      <c r="K1903" s="3"/>
      <c r="L1903" s="3"/>
      <c r="M1903" s="3"/>
    </row>
    <row r="1904" spans="1:13" s="33" customFormat="1">
      <c r="A1904" s="71"/>
      <c r="B1904" s="3"/>
      <c r="C1904" s="3"/>
      <c r="D1904" s="3"/>
      <c r="E1904" s="3"/>
      <c r="F1904" s="3"/>
      <c r="G1904" s="3"/>
      <c r="H1904" s="3"/>
      <c r="I1904" s="3"/>
      <c r="J1904" s="3"/>
      <c r="K1904" s="3"/>
      <c r="L1904" s="3"/>
      <c r="M1904" s="3"/>
    </row>
    <row r="1905" spans="1:13" s="33" customFormat="1">
      <c r="A1905" s="71"/>
      <c r="B1905" s="3"/>
      <c r="C1905" s="3"/>
      <c r="D1905" s="3"/>
      <c r="E1905" s="3"/>
      <c r="F1905" s="3"/>
      <c r="G1905" s="3"/>
      <c r="H1905" s="3"/>
      <c r="I1905" s="3"/>
      <c r="J1905" s="3"/>
      <c r="K1905" s="3"/>
      <c r="L1905" s="3"/>
      <c r="M1905" s="3"/>
    </row>
    <row r="1906" spans="1:13" s="33" customFormat="1">
      <c r="A1906" s="71"/>
      <c r="B1906" s="3"/>
      <c r="C1906" s="3"/>
      <c r="D1906" s="3"/>
      <c r="E1906" s="3"/>
      <c r="F1906" s="3"/>
      <c r="G1906" s="3"/>
      <c r="H1906" s="3"/>
      <c r="I1906" s="3"/>
      <c r="J1906" s="3"/>
      <c r="K1906" s="3"/>
      <c r="L1906" s="3"/>
      <c r="M1906" s="3"/>
    </row>
  </sheetData>
  <mergeCells count="5">
    <mergeCell ref="K29:L29"/>
    <mergeCell ref="A1:I1"/>
    <mergeCell ref="A2:I2"/>
    <mergeCell ref="A3:I3"/>
    <mergeCell ref="I29:J29"/>
  </mergeCells>
  <printOptions horizontalCentered="1"/>
  <pageMargins left="0.75" right="0.75" top="1" bottom="1" header="0.5" footer="0.5"/>
  <pageSetup scale="73" firstPageNumber="3" orientation="landscape" horizontalDpi="4294967292" verticalDpi="4294967292" r:id="rId1"/>
  <headerFooter alignWithMargins="0">
    <oddFooter>&amp;LScot Chambers
&amp;D&amp;CPage _____&amp;R&amp;F
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51"/>
  <sheetViews>
    <sheetView zoomScale="85" workbookViewId="0"/>
  </sheetViews>
  <sheetFormatPr defaultRowHeight="12.75"/>
  <cols>
    <col min="1" max="1" width="9.140625" style="71"/>
    <col min="2" max="2" width="39.28515625" style="71" customWidth="1"/>
    <col min="3" max="3" width="18.7109375" style="71" customWidth="1"/>
    <col min="4" max="4" width="12" style="71" customWidth="1"/>
    <col min="5" max="5" width="9.140625" style="71"/>
    <col min="6" max="16384" width="9.140625" style="72"/>
  </cols>
  <sheetData>
    <row r="1" spans="1:37" ht="15.75">
      <c r="A1" s="10" t="str">
        <f>Scope!A1</f>
        <v>St Peter, Illinois (Ameren) Power Project, Rev 0</v>
      </c>
      <c r="B1" s="73"/>
      <c r="C1" s="73"/>
      <c r="D1" s="7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</row>
    <row r="2" spans="1:37" ht="15.75">
      <c r="A2" s="4" t="s">
        <v>115</v>
      </c>
      <c r="B2" s="73"/>
      <c r="C2" s="73"/>
      <c r="D2" s="7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</row>
    <row r="3" spans="1:37" ht="13.5" thickBot="1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</row>
    <row r="4" spans="1:37" ht="13.5" thickBot="1">
      <c r="A4" s="74"/>
      <c r="B4" s="75"/>
      <c r="C4" s="76"/>
      <c r="D4" s="77" t="s">
        <v>183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</row>
    <row r="5" spans="1:37">
      <c r="A5"/>
      <c r="B5" s="40"/>
      <c r="C5" s="78"/>
      <c r="D5" s="42"/>
      <c r="E5" s="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</row>
    <row r="6" spans="1:37">
      <c r="A6" s="39" t="s">
        <v>207</v>
      </c>
      <c r="B6" s="40"/>
      <c r="C6" s="78"/>
      <c r="D6" s="79">
        <f>Mob_Backup!H16</f>
        <v>19744.267076923075</v>
      </c>
      <c r="E6" s="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</row>
    <row r="7" spans="1:37">
      <c r="A7" s="39"/>
      <c r="B7" s="40"/>
      <c r="C7" s="78"/>
      <c r="D7" s="80"/>
      <c r="E7" s="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</row>
    <row r="8" spans="1:37">
      <c r="A8" s="45" t="s">
        <v>208</v>
      </c>
      <c r="B8" s="40"/>
      <c r="C8" s="78"/>
      <c r="D8" s="79">
        <f>Mob_Backup!H22</f>
        <v>148618.78253846156</v>
      </c>
      <c r="E8" s="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</row>
    <row r="9" spans="1:37">
      <c r="A9" s="39"/>
      <c r="B9" s="40"/>
      <c r="C9" s="78"/>
      <c r="D9" s="80"/>
      <c r="E9" s="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</row>
    <row r="10" spans="1:37">
      <c r="A10" s="39" t="s">
        <v>187</v>
      </c>
      <c r="B10" s="40"/>
      <c r="C10" s="78"/>
      <c r="D10" s="80"/>
      <c r="E10" s="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</row>
    <row r="11" spans="1:37">
      <c r="A11" s="3"/>
      <c r="B11" s="40" t="s">
        <v>209</v>
      </c>
      <c r="C11" s="81"/>
      <c r="D11" s="79">
        <f>Mob_Backup!H28</f>
        <v>12200</v>
      </c>
      <c r="E11" s="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</row>
    <row r="12" spans="1:37">
      <c r="A12" s="3"/>
      <c r="B12" s="40" t="s">
        <v>210</v>
      </c>
      <c r="C12" s="81"/>
      <c r="D12" s="79">
        <f>Mob_Backup!H36</f>
        <v>14500</v>
      </c>
      <c r="E12" s="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</row>
    <row r="13" spans="1:37">
      <c r="A13" s="3"/>
      <c r="B13" s="40" t="s">
        <v>211</v>
      </c>
      <c r="C13" s="81"/>
      <c r="D13" s="79">
        <f>Mob_Backup!H42</f>
        <v>27456</v>
      </c>
      <c r="E13" s="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</row>
    <row r="14" spans="1:37">
      <c r="A14" s="3"/>
      <c r="B14" s="40" t="s">
        <v>212</v>
      </c>
      <c r="C14" s="81"/>
      <c r="D14" s="79">
        <f>Mob_Backup!H60</f>
        <v>49240</v>
      </c>
      <c r="E14" s="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</row>
    <row r="15" spans="1:37">
      <c r="A15" s="3"/>
      <c r="B15" s="40" t="s">
        <v>213</v>
      </c>
      <c r="C15" s="81"/>
      <c r="D15" s="79">
        <f>Mob_Backup!H68</f>
        <v>8635.7142857142862</v>
      </c>
      <c r="E15" s="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</row>
    <row r="16" spans="1:37">
      <c r="A16" s="3"/>
      <c r="B16" s="40" t="s">
        <v>214</v>
      </c>
      <c r="C16" s="81"/>
      <c r="D16" s="79">
        <f>Mob_Backup!H74</f>
        <v>4780</v>
      </c>
      <c r="E16" s="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</row>
    <row r="17" spans="1:37">
      <c r="A17" s="3"/>
      <c r="B17" s="40" t="s">
        <v>215</v>
      </c>
      <c r="C17" s="81"/>
      <c r="D17" s="79">
        <f>Mob_Backup!H82</f>
        <v>4800</v>
      </c>
      <c r="E17" s="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</row>
    <row r="18" spans="1:37">
      <c r="A18" s="3"/>
      <c r="B18" s="40" t="s">
        <v>216</v>
      </c>
      <c r="C18" s="81"/>
      <c r="D18" s="79">
        <f>Mob_Backup!H99</f>
        <v>41732</v>
      </c>
      <c r="E18" s="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</row>
    <row r="19" spans="1:37">
      <c r="A19" s="3"/>
      <c r="B19" s="40" t="s">
        <v>217</v>
      </c>
      <c r="C19" s="81"/>
      <c r="D19" s="79">
        <f>Mob_Backup!H118</f>
        <v>61550</v>
      </c>
      <c r="E19" s="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</row>
    <row r="20" spans="1:37">
      <c r="A20" s="3"/>
      <c r="B20" s="40" t="s">
        <v>218</v>
      </c>
      <c r="C20" s="81"/>
      <c r="D20" s="79">
        <f>Mob_Backup!H121</f>
        <v>0</v>
      </c>
      <c r="E20" s="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</row>
    <row r="21" spans="1:37">
      <c r="A21" s="3"/>
      <c r="B21" s="20" t="s">
        <v>545</v>
      </c>
      <c r="C21" s="81"/>
      <c r="D21" s="79">
        <f ca="1">Mob_Backup!H126</f>
        <v>2551.9490713655559</v>
      </c>
      <c r="E21" s="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</row>
    <row r="22" spans="1:37">
      <c r="A22" s="3"/>
      <c r="B22" s="20" t="s">
        <v>220</v>
      </c>
      <c r="C22" s="81"/>
      <c r="D22" s="79">
        <f>Mob_Backup!H133</f>
        <v>15250</v>
      </c>
      <c r="E22" s="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</row>
    <row r="23" spans="1:37">
      <c r="A23" s="3"/>
      <c r="B23" s="40"/>
      <c r="C23" s="81"/>
      <c r="D23" s="80"/>
      <c r="E23" s="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</row>
    <row r="24" spans="1:37">
      <c r="A24" s="3"/>
      <c r="B24" s="45" t="s">
        <v>221</v>
      </c>
      <c r="C24" s="82"/>
      <c r="D24" s="79">
        <f ca="1">SUBTOTAL(9,D11:D23)</f>
        <v>242695.66335707984</v>
      </c>
      <c r="E24" s="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</row>
    <row r="25" spans="1:37">
      <c r="A25" s="3"/>
      <c r="B25" s="40"/>
      <c r="C25" s="81"/>
      <c r="D25" s="80"/>
      <c r="E25" s="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</row>
    <row r="26" spans="1:37">
      <c r="A26" s="3"/>
      <c r="B26" s="40"/>
      <c r="C26" s="81"/>
      <c r="D26" s="80"/>
      <c r="E26" s="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</row>
    <row r="27" spans="1:37">
      <c r="A27" s="39" t="s">
        <v>188</v>
      </c>
      <c r="B27" s="40"/>
      <c r="C27" s="81"/>
      <c r="D27" s="80"/>
      <c r="E27" s="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</row>
    <row r="28" spans="1:37">
      <c r="A28" s="3"/>
      <c r="B28" s="40" t="s">
        <v>222</v>
      </c>
      <c r="C28" s="81"/>
      <c r="D28" s="79">
        <f>Mob_Backup!H169</f>
        <v>85522.5</v>
      </c>
      <c r="E28" s="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</row>
    <row r="29" spans="1:37">
      <c r="A29" s="3"/>
      <c r="B29" s="40" t="s">
        <v>223</v>
      </c>
      <c r="C29" s="81"/>
      <c r="D29" s="79">
        <f>Mob_Backup!H183</f>
        <v>21420</v>
      </c>
      <c r="E29" s="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</row>
    <row r="30" spans="1:37">
      <c r="A30" s="3"/>
      <c r="B30" s="40" t="s">
        <v>224</v>
      </c>
      <c r="C30" s="81"/>
      <c r="D30" s="79">
        <f>Mob_Backup!H203</f>
        <v>12160</v>
      </c>
      <c r="E30" s="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</row>
    <row r="31" spans="1:37">
      <c r="A31" s="3"/>
      <c r="B31" s="40" t="s">
        <v>225</v>
      </c>
      <c r="C31" s="81"/>
      <c r="D31" s="79">
        <f>Mob_Backup!H211</f>
        <v>12075</v>
      </c>
      <c r="E31" s="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</row>
    <row r="32" spans="1:37">
      <c r="A32" s="3"/>
      <c r="B32" s="40" t="s">
        <v>226</v>
      </c>
      <c r="C32" s="81"/>
      <c r="D32" s="79">
        <f>Mob_Backup!H219</f>
        <v>6300</v>
      </c>
      <c r="E32" s="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</row>
    <row r="33" spans="1:37">
      <c r="A33" s="3"/>
      <c r="B33" s="40" t="s">
        <v>227</v>
      </c>
      <c r="C33" s="81"/>
      <c r="D33" s="79">
        <f>Mob_Backup!H269</f>
        <v>76812.75</v>
      </c>
      <c r="E33" s="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</row>
    <row r="34" spans="1:37">
      <c r="A34" s="3"/>
      <c r="B34" s="40" t="s">
        <v>228</v>
      </c>
      <c r="C34" s="81"/>
      <c r="D34" s="79">
        <f>Mob_Backup!H275</f>
        <v>10500</v>
      </c>
      <c r="E34" s="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</row>
    <row r="35" spans="1:37">
      <c r="A35" s="3"/>
      <c r="B35" s="40"/>
      <c r="C35" s="81"/>
      <c r="D35" s="80"/>
      <c r="E35" s="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</row>
    <row r="36" spans="1:37">
      <c r="A36" s="3"/>
      <c r="B36" s="45" t="s">
        <v>229</v>
      </c>
      <c r="C36" s="82"/>
      <c r="D36" s="79">
        <f>SUBTOTAL(9,D27:D35)</f>
        <v>224790.25</v>
      </c>
      <c r="E36" s="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</row>
    <row r="37" spans="1:37">
      <c r="A37" s="3"/>
      <c r="B37" s="40"/>
      <c r="C37" s="81"/>
      <c r="D37" s="80"/>
      <c r="E37" s="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</row>
    <row r="38" spans="1:37" ht="13.5" thickBot="1">
      <c r="A38" s="39" t="s">
        <v>189</v>
      </c>
      <c r="B38" s="40"/>
      <c r="C38" s="81"/>
      <c r="D38" s="83">
        <f ca="1">D36+D24+D8+D6</f>
        <v>635848.96297246451</v>
      </c>
      <c r="E38" s="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</row>
    <row r="39" spans="1:37">
      <c r="A39" s="39"/>
      <c r="B39" s="40"/>
      <c r="C39" s="78"/>
      <c r="D39" s="36"/>
      <c r="E39" s="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</row>
    <row r="40" spans="1:37" ht="13.5" thickBot="1">
      <c r="A40" s="72"/>
      <c r="B40" s="72"/>
      <c r="C40" s="72"/>
      <c r="D40" s="72"/>
      <c r="E40" s="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</row>
    <row r="41" spans="1:37" hidden="1">
      <c r="A41" s="39" t="s">
        <v>190</v>
      </c>
      <c r="B41" s="3"/>
      <c r="C41" s="78"/>
      <c r="D41" s="84" t="s">
        <v>191</v>
      </c>
      <c r="E41" s="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</row>
    <row r="42" spans="1:37" ht="13.5" hidden="1" thickBot="1">
      <c r="A42" s="39"/>
      <c r="B42" s="3"/>
      <c r="C42" s="40"/>
      <c r="D42" s="79"/>
      <c r="E42" s="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</row>
    <row r="43" spans="1:37" hidden="1">
      <c r="A43" s="39" t="s">
        <v>1137</v>
      </c>
      <c r="B43" s="3"/>
      <c r="C43" s="40"/>
      <c r="D43" s="85" t="s">
        <v>191</v>
      </c>
      <c r="E43" s="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</row>
    <row r="44" spans="1:37" hidden="1">
      <c r="A44" s="39"/>
      <c r="B44" s="39"/>
      <c r="C44" s="40"/>
      <c r="D44" s="79"/>
      <c r="E44" s="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</row>
    <row r="45" spans="1:37" ht="13.5" thickBot="1">
      <c r="A45" s="39" t="s">
        <v>1138</v>
      </c>
      <c r="B45" s="3"/>
      <c r="C45" s="3"/>
      <c r="D45" s="53" t="str">
        <f>Mob_Backup!H295</f>
        <v>NA</v>
      </c>
      <c r="E45" s="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</row>
    <row r="46" spans="1:37" ht="13.5" thickBot="1">
      <c r="A46" s="66"/>
      <c r="B46" s="3"/>
      <c r="C46" s="3"/>
      <c r="D46" s="36"/>
      <c r="E46" s="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</row>
    <row r="47" spans="1:37" ht="13.5" thickBot="1">
      <c r="A47" s="45" t="s">
        <v>192</v>
      </c>
      <c r="B47" s="3"/>
      <c r="C47" s="81"/>
      <c r="D47" s="86">
        <f>Mob_Backup!H301</f>
        <v>913275</v>
      </c>
      <c r="E47" s="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</row>
    <row r="48" spans="1:37" ht="13.5" thickBot="1">
      <c r="A48" s="39"/>
      <c r="B48" s="3"/>
      <c r="C48" s="78"/>
      <c r="D48" s="36"/>
      <c r="E48" s="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</row>
    <row r="49" spans="1:37" ht="13.5" hidden="1" thickBot="1">
      <c r="A49" s="3"/>
      <c r="B49" s="3"/>
      <c r="C49" s="3"/>
      <c r="D49" s="3"/>
      <c r="E49" s="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</row>
    <row r="50" spans="1:37" ht="13.5" thickBot="1">
      <c r="A50" s="39" t="s">
        <v>230</v>
      </c>
      <c r="B50" s="3"/>
      <c r="C50" s="3"/>
      <c r="D50" s="67">
        <f>Mob_Backup!H281</f>
        <v>125000</v>
      </c>
      <c r="E50" s="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</row>
    <row r="51" spans="1:37" ht="13.5" hidden="1" thickBot="1">
      <c r="A51" s="45" t="s">
        <v>194</v>
      </c>
      <c r="B51" s="3"/>
      <c r="C51" s="3"/>
      <c r="D51" s="69">
        <f>ROUND(Mob_Backup!H287*Mob_Estimate!D8,-4)</f>
        <v>0</v>
      </c>
      <c r="E51" s="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</row>
    <row r="52" spans="1:37">
      <c r="A52" s="3"/>
      <c r="B52" s="3"/>
      <c r="C52" s="3"/>
      <c r="D52" s="3"/>
      <c r="E52" s="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</row>
    <row r="53" spans="1:37">
      <c r="A53" s="3"/>
      <c r="B53" s="3"/>
      <c r="C53" s="3"/>
      <c r="D53" s="3"/>
      <c r="E53" s="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</row>
    <row r="54" spans="1:37">
      <c r="A54" s="3"/>
      <c r="B54" s="3"/>
      <c r="C54" s="3"/>
      <c r="D54" s="3"/>
      <c r="E54" s="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</row>
    <row r="55" spans="1:37">
      <c r="A55" s="3"/>
      <c r="B55" s="3"/>
      <c r="C55" s="3"/>
      <c r="D55" s="3"/>
      <c r="E55" s="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</row>
    <row r="56" spans="1:37">
      <c r="A56" s="3"/>
      <c r="B56" s="3"/>
      <c r="C56" s="3"/>
      <c r="D56" s="3"/>
      <c r="E56" s="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</row>
    <row r="57" spans="1:37">
      <c r="A57" s="3"/>
      <c r="B57" s="3"/>
      <c r="C57" s="3"/>
      <c r="D57" s="3"/>
      <c r="E57" s="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</row>
    <row r="58" spans="1:37">
      <c r="A58" s="3"/>
      <c r="B58" s="3"/>
      <c r="C58" s="3"/>
      <c r="D58" s="3"/>
      <c r="E58" s="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</row>
    <row r="59" spans="1:37">
      <c r="A59" s="3"/>
      <c r="B59" s="3"/>
      <c r="C59" s="3"/>
      <c r="D59" s="3"/>
      <c r="E59" s="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</row>
    <row r="60" spans="1:37">
      <c r="A60" s="3"/>
      <c r="B60" s="3"/>
      <c r="C60" s="3"/>
      <c r="D60" s="3"/>
      <c r="E60" s="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</row>
    <row r="61" spans="1:37">
      <c r="A61" s="3"/>
      <c r="B61" s="3"/>
      <c r="C61" s="3"/>
      <c r="D61" s="3"/>
      <c r="E61" s="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</row>
    <row r="62" spans="1:37">
      <c r="A62" s="3"/>
      <c r="B62" s="3"/>
      <c r="C62" s="3"/>
      <c r="D62" s="3"/>
      <c r="E62" s="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</row>
    <row r="63" spans="1:37">
      <c r="A63" s="3"/>
      <c r="B63" s="3"/>
      <c r="C63" s="3"/>
      <c r="D63" s="3"/>
      <c r="E63" s="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</row>
    <row r="64" spans="1:37">
      <c r="A64" s="3"/>
      <c r="B64" s="3"/>
      <c r="C64" s="3"/>
      <c r="D64" s="3"/>
      <c r="E64" s="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</row>
    <row r="65" spans="1:37">
      <c r="A65" s="3"/>
      <c r="B65" s="3"/>
      <c r="C65" s="3"/>
      <c r="D65" s="3"/>
      <c r="E65" s="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</row>
    <row r="66" spans="1:37">
      <c r="A66" s="3"/>
      <c r="B66" s="3"/>
      <c r="C66" s="3"/>
      <c r="D66" s="3"/>
      <c r="E66" s="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</row>
    <row r="67" spans="1:37">
      <c r="A67" s="3"/>
      <c r="B67" s="3"/>
      <c r="C67" s="3"/>
      <c r="D67" s="3"/>
      <c r="E67" s="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</row>
    <row r="68" spans="1:37">
      <c r="A68" s="3"/>
      <c r="B68" s="3"/>
      <c r="C68" s="3"/>
      <c r="D68" s="3"/>
      <c r="E68" s="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</row>
    <row r="69" spans="1:37">
      <c r="A69" s="3"/>
      <c r="B69" s="3"/>
      <c r="C69" s="3"/>
      <c r="D69" s="3"/>
      <c r="E69" s="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</row>
    <row r="70" spans="1:37">
      <c r="A70" s="3"/>
      <c r="B70" s="3"/>
      <c r="C70" s="3"/>
      <c r="D70" s="3"/>
      <c r="E70" s="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</row>
    <row r="71" spans="1:37">
      <c r="A71" s="3"/>
      <c r="B71" s="3"/>
      <c r="C71" s="3"/>
      <c r="D71" s="3"/>
      <c r="E71" s="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</row>
    <row r="72" spans="1:37">
      <c r="A72" s="3"/>
      <c r="B72" s="3"/>
      <c r="C72" s="3"/>
      <c r="D72" s="3"/>
      <c r="E72" s="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</row>
    <row r="73" spans="1:37">
      <c r="A73" s="3"/>
      <c r="B73" s="3"/>
      <c r="C73" s="3"/>
      <c r="D73" s="3"/>
      <c r="E73" s="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</row>
    <row r="74" spans="1:37">
      <c r="A74" s="3"/>
      <c r="B74" s="3"/>
      <c r="C74" s="3"/>
      <c r="D74" s="3"/>
      <c r="E74" s="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</row>
    <row r="75" spans="1:37">
      <c r="A75" s="3"/>
      <c r="B75" s="3"/>
      <c r="C75" s="3"/>
      <c r="D75" s="3"/>
      <c r="E75" s="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</row>
    <row r="76" spans="1:37">
      <c r="A76" s="3"/>
      <c r="B76" s="3"/>
      <c r="C76" s="3"/>
      <c r="D76" s="3"/>
      <c r="E76" s="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</row>
    <row r="77" spans="1:37">
      <c r="A77" s="3"/>
      <c r="B77" s="3"/>
      <c r="C77" s="3"/>
      <c r="D77" s="3"/>
      <c r="E77" s="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</row>
    <row r="78" spans="1:37">
      <c r="A78" s="3"/>
      <c r="B78" s="3"/>
      <c r="C78" s="3"/>
      <c r="D78" s="3"/>
      <c r="E78" s="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</row>
    <row r="79" spans="1:37">
      <c r="A79" s="3"/>
      <c r="B79" s="3"/>
      <c r="C79" s="3"/>
      <c r="D79" s="3"/>
      <c r="E79" s="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</row>
    <row r="80" spans="1:37">
      <c r="A80" s="3"/>
      <c r="B80" s="3"/>
      <c r="C80" s="3"/>
      <c r="D80" s="3"/>
      <c r="E80" s="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</row>
    <row r="81" spans="1:37">
      <c r="A81" s="3"/>
      <c r="B81" s="3"/>
      <c r="C81" s="3"/>
      <c r="D81" s="3"/>
      <c r="E81" s="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</row>
    <row r="82" spans="1:37">
      <c r="A82" s="3"/>
      <c r="B82" s="3"/>
      <c r="C82" s="3"/>
      <c r="D82" s="3"/>
      <c r="E82" s="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</row>
    <row r="83" spans="1:37">
      <c r="A83" s="3"/>
      <c r="B83" s="3"/>
      <c r="C83" s="3"/>
      <c r="D83" s="3"/>
      <c r="E83" s="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</row>
    <row r="84" spans="1:37">
      <c r="A84" s="3"/>
      <c r="B84" s="3"/>
      <c r="C84" s="3"/>
      <c r="D84" s="3"/>
      <c r="E84" s="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</row>
    <row r="85" spans="1:37">
      <c r="A85" s="3"/>
      <c r="B85" s="3"/>
      <c r="C85" s="3"/>
      <c r="D85" s="3"/>
      <c r="E85" s="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</row>
    <row r="86" spans="1:37">
      <c r="A86" s="3"/>
      <c r="B86" s="3"/>
      <c r="C86" s="3"/>
      <c r="D86" s="3"/>
      <c r="E86" s="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</row>
    <row r="87" spans="1:37">
      <c r="A87" s="3"/>
      <c r="B87" s="3"/>
      <c r="C87" s="3"/>
      <c r="D87" s="3"/>
      <c r="E87" s="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</row>
    <row r="88" spans="1:37">
      <c r="A88" s="3"/>
      <c r="B88" s="3"/>
      <c r="C88" s="3"/>
      <c r="D88" s="3"/>
      <c r="E88" s="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</row>
    <row r="89" spans="1:37">
      <c r="A89" s="3"/>
      <c r="B89" s="3"/>
      <c r="C89" s="3"/>
      <c r="D89" s="3"/>
      <c r="E89" s="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</row>
    <row r="90" spans="1:37">
      <c r="A90" s="3"/>
      <c r="B90" s="3"/>
      <c r="C90" s="3"/>
      <c r="D90" s="3"/>
      <c r="E90" s="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</row>
    <row r="91" spans="1:37">
      <c r="A91" s="3"/>
      <c r="B91" s="3"/>
      <c r="C91" s="3"/>
      <c r="D91" s="3"/>
      <c r="E91" s="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</row>
    <row r="92" spans="1:37">
      <c r="A92" s="3"/>
      <c r="B92" s="3"/>
      <c r="C92" s="3"/>
      <c r="D92" s="3"/>
      <c r="E92" s="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</row>
    <row r="93" spans="1:37">
      <c r="A93" s="3"/>
      <c r="B93" s="3"/>
      <c r="C93" s="3"/>
      <c r="D93" s="3"/>
      <c r="E93" s="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</row>
    <row r="94" spans="1:37">
      <c r="A94" s="3"/>
      <c r="B94" s="3"/>
      <c r="C94" s="3"/>
      <c r="D94" s="3"/>
      <c r="E94" s="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</row>
    <row r="95" spans="1:37">
      <c r="A95" s="3"/>
      <c r="B95" s="3"/>
      <c r="C95" s="3"/>
      <c r="D95" s="3"/>
      <c r="E95" s="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</row>
    <row r="96" spans="1:37">
      <c r="A96" s="3"/>
      <c r="B96" s="3"/>
      <c r="C96" s="3"/>
      <c r="D96" s="3"/>
      <c r="E96" s="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</row>
    <row r="97" spans="1:37">
      <c r="A97" s="3"/>
      <c r="B97" s="3"/>
      <c r="C97" s="3"/>
      <c r="D97" s="3"/>
      <c r="E97" s="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</row>
    <row r="98" spans="1:37">
      <c r="A98" s="3"/>
      <c r="B98" s="3"/>
      <c r="C98" s="3"/>
      <c r="D98" s="3"/>
      <c r="E98" s="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</row>
    <row r="99" spans="1:37">
      <c r="A99" s="3"/>
      <c r="B99" s="3"/>
      <c r="C99" s="3"/>
      <c r="D99" s="3"/>
      <c r="E99" s="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</row>
    <row r="100" spans="1:37">
      <c r="A100" s="3"/>
      <c r="B100" s="3"/>
      <c r="C100" s="3"/>
      <c r="D100" s="3"/>
      <c r="E100" s="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</row>
    <row r="101" spans="1:37">
      <c r="A101" s="3"/>
      <c r="B101" s="3"/>
      <c r="C101" s="3"/>
      <c r="D101" s="3"/>
      <c r="E101" s="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</row>
    <row r="102" spans="1:37">
      <c r="A102" s="3"/>
      <c r="B102" s="3"/>
      <c r="C102" s="3"/>
      <c r="D102" s="3"/>
      <c r="E102" s="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</row>
    <row r="103" spans="1:37">
      <c r="A103" s="3"/>
      <c r="B103" s="3"/>
      <c r="C103" s="3"/>
      <c r="D103" s="3"/>
      <c r="E103" s="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</row>
    <row r="104" spans="1:37">
      <c r="A104" s="3"/>
      <c r="B104" s="3"/>
      <c r="C104" s="3"/>
      <c r="D104" s="3"/>
      <c r="E104" s="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</row>
    <row r="105" spans="1:37">
      <c r="A105" s="3"/>
      <c r="B105" s="3"/>
      <c r="C105" s="3"/>
      <c r="D105" s="3"/>
      <c r="E105" s="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</row>
    <row r="106" spans="1:37">
      <c r="A106" s="3"/>
      <c r="B106" s="3"/>
      <c r="C106" s="3"/>
      <c r="D106" s="3"/>
      <c r="E106" s="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</row>
    <row r="107" spans="1:37">
      <c r="A107" s="3"/>
      <c r="B107" s="3"/>
      <c r="C107" s="3"/>
      <c r="D107" s="3"/>
      <c r="E107" s="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</row>
    <row r="108" spans="1:37">
      <c r="A108" s="3"/>
      <c r="B108" s="3"/>
      <c r="C108" s="3"/>
      <c r="D108" s="3"/>
      <c r="E108" s="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</row>
    <row r="109" spans="1:37">
      <c r="A109" s="3"/>
      <c r="B109" s="3"/>
      <c r="C109" s="3"/>
      <c r="D109" s="3"/>
      <c r="E109" s="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</row>
    <row r="110" spans="1:37">
      <c r="A110" s="3"/>
      <c r="B110" s="3"/>
      <c r="C110" s="3"/>
      <c r="D110" s="3"/>
      <c r="E110" s="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</row>
    <row r="111" spans="1:37">
      <c r="A111" s="3"/>
      <c r="B111" s="3"/>
      <c r="C111" s="3"/>
      <c r="D111" s="3"/>
      <c r="E111" s="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</row>
    <row r="112" spans="1:37">
      <c r="A112" s="3"/>
      <c r="B112" s="3"/>
      <c r="C112" s="3"/>
      <c r="D112" s="3"/>
      <c r="E112" s="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</row>
    <row r="113" spans="1:37">
      <c r="A113" s="3"/>
      <c r="B113" s="3"/>
      <c r="C113" s="3"/>
      <c r="D113" s="3"/>
      <c r="E113" s="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</row>
    <row r="114" spans="1:37">
      <c r="A114" s="3"/>
      <c r="B114" s="3"/>
      <c r="C114" s="3"/>
      <c r="D114" s="3"/>
      <c r="E114" s="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</row>
    <row r="115" spans="1:37">
      <c r="A115" s="3"/>
      <c r="B115" s="3"/>
      <c r="C115" s="3"/>
      <c r="D115" s="3"/>
      <c r="E115" s="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</row>
    <row r="116" spans="1:37">
      <c r="A116" s="3"/>
      <c r="B116" s="3"/>
      <c r="C116" s="3"/>
      <c r="D116" s="3"/>
      <c r="E116" s="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</row>
    <row r="117" spans="1:37">
      <c r="A117" s="3"/>
      <c r="B117" s="3"/>
      <c r="C117" s="3"/>
      <c r="D117" s="3"/>
      <c r="E117" s="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</row>
    <row r="118" spans="1:37">
      <c r="A118" s="3"/>
      <c r="B118" s="3"/>
      <c r="C118" s="3"/>
      <c r="D118" s="3"/>
      <c r="E118" s="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</row>
    <row r="119" spans="1:37">
      <c r="A119" s="3"/>
      <c r="B119" s="3"/>
      <c r="C119" s="3"/>
      <c r="D119" s="3"/>
      <c r="E119" s="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</row>
    <row r="120" spans="1:37">
      <c r="A120" s="3"/>
      <c r="B120" s="3"/>
      <c r="C120" s="3"/>
      <c r="D120" s="3"/>
      <c r="E120" s="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</row>
    <row r="121" spans="1:37">
      <c r="A121" s="3"/>
      <c r="B121" s="3"/>
      <c r="C121" s="3"/>
      <c r="D121" s="3"/>
      <c r="E121" s="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</row>
    <row r="122" spans="1:37">
      <c r="A122" s="3"/>
      <c r="B122" s="3"/>
      <c r="C122" s="3"/>
      <c r="D122" s="3"/>
      <c r="E122" s="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</row>
    <row r="123" spans="1:37">
      <c r="A123" s="3"/>
      <c r="B123" s="3"/>
      <c r="C123" s="3"/>
      <c r="D123" s="3"/>
      <c r="E123" s="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</row>
    <row r="124" spans="1:37">
      <c r="A124" s="3"/>
      <c r="B124" s="3"/>
      <c r="C124" s="3"/>
      <c r="D124" s="3"/>
      <c r="E124" s="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</row>
    <row r="125" spans="1:37">
      <c r="A125" s="3"/>
      <c r="B125" s="3"/>
      <c r="C125" s="3"/>
      <c r="D125" s="3"/>
      <c r="E125" s="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</row>
    <row r="126" spans="1:37">
      <c r="A126" s="3"/>
      <c r="B126" s="3"/>
      <c r="C126" s="3"/>
      <c r="D126" s="3"/>
      <c r="E126" s="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</row>
    <row r="127" spans="1:37">
      <c r="A127" s="3"/>
      <c r="B127" s="3"/>
      <c r="C127" s="3"/>
      <c r="D127" s="3"/>
      <c r="E127" s="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</row>
    <row r="128" spans="1:37">
      <c r="A128" s="3"/>
      <c r="B128" s="3"/>
      <c r="C128" s="3"/>
      <c r="D128" s="3"/>
      <c r="E128" s="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</row>
    <row r="129" spans="1:37">
      <c r="A129" s="3"/>
      <c r="B129" s="3"/>
      <c r="C129" s="3"/>
      <c r="D129" s="3"/>
      <c r="E129" s="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</row>
    <row r="130" spans="1:37">
      <c r="A130" s="3"/>
      <c r="B130" s="3"/>
      <c r="C130" s="3"/>
      <c r="D130" s="3"/>
      <c r="E130" s="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</row>
    <row r="131" spans="1:37">
      <c r="A131" s="3"/>
      <c r="B131" s="3"/>
      <c r="C131" s="3"/>
      <c r="D131" s="3"/>
      <c r="E131" s="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</row>
    <row r="132" spans="1:37">
      <c r="A132" s="3"/>
      <c r="B132" s="3"/>
      <c r="C132" s="3"/>
      <c r="D132" s="3"/>
      <c r="E132" s="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</row>
    <row r="133" spans="1:37">
      <c r="A133" s="3"/>
      <c r="B133" s="3"/>
      <c r="C133" s="3"/>
      <c r="D133" s="3"/>
      <c r="E133" s="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</row>
    <row r="134" spans="1:37">
      <c r="A134" s="3"/>
      <c r="B134" s="3"/>
      <c r="C134" s="3"/>
      <c r="D134" s="3"/>
      <c r="E134" s="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</row>
    <row r="135" spans="1:37">
      <c r="A135" s="3"/>
      <c r="B135" s="3"/>
      <c r="C135" s="3"/>
      <c r="D135" s="3"/>
      <c r="E135" s="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</row>
    <row r="136" spans="1:37">
      <c r="A136" s="3"/>
      <c r="B136" s="3"/>
      <c r="C136" s="3"/>
      <c r="D136" s="3"/>
      <c r="E136" s="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</row>
    <row r="137" spans="1:37">
      <c r="A137" s="3"/>
      <c r="B137" s="3"/>
      <c r="C137" s="3"/>
      <c r="D137" s="3"/>
      <c r="E137" s="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</row>
    <row r="138" spans="1:37">
      <c r="A138" s="3"/>
      <c r="B138" s="3"/>
      <c r="C138" s="3"/>
      <c r="D138" s="3"/>
      <c r="E138" s="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</row>
    <row r="139" spans="1:37">
      <c r="A139" s="3"/>
      <c r="B139" s="3"/>
      <c r="C139" s="3"/>
      <c r="D139" s="3"/>
      <c r="E139" s="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</row>
    <row r="140" spans="1:37">
      <c r="A140" s="3"/>
      <c r="B140" s="3"/>
      <c r="C140" s="3"/>
      <c r="D140" s="3"/>
      <c r="E140" s="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</row>
    <row r="141" spans="1:37">
      <c r="A141" s="3"/>
      <c r="B141" s="3"/>
      <c r="C141" s="3"/>
      <c r="D141" s="3"/>
      <c r="E141" s="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</row>
    <row r="142" spans="1:37">
      <c r="A142" s="3"/>
      <c r="B142" s="3"/>
      <c r="C142" s="3"/>
      <c r="D142" s="3"/>
      <c r="E142" s="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</row>
    <row r="143" spans="1:37">
      <c r="A143" s="3"/>
      <c r="B143" s="3"/>
      <c r="C143" s="3"/>
      <c r="D143" s="3"/>
      <c r="E143" s="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</row>
    <row r="144" spans="1:37">
      <c r="A144" s="3"/>
      <c r="B144" s="3"/>
      <c r="C144" s="3"/>
      <c r="D144" s="3"/>
      <c r="E144" s="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</row>
    <row r="145" spans="1:37">
      <c r="A145" s="3"/>
      <c r="B145" s="3"/>
      <c r="C145" s="3"/>
      <c r="D145" s="3"/>
      <c r="E145" s="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</row>
    <row r="146" spans="1:37">
      <c r="A146" s="3"/>
      <c r="B146" s="3"/>
      <c r="C146" s="3"/>
      <c r="D146" s="3"/>
      <c r="E146" s="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</row>
    <row r="147" spans="1:37">
      <c r="A147" s="3"/>
      <c r="B147" s="3"/>
      <c r="C147" s="3"/>
      <c r="D147" s="3"/>
      <c r="E147" s="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</row>
    <row r="148" spans="1:37">
      <c r="A148" s="3"/>
      <c r="B148" s="3"/>
      <c r="C148" s="3"/>
      <c r="D148" s="3"/>
      <c r="E148" s="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</row>
    <row r="149" spans="1:37">
      <c r="A149" s="3"/>
      <c r="B149" s="3"/>
      <c r="C149" s="3"/>
      <c r="D149" s="3"/>
      <c r="E149" s="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</row>
    <row r="150" spans="1:37">
      <c r="A150" s="3"/>
      <c r="B150" s="3"/>
      <c r="C150" s="3"/>
      <c r="D150" s="3"/>
      <c r="E150" s="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</row>
    <row r="151" spans="1:37">
      <c r="A151" s="3"/>
      <c r="B151" s="3"/>
      <c r="C151" s="3"/>
      <c r="D151" s="3"/>
      <c r="E151" s="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</row>
    <row r="152" spans="1:37">
      <c r="A152" s="3"/>
      <c r="B152" s="3"/>
      <c r="C152" s="3"/>
      <c r="D152" s="3"/>
      <c r="E152" s="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</row>
    <row r="153" spans="1:37">
      <c r="A153" s="3"/>
      <c r="B153" s="3"/>
      <c r="C153" s="3"/>
      <c r="D153" s="3"/>
      <c r="E153" s="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</row>
    <row r="154" spans="1:37">
      <c r="A154" s="3"/>
      <c r="B154" s="3"/>
      <c r="C154" s="3"/>
      <c r="D154" s="3"/>
      <c r="E154" s="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</row>
    <row r="155" spans="1:37">
      <c r="A155" s="3"/>
      <c r="B155" s="3"/>
      <c r="C155" s="3"/>
      <c r="D155" s="3"/>
      <c r="E155" s="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</row>
    <row r="156" spans="1:37">
      <c r="A156" s="3"/>
      <c r="B156" s="3"/>
      <c r="C156" s="3"/>
      <c r="D156" s="3"/>
      <c r="E156" s="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</row>
    <row r="157" spans="1:37">
      <c r="A157" s="3"/>
      <c r="B157" s="3"/>
      <c r="C157" s="3"/>
      <c r="D157" s="3"/>
      <c r="E157" s="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</row>
    <row r="158" spans="1:37">
      <c r="A158" s="3"/>
      <c r="B158" s="3"/>
      <c r="C158" s="3"/>
      <c r="D158" s="3"/>
      <c r="E158" s="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</row>
    <row r="159" spans="1:37">
      <c r="A159" s="3"/>
      <c r="B159" s="3"/>
      <c r="C159" s="3"/>
      <c r="D159" s="3"/>
      <c r="E159" s="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</row>
    <row r="160" spans="1:37">
      <c r="A160" s="3"/>
      <c r="B160" s="3"/>
      <c r="C160" s="3"/>
      <c r="D160" s="3"/>
      <c r="E160" s="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</row>
    <row r="161" spans="1:37">
      <c r="A161" s="3"/>
      <c r="B161" s="3"/>
      <c r="C161" s="3"/>
      <c r="D161" s="3"/>
      <c r="E161" s="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</row>
    <row r="162" spans="1:37">
      <c r="A162" s="3"/>
      <c r="B162" s="3"/>
      <c r="C162" s="3"/>
      <c r="D162" s="3"/>
      <c r="E162" s="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</row>
    <row r="163" spans="1:37">
      <c r="A163" s="3"/>
      <c r="B163" s="3"/>
      <c r="C163" s="3"/>
      <c r="D163" s="3"/>
      <c r="E163" s="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</row>
    <row r="164" spans="1:37">
      <c r="A164" s="3"/>
      <c r="B164" s="3"/>
      <c r="C164" s="3"/>
      <c r="D164" s="3"/>
      <c r="E164" s="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</row>
    <row r="165" spans="1:37">
      <c r="A165" s="3"/>
      <c r="B165" s="3"/>
      <c r="C165" s="3"/>
      <c r="D165" s="3"/>
      <c r="E165" s="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</row>
    <row r="166" spans="1:37">
      <c r="A166" s="3"/>
      <c r="B166" s="3"/>
      <c r="C166" s="3"/>
      <c r="D166" s="3"/>
      <c r="E166" s="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</row>
    <row r="167" spans="1:37">
      <c r="A167" s="3"/>
      <c r="B167" s="3"/>
      <c r="C167" s="3"/>
      <c r="D167" s="3"/>
      <c r="E167" s="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</row>
    <row r="168" spans="1:37">
      <c r="A168" s="3"/>
      <c r="B168" s="3"/>
      <c r="C168" s="3"/>
      <c r="D168" s="3"/>
      <c r="E168" s="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</row>
    <row r="169" spans="1:37">
      <c r="A169" s="3"/>
      <c r="B169" s="3"/>
      <c r="C169" s="3"/>
      <c r="D169" s="3"/>
      <c r="E169" s="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</row>
    <row r="170" spans="1:37">
      <c r="A170" s="3"/>
      <c r="B170" s="3"/>
      <c r="C170" s="3"/>
      <c r="D170" s="3"/>
      <c r="E170" s="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</row>
    <row r="171" spans="1:37">
      <c r="A171" s="3"/>
      <c r="B171" s="3"/>
      <c r="C171" s="3"/>
      <c r="D171" s="3"/>
      <c r="E171" s="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</row>
    <row r="172" spans="1:37">
      <c r="A172" s="3"/>
      <c r="B172" s="3"/>
      <c r="C172" s="3"/>
      <c r="D172" s="3"/>
      <c r="E172" s="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</row>
    <row r="173" spans="1:37">
      <c r="A173" s="3"/>
      <c r="B173" s="3"/>
      <c r="C173" s="3"/>
      <c r="D173" s="3"/>
      <c r="E173" s="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</row>
    <row r="174" spans="1:37">
      <c r="A174" s="3"/>
      <c r="B174" s="3"/>
      <c r="C174" s="3"/>
      <c r="D174" s="3"/>
      <c r="E174" s="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</row>
    <row r="175" spans="1:37">
      <c r="A175" s="3"/>
      <c r="B175" s="3"/>
      <c r="C175" s="3"/>
      <c r="D175" s="3"/>
      <c r="E175" s="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</row>
    <row r="176" spans="1:37">
      <c r="A176" s="3"/>
      <c r="B176" s="3"/>
      <c r="C176" s="3"/>
      <c r="D176" s="3"/>
      <c r="E176" s="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</row>
    <row r="177" spans="1:37">
      <c r="A177" s="3"/>
      <c r="B177" s="3"/>
      <c r="C177" s="3"/>
      <c r="D177" s="3"/>
      <c r="E177" s="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</row>
    <row r="178" spans="1:37">
      <c r="A178" s="3"/>
      <c r="B178" s="3"/>
      <c r="C178" s="3"/>
      <c r="D178" s="3"/>
      <c r="E178" s="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</row>
    <row r="179" spans="1:37">
      <c r="A179" s="3"/>
      <c r="B179" s="3"/>
      <c r="C179" s="3"/>
      <c r="D179" s="3"/>
      <c r="E179" s="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</row>
    <row r="180" spans="1:37">
      <c r="A180" s="3"/>
      <c r="B180" s="3"/>
      <c r="C180" s="3"/>
      <c r="D180" s="3"/>
      <c r="E180" s="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</row>
    <row r="181" spans="1:37">
      <c r="A181" s="3"/>
      <c r="B181" s="3"/>
      <c r="C181" s="3"/>
      <c r="D181" s="3"/>
      <c r="E181" s="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</row>
    <row r="182" spans="1:37">
      <c r="A182" s="3"/>
      <c r="B182" s="3"/>
      <c r="C182" s="3"/>
      <c r="D182" s="3"/>
      <c r="E182" s="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</row>
    <row r="183" spans="1:37">
      <c r="A183" s="3"/>
      <c r="B183" s="3"/>
      <c r="C183" s="3"/>
      <c r="D183" s="3"/>
      <c r="E183" s="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</row>
    <row r="184" spans="1:37">
      <c r="A184" s="3"/>
      <c r="B184" s="3"/>
      <c r="C184" s="3"/>
      <c r="D184" s="3"/>
      <c r="E184" s="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</row>
    <row r="185" spans="1:37">
      <c r="A185" s="3"/>
      <c r="B185" s="3"/>
      <c r="C185" s="3"/>
      <c r="D185" s="3"/>
      <c r="E185" s="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</row>
    <row r="186" spans="1:37">
      <c r="A186" s="3"/>
      <c r="B186" s="3"/>
      <c r="C186" s="3"/>
      <c r="D186" s="3"/>
      <c r="E186" s="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</row>
    <row r="187" spans="1:37">
      <c r="A187" s="3"/>
      <c r="B187" s="3"/>
      <c r="C187" s="3"/>
      <c r="D187" s="3"/>
      <c r="E187" s="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</row>
    <row r="188" spans="1:37">
      <c r="A188" s="3"/>
      <c r="B188" s="3"/>
      <c r="C188" s="3"/>
      <c r="D188" s="3"/>
      <c r="E188" s="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</row>
    <row r="189" spans="1:37">
      <c r="A189" s="3"/>
      <c r="B189" s="3"/>
      <c r="C189" s="3"/>
      <c r="D189" s="3"/>
      <c r="E189" s="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</row>
    <row r="190" spans="1:37">
      <c r="A190" s="3"/>
      <c r="B190" s="3"/>
      <c r="C190" s="3"/>
      <c r="D190" s="3"/>
      <c r="E190" s="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</row>
    <row r="191" spans="1:37">
      <c r="A191" s="3"/>
      <c r="B191" s="3"/>
      <c r="C191" s="3"/>
      <c r="D191" s="3"/>
      <c r="E191" s="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</row>
    <row r="192" spans="1:37">
      <c r="A192" s="3"/>
      <c r="B192" s="3"/>
      <c r="C192" s="3"/>
      <c r="D192" s="3"/>
      <c r="E192" s="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</row>
    <row r="193" spans="1:37">
      <c r="A193" s="3"/>
      <c r="B193" s="3"/>
      <c r="C193" s="3"/>
      <c r="D193" s="3"/>
      <c r="E193" s="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</row>
    <row r="194" spans="1:37">
      <c r="A194" s="3"/>
      <c r="B194" s="3"/>
      <c r="C194" s="3"/>
      <c r="D194" s="3"/>
      <c r="E194" s="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</row>
    <row r="195" spans="1:37">
      <c r="A195" s="3"/>
      <c r="B195" s="3"/>
      <c r="C195" s="3"/>
      <c r="D195" s="3"/>
      <c r="E195" s="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</row>
    <row r="196" spans="1:37">
      <c r="A196" s="3"/>
      <c r="B196" s="3"/>
      <c r="C196" s="3"/>
      <c r="D196" s="3"/>
      <c r="E196" s="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</row>
    <row r="197" spans="1:37">
      <c r="A197" s="3"/>
      <c r="B197" s="3"/>
      <c r="C197" s="3"/>
      <c r="D197" s="3"/>
      <c r="E197" s="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</row>
    <row r="198" spans="1:37">
      <c r="A198" s="3"/>
      <c r="B198" s="3"/>
      <c r="C198" s="3"/>
      <c r="D198" s="3"/>
      <c r="E198" s="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</row>
    <row r="199" spans="1:37">
      <c r="A199" s="3"/>
      <c r="B199" s="3"/>
      <c r="C199" s="3"/>
      <c r="D199" s="3"/>
      <c r="E199" s="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</row>
    <row r="200" spans="1:37">
      <c r="A200" s="3"/>
      <c r="B200" s="3"/>
      <c r="C200" s="3"/>
      <c r="D200" s="3"/>
      <c r="E200" s="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</row>
    <row r="201" spans="1:37">
      <c r="A201" s="3"/>
      <c r="B201" s="3"/>
      <c r="C201" s="3"/>
      <c r="D201" s="3"/>
      <c r="E201" s="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</row>
    <row r="202" spans="1:37">
      <c r="A202" s="3"/>
      <c r="B202" s="3"/>
      <c r="C202" s="3"/>
      <c r="D202" s="3"/>
      <c r="E202" s="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</row>
    <row r="203" spans="1:37">
      <c r="A203" s="3"/>
      <c r="B203" s="3"/>
      <c r="C203" s="3"/>
      <c r="D203" s="3"/>
      <c r="E203" s="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</row>
    <row r="204" spans="1:37">
      <c r="A204" s="3"/>
      <c r="B204" s="3"/>
      <c r="C204" s="3"/>
      <c r="D204" s="3"/>
      <c r="E204" s="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</row>
    <row r="205" spans="1:37">
      <c r="A205" s="3"/>
      <c r="B205" s="3"/>
      <c r="C205" s="3"/>
      <c r="D205" s="3"/>
      <c r="E205" s="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</row>
    <row r="206" spans="1:37">
      <c r="A206" s="3"/>
      <c r="B206" s="3"/>
      <c r="C206" s="3"/>
      <c r="D206" s="3"/>
      <c r="E206" s="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</row>
    <row r="207" spans="1:37">
      <c r="A207" s="3"/>
      <c r="B207" s="3"/>
      <c r="C207" s="3"/>
      <c r="D207" s="3"/>
      <c r="E207" s="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</row>
    <row r="208" spans="1:37">
      <c r="A208" s="3"/>
      <c r="B208" s="3"/>
      <c r="C208" s="3"/>
      <c r="D208" s="3"/>
      <c r="E208" s="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</row>
    <row r="209" spans="1:37">
      <c r="A209" s="3"/>
      <c r="B209" s="3"/>
      <c r="C209" s="3"/>
      <c r="D209" s="3"/>
      <c r="E209" s="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</row>
    <row r="210" spans="1:37">
      <c r="A210" s="3"/>
      <c r="B210" s="3"/>
      <c r="C210" s="3"/>
      <c r="D210" s="3"/>
      <c r="E210" s="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</row>
    <row r="211" spans="1:37">
      <c r="A211" s="3"/>
      <c r="B211" s="3"/>
      <c r="C211" s="3"/>
      <c r="D211" s="3"/>
      <c r="E211" s="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</row>
    <row r="212" spans="1:37">
      <c r="A212" s="3"/>
      <c r="B212" s="3"/>
      <c r="C212" s="3"/>
      <c r="D212" s="3"/>
      <c r="E212" s="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</row>
    <row r="213" spans="1:37">
      <c r="A213" s="3"/>
      <c r="B213" s="3"/>
      <c r="C213" s="3"/>
      <c r="D213" s="3"/>
      <c r="E213" s="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</row>
    <row r="214" spans="1:37">
      <c r="A214" s="3"/>
      <c r="B214" s="3"/>
      <c r="C214" s="3"/>
      <c r="D214" s="3"/>
      <c r="E214" s="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</row>
    <row r="215" spans="1:37">
      <c r="A215" s="3"/>
      <c r="B215" s="3"/>
      <c r="C215" s="3"/>
      <c r="D215" s="3"/>
      <c r="E215" s="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</row>
    <row r="216" spans="1:37">
      <c r="A216" s="3"/>
      <c r="B216" s="3"/>
      <c r="C216" s="3"/>
      <c r="D216" s="3"/>
      <c r="E216" s="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</row>
    <row r="217" spans="1:37">
      <c r="A217" s="3"/>
      <c r="B217" s="3"/>
      <c r="C217" s="3"/>
      <c r="D217" s="3"/>
      <c r="E217" s="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</row>
    <row r="218" spans="1:37">
      <c r="A218" s="3"/>
      <c r="B218" s="3"/>
      <c r="C218" s="3"/>
      <c r="D218" s="3"/>
      <c r="E218" s="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</row>
    <row r="219" spans="1:37">
      <c r="A219" s="3"/>
      <c r="B219" s="3"/>
      <c r="C219" s="3"/>
      <c r="D219" s="3"/>
      <c r="E219" s="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</row>
    <row r="220" spans="1:37">
      <c r="A220" s="3"/>
      <c r="B220" s="3"/>
      <c r="C220" s="3"/>
      <c r="D220" s="3"/>
      <c r="E220" s="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</row>
    <row r="221" spans="1:37">
      <c r="A221" s="3"/>
      <c r="B221" s="3"/>
      <c r="C221" s="3"/>
      <c r="D221" s="3"/>
      <c r="E221" s="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</row>
    <row r="222" spans="1:37">
      <c r="A222" s="3"/>
      <c r="B222" s="3"/>
      <c r="C222" s="3"/>
      <c r="D222" s="3"/>
      <c r="E222" s="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</row>
    <row r="223" spans="1:37">
      <c r="A223" s="3"/>
      <c r="B223" s="3"/>
      <c r="C223" s="3"/>
      <c r="D223" s="3"/>
      <c r="E223" s="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</row>
    <row r="224" spans="1:37">
      <c r="A224" s="3"/>
      <c r="B224" s="3"/>
      <c r="C224" s="3"/>
      <c r="D224" s="3"/>
      <c r="E224" s="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</row>
    <row r="225" spans="1:37">
      <c r="A225" s="3"/>
      <c r="B225" s="3"/>
      <c r="C225" s="3"/>
      <c r="D225" s="3"/>
      <c r="E225" s="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</row>
    <row r="226" spans="1:37">
      <c r="A226" s="3"/>
      <c r="B226" s="3"/>
      <c r="C226" s="3"/>
      <c r="D226" s="3"/>
      <c r="E226" s="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</row>
    <row r="227" spans="1:37">
      <c r="A227" s="3"/>
      <c r="B227" s="3"/>
      <c r="C227" s="3"/>
      <c r="D227" s="3"/>
      <c r="E227" s="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</row>
    <row r="228" spans="1:37">
      <c r="A228" s="3"/>
      <c r="B228" s="3"/>
      <c r="C228" s="3"/>
      <c r="D228" s="3"/>
      <c r="E228" s="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</row>
    <row r="229" spans="1:37">
      <c r="A229" s="3"/>
      <c r="B229" s="3"/>
      <c r="C229" s="3"/>
      <c r="D229" s="3"/>
      <c r="E229" s="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</row>
    <row r="230" spans="1:37">
      <c r="A230" s="3"/>
      <c r="B230" s="3"/>
      <c r="C230" s="3"/>
      <c r="D230" s="3"/>
      <c r="E230" s="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</row>
    <row r="231" spans="1:37">
      <c r="A231" s="3"/>
      <c r="B231" s="3"/>
      <c r="C231" s="3"/>
      <c r="D231" s="3"/>
      <c r="E231" s="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</row>
    <row r="232" spans="1:37">
      <c r="A232" s="3"/>
      <c r="B232" s="3"/>
      <c r="C232" s="3"/>
      <c r="D232" s="3"/>
      <c r="E232" s="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</row>
    <row r="233" spans="1:37">
      <c r="A233" s="3"/>
      <c r="B233" s="3"/>
      <c r="C233" s="3"/>
      <c r="D233" s="3"/>
      <c r="E233" s="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</row>
    <row r="234" spans="1:37">
      <c r="A234" s="3"/>
      <c r="B234" s="3"/>
      <c r="C234" s="3"/>
      <c r="D234" s="3"/>
      <c r="E234" s="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</row>
    <row r="235" spans="1:37">
      <c r="A235" s="3"/>
      <c r="B235" s="3"/>
      <c r="C235" s="3"/>
      <c r="D235" s="3"/>
      <c r="E235" s="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</row>
    <row r="236" spans="1:37">
      <c r="A236" s="3"/>
      <c r="B236" s="3"/>
      <c r="C236" s="3"/>
      <c r="D236" s="3"/>
      <c r="E236" s="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</row>
    <row r="237" spans="1:37">
      <c r="A237" s="3"/>
      <c r="B237" s="3"/>
      <c r="C237" s="3"/>
      <c r="D237" s="3"/>
      <c r="E237" s="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</row>
    <row r="238" spans="1:37">
      <c r="A238" s="3"/>
      <c r="B238" s="3"/>
      <c r="C238" s="3"/>
      <c r="D238" s="3"/>
      <c r="E238" s="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</row>
    <row r="239" spans="1:37">
      <c r="A239" s="3"/>
      <c r="B239" s="3"/>
      <c r="C239" s="3"/>
      <c r="D239" s="3"/>
      <c r="E239" s="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</row>
    <row r="240" spans="1:37">
      <c r="A240" s="3"/>
      <c r="B240" s="3"/>
      <c r="C240" s="3"/>
      <c r="D240" s="3"/>
      <c r="E240" s="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</row>
    <row r="241" spans="1:37">
      <c r="A241" s="3"/>
      <c r="B241" s="3"/>
      <c r="C241" s="3"/>
      <c r="D241" s="3"/>
      <c r="E241" s="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</row>
    <row r="242" spans="1:37">
      <c r="A242" s="3"/>
      <c r="B242" s="3"/>
      <c r="C242" s="3"/>
      <c r="D242" s="3"/>
      <c r="E242" s="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</row>
    <row r="243" spans="1:37">
      <c r="A243" s="3"/>
      <c r="B243" s="3"/>
      <c r="C243" s="3"/>
      <c r="D243" s="3"/>
      <c r="E243" s="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</row>
    <row r="244" spans="1:37">
      <c r="A244" s="3"/>
      <c r="B244" s="3"/>
      <c r="C244" s="3"/>
      <c r="D244" s="3"/>
      <c r="E244" s="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</row>
    <row r="245" spans="1:37">
      <c r="A245" s="3"/>
      <c r="B245" s="3"/>
      <c r="C245" s="3"/>
      <c r="D245" s="3"/>
      <c r="E245" s="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</row>
    <row r="246" spans="1:37">
      <c r="A246" s="3"/>
      <c r="B246" s="3"/>
      <c r="C246" s="3"/>
      <c r="D246" s="3"/>
      <c r="E246" s="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</row>
    <row r="247" spans="1:37">
      <c r="A247" s="3"/>
      <c r="B247" s="3"/>
      <c r="C247" s="3"/>
      <c r="D247" s="3"/>
      <c r="E247" s="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</row>
    <row r="248" spans="1:37">
      <c r="A248" s="3"/>
      <c r="B248" s="3"/>
      <c r="C248" s="3"/>
      <c r="D248" s="3"/>
      <c r="E248" s="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</row>
    <row r="249" spans="1:37">
      <c r="A249" s="3"/>
      <c r="B249" s="3"/>
      <c r="C249" s="3"/>
      <c r="D249" s="3"/>
      <c r="E249" s="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</row>
    <row r="250" spans="1:37">
      <c r="A250" s="3"/>
      <c r="B250" s="3"/>
      <c r="C250" s="3"/>
      <c r="D250" s="3"/>
      <c r="E250" s="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</row>
    <row r="251" spans="1:37">
      <c r="A251" s="3"/>
      <c r="B251" s="3"/>
      <c r="C251" s="3"/>
      <c r="D251" s="3"/>
      <c r="E251" s="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</row>
    <row r="252" spans="1:37">
      <c r="A252" s="3"/>
      <c r="B252" s="3"/>
      <c r="C252" s="3"/>
      <c r="D252" s="3"/>
      <c r="E252" s="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</row>
    <row r="253" spans="1:37">
      <c r="A253" s="3"/>
      <c r="B253" s="3"/>
      <c r="C253" s="3"/>
      <c r="D253" s="3"/>
      <c r="E253" s="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</row>
    <row r="254" spans="1:37">
      <c r="A254" s="3"/>
      <c r="B254" s="3"/>
      <c r="C254" s="3"/>
      <c r="D254" s="3"/>
      <c r="E254" s="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</row>
    <row r="255" spans="1:37">
      <c r="A255" s="3"/>
      <c r="B255" s="3"/>
      <c r="C255" s="3"/>
      <c r="D255" s="3"/>
      <c r="E255" s="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</row>
    <row r="256" spans="1:37">
      <c r="A256" s="3"/>
      <c r="B256" s="3"/>
      <c r="C256" s="3"/>
      <c r="D256" s="3"/>
      <c r="E256" s="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</row>
    <row r="257" spans="1:37">
      <c r="A257" s="3"/>
      <c r="B257" s="3"/>
      <c r="C257" s="3"/>
      <c r="D257" s="3"/>
      <c r="E257" s="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</row>
    <row r="258" spans="1:37">
      <c r="A258" s="3"/>
      <c r="B258" s="3"/>
      <c r="C258" s="3"/>
      <c r="D258" s="3"/>
      <c r="E258" s="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</row>
    <row r="259" spans="1:37">
      <c r="A259" s="3"/>
      <c r="B259" s="3"/>
      <c r="C259" s="3"/>
      <c r="D259" s="3"/>
      <c r="E259" s="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</row>
    <row r="260" spans="1:37">
      <c r="A260" s="3"/>
      <c r="B260" s="3"/>
      <c r="C260" s="3"/>
      <c r="D260" s="3"/>
      <c r="E260" s="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</row>
    <row r="261" spans="1:37">
      <c r="A261" s="3"/>
      <c r="B261" s="3"/>
      <c r="C261" s="3"/>
      <c r="D261" s="3"/>
      <c r="E261" s="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</row>
    <row r="262" spans="1:37">
      <c r="A262" s="3"/>
      <c r="B262" s="3"/>
      <c r="C262" s="3"/>
      <c r="D262" s="3"/>
      <c r="E262" s="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</row>
    <row r="263" spans="1:37">
      <c r="A263" s="3"/>
      <c r="B263" s="3"/>
      <c r="C263" s="3"/>
      <c r="D263" s="3"/>
      <c r="E263" s="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</row>
    <row r="264" spans="1:37">
      <c r="A264" s="3"/>
      <c r="B264" s="3"/>
      <c r="C264" s="3"/>
      <c r="D264" s="3"/>
      <c r="E264" s="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</row>
    <row r="265" spans="1:37">
      <c r="A265" s="3"/>
      <c r="B265" s="3"/>
      <c r="C265" s="3"/>
      <c r="D265" s="3"/>
      <c r="E265" s="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</row>
    <row r="266" spans="1:37">
      <c r="A266" s="3"/>
      <c r="B266" s="3"/>
      <c r="C266" s="3"/>
      <c r="D266" s="3"/>
      <c r="E266" s="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</row>
    <row r="267" spans="1:37">
      <c r="A267" s="3"/>
      <c r="B267" s="3"/>
      <c r="C267" s="3"/>
      <c r="D267" s="3"/>
      <c r="E267" s="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</row>
    <row r="268" spans="1:37">
      <c r="A268" s="3"/>
      <c r="B268" s="3"/>
      <c r="C268" s="3"/>
      <c r="D268" s="3"/>
      <c r="E268" s="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</row>
    <row r="269" spans="1:37">
      <c r="A269" s="3"/>
      <c r="B269" s="3"/>
      <c r="C269" s="3"/>
      <c r="D269" s="3"/>
      <c r="E269" s="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</row>
    <row r="270" spans="1:37">
      <c r="A270" s="3"/>
      <c r="B270" s="3"/>
      <c r="C270" s="3"/>
      <c r="D270" s="3"/>
      <c r="E270" s="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</row>
    <row r="271" spans="1:37">
      <c r="A271" s="3"/>
      <c r="B271" s="3"/>
      <c r="C271" s="3"/>
      <c r="D271" s="3"/>
      <c r="E271" s="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</row>
    <row r="272" spans="1:37">
      <c r="A272" s="3"/>
      <c r="B272" s="3"/>
      <c r="C272" s="3"/>
      <c r="D272" s="3"/>
      <c r="E272" s="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</row>
    <row r="273" spans="1:37">
      <c r="A273" s="3"/>
      <c r="B273" s="3"/>
      <c r="C273" s="3"/>
      <c r="D273" s="3"/>
      <c r="E273" s="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</row>
    <row r="274" spans="1:37">
      <c r="A274" s="3"/>
      <c r="B274" s="3"/>
      <c r="C274" s="3"/>
      <c r="D274" s="3"/>
      <c r="E274" s="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</row>
    <row r="275" spans="1:37">
      <c r="A275" s="3"/>
      <c r="B275" s="3"/>
      <c r="C275" s="3"/>
      <c r="D275" s="3"/>
      <c r="E275" s="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</row>
    <row r="276" spans="1:37">
      <c r="A276" s="3"/>
      <c r="B276" s="3"/>
      <c r="C276" s="3"/>
      <c r="D276" s="3"/>
      <c r="E276" s="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</row>
    <row r="277" spans="1:37">
      <c r="A277" s="3"/>
      <c r="B277" s="3"/>
      <c r="C277" s="3"/>
      <c r="D277" s="3"/>
      <c r="E277" s="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</row>
    <row r="278" spans="1:37">
      <c r="A278" s="3"/>
      <c r="B278" s="3"/>
      <c r="C278" s="3"/>
      <c r="D278" s="3"/>
      <c r="E278" s="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</row>
    <row r="279" spans="1:37">
      <c r="A279" s="3"/>
      <c r="B279" s="3"/>
      <c r="C279" s="3"/>
      <c r="D279" s="3"/>
      <c r="E279" s="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</row>
    <row r="280" spans="1:37">
      <c r="A280" s="3"/>
      <c r="B280" s="3"/>
      <c r="C280" s="3"/>
      <c r="D280" s="3"/>
      <c r="E280" s="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</row>
    <row r="281" spans="1:37">
      <c r="A281" s="3"/>
      <c r="B281" s="3"/>
      <c r="C281" s="3"/>
      <c r="D281" s="3"/>
      <c r="E281" s="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</row>
    <row r="282" spans="1:37">
      <c r="A282" s="3"/>
      <c r="B282" s="3"/>
      <c r="C282" s="3"/>
      <c r="D282" s="3"/>
      <c r="E282" s="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</row>
    <row r="283" spans="1:37">
      <c r="A283" s="3"/>
      <c r="B283" s="3"/>
      <c r="C283" s="3"/>
      <c r="D283" s="3"/>
      <c r="E283" s="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</row>
    <row r="284" spans="1:37">
      <c r="A284" s="3"/>
      <c r="B284" s="3"/>
      <c r="C284" s="3"/>
      <c r="D284" s="3"/>
      <c r="E284" s="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</row>
    <row r="285" spans="1:37">
      <c r="A285" s="3"/>
      <c r="B285" s="3"/>
      <c r="C285" s="3"/>
      <c r="D285" s="3"/>
      <c r="E285" s="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</row>
    <row r="286" spans="1:37">
      <c r="A286" s="3"/>
      <c r="B286" s="3"/>
      <c r="C286" s="3"/>
      <c r="D286" s="3"/>
      <c r="E286" s="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</row>
    <row r="287" spans="1:37">
      <c r="A287" s="3"/>
      <c r="B287" s="3"/>
      <c r="C287" s="3"/>
      <c r="D287" s="3"/>
      <c r="E287" s="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</row>
    <row r="288" spans="1:37">
      <c r="A288" s="3"/>
      <c r="B288" s="3"/>
      <c r="C288" s="3"/>
      <c r="D288" s="3"/>
      <c r="E288" s="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</row>
    <row r="289" spans="1:37">
      <c r="A289" s="3"/>
      <c r="B289" s="3"/>
      <c r="C289" s="3"/>
      <c r="D289" s="3"/>
      <c r="E289" s="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</row>
    <row r="290" spans="1:37">
      <c r="A290" s="3"/>
      <c r="B290" s="3"/>
      <c r="C290" s="3"/>
      <c r="D290" s="3"/>
      <c r="E290" s="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</row>
    <row r="291" spans="1:37">
      <c r="A291" s="3"/>
      <c r="B291" s="3"/>
      <c r="C291" s="3"/>
      <c r="D291" s="3"/>
      <c r="E291" s="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</row>
    <row r="292" spans="1:37">
      <c r="A292" s="3"/>
      <c r="B292" s="3"/>
      <c r="C292" s="3"/>
      <c r="D292" s="3"/>
      <c r="E292" s="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</row>
    <row r="293" spans="1:37">
      <c r="A293" s="3"/>
      <c r="B293" s="3"/>
      <c r="C293" s="3"/>
      <c r="D293" s="3"/>
      <c r="E293" s="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</row>
    <row r="294" spans="1:37">
      <c r="A294" s="3"/>
      <c r="B294" s="3"/>
      <c r="C294" s="3"/>
      <c r="D294" s="3"/>
      <c r="E294" s="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</row>
    <row r="295" spans="1:37">
      <c r="A295" s="3"/>
      <c r="B295" s="3"/>
      <c r="C295" s="3"/>
      <c r="D295" s="3"/>
      <c r="E295" s="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</row>
    <row r="296" spans="1:37">
      <c r="A296" s="3"/>
      <c r="B296" s="3"/>
      <c r="C296" s="3"/>
      <c r="D296" s="3"/>
      <c r="E296" s="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</row>
    <row r="297" spans="1:37">
      <c r="A297" s="3"/>
      <c r="B297" s="3"/>
      <c r="C297" s="3"/>
      <c r="D297" s="3"/>
      <c r="E297" s="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</row>
    <row r="298" spans="1:37">
      <c r="A298" s="3"/>
      <c r="B298" s="3"/>
      <c r="C298" s="3"/>
      <c r="D298" s="3"/>
      <c r="E298" s="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</row>
    <row r="299" spans="1:37">
      <c r="A299" s="3"/>
      <c r="B299" s="3"/>
      <c r="C299" s="3"/>
      <c r="D299" s="3"/>
      <c r="E299" s="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</row>
    <row r="300" spans="1:37">
      <c r="A300" s="3"/>
      <c r="B300" s="3"/>
      <c r="C300" s="3"/>
      <c r="D300" s="3"/>
      <c r="E300" s="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</row>
    <row r="301" spans="1:37">
      <c r="A301" s="3"/>
      <c r="B301" s="3"/>
      <c r="C301" s="3"/>
      <c r="D301" s="3"/>
      <c r="E301" s="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</row>
    <row r="302" spans="1:37">
      <c r="A302" s="3"/>
      <c r="B302" s="3"/>
      <c r="C302" s="3"/>
      <c r="D302" s="3"/>
      <c r="E302" s="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</row>
    <row r="303" spans="1:37">
      <c r="A303" s="3"/>
      <c r="B303" s="3"/>
      <c r="C303" s="3"/>
      <c r="D303" s="3"/>
      <c r="E303" s="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</row>
    <row r="304" spans="1:37">
      <c r="A304" s="3"/>
      <c r="B304" s="3"/>
      <c r="C304" s="3"/>
      <c r="D304" s="3"/>
      <c r="E304" s="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</row>
    <row r="305" spans="1:37">
      <c r="A305" s="3"/>
      <c r="B305" s="3"/>
      <c r="C305" s="3"/>
      <c r="D305" s="3"/>
      <c r="E305" s="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</row>
    <row r="306" spans="1:37">
      <c r="A306" s="3"/>
      <c r="B306" s="3"/>
      <c r="C306" s="3"/>
      <c r="D306" s="3"/>
      <c r="E306" s="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</row>
    <row r="307" spans="1:37">
      <c r="A307" s="3"/>
      <c r="B307" s="3"/>
      <c r="C307" s="3"/>
      <c r="D307" s="3"/>
      <c r="E307" s="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</row>
    <row r="308" spans="1:37">
      <c r="A308" s="3"/>
      <c r="B308" s="3"/>
      <c r="C308" s="3"/>
      <c r="D308" s="3"/>
      <c r="E308" s="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</row>
    <row r="309" spans="1:37">
      <c r="A309" s="3"/>
      <c r="B309" s="3"/>
      <c r="C309" s="3"/>
      <c r="D309" s="3"/>
      <c r="E309" s="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</row>
    <row r="310" spans="1:37">
      <c r="A310" s="3"/>
      <c r="B310" s="3"/>
      <c r="C310" s="3"/>
      <c r="D310" s="3"/>
      <c r="E310" s="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</row>
    <row r="311" spans="1:37">
      <c r="A311" s="3"/>
      <c r="B311" s="3"/>
      <c r="C311" s="3"/>
      <c r="D311" s="3"/>
      <c r="E311" s="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</row>
    <row r="312" spans="1:37">
      <c r="A312" s="3"/>
      <c r="B312" s="3"/>
      <c r="C312" s="3"/>
      <c r="D312" s="3"/>
      <c r="E312" s="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</row>
    <row r="313" spans="1:37">
      <c r="A313" s="3"/>
      <c r="B313" s="3"/>
      <c r="C313" s="3"/>
      <c r="D313" s="3"/>
      <c r="E313" s="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</row>
    <row r="314" spans="1:37">
      <c r="A314" s="3"/>
      <c r="B314" s="3"/>
      <c r="C314" s="3"/>
      <c r="D314" s="3"/>
      <c r="E314" s="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</row>
    <row r="315" spans="1:37">
      <c r="A315" s="3"/>
      <c r="B315" s="3"/>
      <c r="C315" s="3"/>
      <c r="D315" s="3"/>
      <c r="E315" s="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</row>
    <row r="316" spans="1:37">
      <c r="A316" s="3"/>
      <c r="B316" s="3"/>
      <c r="C316" s="3"/>
      <c r="D316" s="3"/>
      <c r="E316" s="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</row>
    <row r="317" spans="1:37">
      <c r="A317" s="3"/>
      <c r="B317" s="3"/>
      <c r="C317" s="3"/>
      <c r="D317" s="3"/>
      <c r="E317" s="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</row>
    <row r="318" spans="1:37">
      <c r="A318" s="3"/>
      <c r="B318" s="3"/>
      <c r="C318" s="3"/>
      <c r="D318" s="3"/>
      <c r="E318" s="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</row>
    <row r="319" spans="1:37">
      <c r="A319" s="3"/>
      <c r="B319" s="3"/>
      <c r="C319" s="3"/>
      <c r="D319" s="3"/>
      <c r="E319" s="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</row>
    <row r="320" spans="1:37">
      <c r="A320" s="3"/>
      <c r="B320" s="3"/>
      <c r="C320" s="3"/>
      <c r="D320" s="3"/>
      <c r="E320" s="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</row>
    <row r="321" spans="1:37">
      <c r="A321" s="3"/>
      <c r="B321" s="3"/>
      <c r="C321" s="3"/>
      <c r="D321" s="3"/>
      <c r="E321" s="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</row>
    <row r="322" spans="1:37">
      <c r="A322" s="3"/>
      <c r="B322" s="3"/>
      <c r="C322" s="3"/>
      <c r="D322" s="3"/>
      <c r="E322" s="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</row>
    <row r="323" spans="1:37">
      <c r="A323" s="3"/>
      <c r="B323" s="3"/>
      <c r="C323" s="3"/>
      <c r="D323" s="3"/>
      <c r="E323" s="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</row>
    <row r="324" spans="1:37">
      <c r="A324" s="3"/>
      <c r="B324" s="3"/>
      <c r="C324" s="3"/>
      <c r="D324" s="3"/>
      <c r="E324" s="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</row>
    <row r="325" spans="1:37">
      <c r="A325" s="3"/>
      <c r="B325" s="3"/>
      <c r="C325" s="3"/>
      <c r="D325" s="3"/>
      <c r="E325" s="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</row>
    <row r="326" spans="1:37">
      <c r="A326" s="3"/>
      <c r="B326" s="3"/>
      <c r="C326" s="3"/>
      <c r="D326" s="3"/>
      <c r="E326" s="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</row>
    <row r="327" spans="1:37">
      <c r="A327" s="3"/>
      <c r="B327" s="3"/>
      <c r="C327" s="3"/>
      <c r="D327" s="3"/>
      <c r="E327" s="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</row>
    <row r="328" spans="1:37">
      <c r="A328" s="3"/>
      <c r="B328" s="3"/>
      <c r="C328" s="3"/>
      <c r="D328" s="3"/>
      <c r="E328" s="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</row>
    <row r="329" spans="1:37">
      <c r="A329" s="3"/>
      <c r="B329" s="3"/>
      <c r="C329" s="3"/>
      <c r="D329" s="3"/>
      <c r="E329" s="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</row>
    <row r="330" spans="1:37">
      <c r="A330" s="3"/>
      <c r="B330" s="3"/>
      <c r="C330" s="3"/>
      <c r="D330" s="3"/>
      <c r="E330" s="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</row>
    <row r="331" spans="1:37">
      <c r="A331" s="3"/>
      <c r="B331" s="3"/>
      <c r="C331" s="3"/>
      <c r="D331" s="3"/>
      <c r="E331" s="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</row>
    <row r="332" spans="1:37">
      <c r="A332" s="3"/>
      <c r="B332" s="3"/>
      <c r="C332" s="3"/>
      <c r="D332" s="3"/>
      <c r="E332" s="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</row>
    <row r="333" spans="1:37">
      <c r="A333" s="3"/>
      <c r="B333" s="3"/>
      <c r="C333" s="3"/>
      <c r="D333" s="3"/>
      <c r="E333" s="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</row>
    <row r="334" spans="1:37">
      <c r="A334" s="3"/>
      <c r="B334" s="3"/>
      <c r="C334" s="3"/>
      <c r="D334" s="3"/>
      <c r="E334" s="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</row>
    <row r="335" spans="1:37">
      <c r="A335" s="3"/>
      <c r="B335" s="3"/>
      <c r="C335" s="3"/>
      <c r="D335" s="3"/>
      <c r="E335" s="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</row>
    <row r="336" spans="1:37">
      <c r="A336" s="3"/>
      <c r="B336" s="3"/>
      <c r="C336" s="3"/>
      <c r="D336" s="3"/>
      <c r="E336" s="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</row>
    <row r="337" spans="1:37">
      <c r="A337" s="3"/>
      <c r="B337" s="3"/>
      <c r="C337" s="3"/>
      <c r="D337" s="3"/>
      <c r="E337" s="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</row>
    <row r="338" spans="1:37">
      <c r="A338" s="3"/>
      <c r="B338" s="3"/>
      <c r="C338" s="3"/>
      <c r="D338" s="3"/>
      <c r="E338" s="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</row>
    <row r="339" spans="1:37">
      <c r="A339" s="3"/>
      <c r="B339" s="3"/>
      <c r="C339" s="3"/>
      <c r="D339" s="3"/>
      <c r="E339" s="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</row>
    <row r="340" spans="1:37">
      <c r="A340" s="3"/>
      <c r="B340" s="3"/>
      <c r="C340" s="3"/>
      <c r="D340" s="3"/>
      <c r="E340" s="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</row>
    <row r="341" spans="1:37">
      <c r="A341" s="3"/>
      <c r="B341" s="3"/>
      <c r="C341" s="3"/>
      <c r="D341" s="3"/>
      <c r="E341" s="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</row>
    <row r="342" spans="1:37">
      <c r="A342" s="3"/>
      <c r="B342" s="3"/>
      <c r="C342" s="3"/>
      <c r="D342" s="3"/>
      <c r="E342" s="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</row>
    <row r="343" spans="1:37">
      <c r="A343" s="3"/>
      <c r="B343" s="3"/>
      <c r="C343" s="3"/>
      <c r="D343" s="3"/>
      <c r="E343" s="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</row>
    <row r="344" spans="1:37">
      <c r="A344" s="3"/>
      <c r="B344" s="3"/>
      <c r="C344" s="3"/>
      <c r="D344" s="3"/>
      <c r="E344" s="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</row>
    <row r="345" spans="1:37">
      <c r="A345" s="3"/>
      <c r="B345" s="3"/>
      <c r="C345" s="3"/>
      <c r="D345" s="3"/>
      <c r="E345" s="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</row>
    <row r="346" spans="1:37">
      <c r="A346" s="3"/>
      <c r="B346" s="3"/>
      <c r="C346" s="3"/>
      <c r="D346" s="3"/>
      <c r="E346" s="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</row>
    <row r="347" spans="1:37">
      <c r="A347" s="3"/>
      <c r="B347" s="3"/>
      <c r="C347" s="3"/>
      <c r="D347" s="3"/>
      <c r="E347" s="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</row>
    <row r="348" spans="1:37">
      <c r="A348" s="3"/>
      <c r="B348" s="3"/>
      <c r="C348" s="3"/>
      <c r="D348" s="3"/>
      <c r="E348" s="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</row>
    <row r="349" spans="1:37">
      <c r="A349" s="3"/>
      <c r="B349" s="3"/>
      <c r="C349" s="3"/>
      <c r="D349" s="3"/>
      <c r="E349" s="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</row>
    <row r="350" spans="1:37">
      <c r="A350" s="3"/>
      <c r="B350" s="3"/>
      <c r="C350" s="3"/>
      <c r="D350" s="3"/>
      <c r="E350" s="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</row>
    <row r="351" spans="1:37">
      <c r="A351" s="3"/>
      <c r="B351" s="3"/>
      <c r="C351" s="3"/>
      <c r="D351" s="3"/>
      <c r="E351" s="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</row>
  </sheetData>
  <printOptions horizontalCentered="1"/>
  <pageMargins left="0.75" right="0.75" top="1" bottom="1" header="0.5" footer="0.5"/>
  <pageSetup firstPageNumber="6" orientation="portrait" horizontalDpi="4294967292" verticalDpi="4294967292" r:id="rId1"/>
  <headerFooter alignWithMargins="0">
    <oddFooter>&amp;LScot Chambers
&amp;D&amp;CPage _____&amp;R&amp;F
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350"/>
  <sheetViews>
    <sheetView showGridLines="0" topLeftCell="I1" zoomScale="75" workbookViewId="0">
      <selection activeCell="N29" sqref="N29"/>
    </sheetView>
  </sheetViews>
  <sheetFormatPr defaultRowHeight="12.75"/>
  <cols>
    <col min="1" max="1" width="20.42578125" customWidth="1"/>
    <col min="2" max="13" width="8.7109375" customWidth="1"/>
    <col min="18" max="26" width="8.7109375" customWidth="1"/>
    <col min="30" max="30" width="9.28515625" customWidth="1"/>
  </cols>
  <sheetData>
    <row r="1" spans="1:54" ht="15.75">
      <c r="A1" s="10" t="str">
        <f>Scope!A1</f>
        <v>St Peter, Illinois (Ameren) Power Project, Rev 0</v>
      </c>
      <c r="B1" s="10"/>
      <c r="C1" s="10"/>
      <c r="D1" s="10"/>
      <c r="E1" s="10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</row>
    <row r="2" spans="1:54" ht="15.75">
      <c r="A2" s="87" t="s">
        <v>231</v>
      </c>
      <c r="B2" s="87"/>
      <c r="C2" s="87"/>
      <c r="D2" s="87"/>
      <c r="E2" s="87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</row>
    <row r="3" spans="1:54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40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</row>
    <row r="4" spans="1:54" ht="15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9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</row>
    <row r="5" spans="1:54" ht="15">
      <c r="A5" s="90" t="s">
        <v>232</v>
      </c>
      <c r="B5" s="692">
        <v>6</v>
      </c>
      <c r="C5" s="693"/>
      <c r="D5" s="693"/>
      <c r="E5" s="694"/>
      <c r="F5" s="695">
        <f>B5-1</f>
        <v>5</v>
      </c>
      <c r="G5" s="693"/>
      <c r="H5" s="693"/>
      <c r="I5" s="694"/>
      <c r="J5" s="692">
        <f>F5-1</f>
        <v>4</v>
      </c>
      <c r="K5" s="693"/>
      <c r="L5" s="693"/>
      <c r="M5" s="694"/>
      <c r="N5" s="692">
        <f>J5-1</f>
        <v>3</v>
      </c>
      <c r="O5" s="693"/>
      <c r="P5" s="693"/>
      <c r="Q5" s="694"/>
      <c r="R5" s="692">
        <f>N5-1</f>
        <v>2</v>
      </c>
      <c r="S5" s="693"/>
      <c r="T5" s="693"/>
      <c r="U5" s="694"/>
      <c r="V5" s="692">
        <f>R5-1</f>
        <v>1</v>
      </c>
      <c r="W5" s="693"/>
      <c r="X5" s="693"/>
      <c r="Y5" s="694"/>
      <c r="Z5" s="91" t="s">
        <v>233</v>
      </c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</row>
    <row r="6" spans="1:54" ht="15">
      <c r="A6" s="90" t="s">
        <v>234</v>
      </c>
      <c r="B6" s="92" t="s">
        <v>73</v>
      </c>
      <c r="C6" s="93"/>
      <c r="D6" s="94"/>
      <c r="E6" s="94"/>
      <c r="F6" s="95"/>
      <c r="G6" s="96"/>
      <c r="H6" s="96"/>
      <c r="I6" s="92"/>
      <c r="J6" s="97"/>
      <c r="K6" s="93"/>
      <c r="L6" s="93"/>
      <c r="M6" s="96"/>
      <c r="N6" s="92" t="s">
        <v>72</v>
      </c>
      <c r="O6" s="97"/>
      <c r="P6" s="95"/>
      <c r="Q6" s="96"/>
      <c r="R6" s="97"/>
      <c r="S6" s="93"/>
      <c r="T6" s="99"/>
      <c r="U6" s="98"/>
      <c r="V6" s="92" t="s">
        <v>235</v>
      </c>
      <c r="W6" s="93"/>
      <c r="X6" s="93"/>
      <c r="Y6" s="100"/>
      <c r="Z6" s="101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 ht="15">
      <c r="A7" s="90"/>
      <c r="B7" s="102"/>
      <c r="C7" s="103"/>
      <c r="D7" s="104"/>
      <c r="E7" s="103"/>
      <c r="F7" s="105"/>
      <c r="G7" s="105"/>
      <c r="H7" s="106"/>
      <c r="I7" s="106"/>
      <c r="J7" s="107"/>
      <c r="K7" s="107"/>
      <c r="L7" s="107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</row>
    <row r="8" spans="1:54" ht="15" hidden="1">
      <c r="A8" s="109"/>
      <c r="B8" s="110" t="s">
        <v>236</v>
      </c>
      <c r="C8" s="110"/>
      <c r="D8" s="109"/>
      <c r="E8" s="110"/>
      <c r="F8" s="111"/>
      <c r="G8" s="112"/>
      <c r="H8" s="110"/>
      <c r="I8" s="113"/>
      <c r="J8" s="111"/>
      <c r="K8" s="113"/>
      <c r="L8" s="113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</row>
    <row r="9" spans="1:54" ht="15" hidden="1">
      <c r="A9" s="109"/>
      <c r="B9" s="114"/>
      <c r="C9" s="110"/>
      <c r="D9" s="109"/>
      <c r="E9" s="110"/>
      <c r="F9" s="110" t="s">
        <v>237</v>
      </c>
      <c r="G9" s="112"/>
      <c r="H9" s="110"/>
      <c r="I9" s="113"/>
      <c r="J9" s="111"/>
      <c r="K9" s="113"/>
      <c r="L9" s="113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0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</row>
    <row r="10" spans="1:54" ht="15" hidden="1">
      <c r="A10" s="109"/>
      <c r="B10" s="114"/>
      <c r="C10" s="110"/>
      <c r="D10" s="109"/>
      <c r="E10" s="110"/>
      <c r="F10" s="110" t="s">
        <v>238</v>
      </c>
      <c r="G10" s="112"/>
      <c r="H10" s="110"/>
      <c r="I10" s="113"/>
      <c r="J10" s="111"/>
      <c r="K10" s="113"/>
      <c r="L10" s="113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</row>
    <row r="11" spans="1:54" ht="15">
      <c r="A11" s="109"/>
      <c r="B11" s="114"/>
      <c r="C11" s="110"/>
      <c r="D11" s="115"/>
      <c r="E11" s="111"/>
      <c r="F11" s="111"/>
      <c r="G11" s="112"/>
      <c r="H11" s="110"/>
      <c r="I11" s="113"/>
      <c r="J11" s="111"/>
      <c r="K11" s="113"/>
      <c r="L11" s="113"/>
      <c r="M11" s="112"/>
      <c r="N11" s="110" t="str">
        <f>Mob_Staffing!A13</f>
        <v>O&amp;M TECHNICIAN III</v>
      </c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0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</row>
    <row r="12" spans="1:54" ht="15">
      <c r="A12" s="109"/>
      <c r="B12" s="114"/>
      <c r="C12" s="112"/>
      <c r="D12" s="112"/>
      <c r="E12" s="110"/>
      <c r="F12" s="111"/>
      <c r="G12" s="112"/>
      <c r="H12" s="110"/>
      <c r="I12" s="113"/>
      <c r="J12" s="111"/>
      <c r="K12" s="113"/>
      <c r="L12" s="113"/>
      <c r="M12" s="110"/>
      <c r="N12" s="110" t="str">
        <f>Mob_Staffing!A14</f>
        <v>SEASONAL O&amp;M TECHNICIAN II</v>
      </c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</row>
    <row r="13" spans="1:54" ht="15" hidden="1">
      <c r="A13" s="116"/>
      <c r="B13" s="112"/>
      <c r="C13" s="112"/>
      <c r="D13" s="112"/>
      <c r="E13" s="112"/>
      <c r="F13" s="112"/>
      <c r="G13" s="112"/>
      <c r="H13" s="112"/>
      <c r="I13" s="112"/>
      <c r="J13" s="111"/>
      <c r="K13" s="113"/>
      <c r="L13" s="111"/>
      <c r="M13" s="111"/>
      <c r="N13" s="111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</row>
    <row r="14" spans="1:54" ht="15" hidden="1">
      <c r="A14" s="116"/>
      <c r="B14" s="112"/>
      <c r="C14" s="112"/>
      <c r="D14" s="112"/>
      <c r="E14" s="112"/>
      <c r="F14" s="112"/>
      <c r="G14" s="112"/>
      <c r="H14" s="112"/>
      <c r="I14" s="112"/>
      <c r="J14" s="111"/>
      <c r="K14" s="113"/>
      <c r="L14" s="112"/>
      <c r="M14" s="111"/>
      <c r="N14" s="111"/>
      <c r="P14" s="110"/>
      <c r="Q14" s="111"/>
      <c r="R14" s="111"/>
      <c r="T14" s="110"/>
      <c r="U14" s="110"/>
      <c r="V14" s="110"/>
      <c r="W14" s="110"/>
      <c r="X14" s="110"/>
      <c r="Y14" s="110"/>
      <c r="Z14" s="110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</row>
    <row r="15" spans="1:54" ht="15" hidden="1">
      <c r="A15" s="116"/>
      <c r="B15" s="112"/>
      <c r="C15" s="112"/>
      <c r="D15" s="112"/>
      <c r="E15" s="112"/>
      <c r="F15" s="112"/>
      <c r="G15" s="112"/>
      <c r="H15" s="112"/>
      <c r="I15" s="112"/>
      <c r="J15" s="111"/>
      <c r="K15" s="113"/>
      <c r="L15" s="112"/>
      <c r="M15" s="110"/>
      <c r="N15" s="111"/>
      <c r="P15" s="111"/>
      <c r="Q15" s="113"/>
      <c r="R15" s="111"/>
      <c r="T15" s="110"/>
      <c r="U15" s="110"/>
      <c r="V15" s="110"/>
      <c r="W15" s="110"/>
      <c r="X15" s="110"/>
      <c r="Y15" s="110"/>
      <c r="Z15" s="11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</row>
    <row r="16" spans="1:54" ht="15" hidden="1">
      <c r="A16" s="116"/>
      <c r="B16" s="112"/>
      <c r="C16" s="112"/>
      <c r="D16" s="112"/>
      <c r="E16" s="112"/>
      <c r="F16" s="112"/>
      <c r="G16" s="112"/>
      <c r="H16" s="112"/>
      <c r="I16" s="112"/>
      <c r="J16" s="111"/>
      <c r="K16" s="113"/>
      <c r="L16" s="112"/>
      <c r="M16" s="110"/>
      <c r="N16" s="110"/>
      <c r="O16" s="110"/>
      <c r="P16" s="111"/>
      <c r="Q16" s="113"/>
      <c r="R16" s="111"/>
      <c r="T16" s="110"/>
      <c r="U16" s="110"/>
      <c r="V16" s="110"/>
      <c r="W16" s="110"/>
      <c r="X16" s="110"/>
      <c r="Y16" s="110"/>
      <c r="Z16" s="11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</row>
    <row r="17" spans="1:54" ht="15">
      <c r="A17" s="116"/>
      <c r="B17" s="112"/>
      <c r="C17" s="112"/>
      <c r="D17" s="112"/>
      <c r="E17" s="112"/>
      <c r="F17" s="112"/>
      <c r="G17" s="112"/>
      <c r="H17" s="112"/>
      <c r="I17" s="112"/>
      <c r="J17" s="111"/>
      <c r="K17" s="113"/>
      <c r="L17" s="112"/>
      <c r="M17" s="110"/>
      <c r="N17" s="110"/>
      <c r="O17" s="110"/>
      <c r="P17" s="117"/>
      <c r="Q17" s="118"/>
      <c r="R17" s="117"/>
      <c r="T17" s="110"/>
      <c r="U17" s="110"/>
      <c r="V17" s="110"/>
      <c r="W17" s="110"/>
      <c r="X17" s="110"/>
      <c r="Y17" s="110"/>
      <c r="Z17" s="110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</row>
    <row r="18" spans="1:54" ht="15">
      <c r="A18" s="119"/>
      <c r="B18" s="120"/>
      <c r="C18" s="120"/>
      <c r="D18" s="120"/>
      <c r="E18" s="120"/>
      <c r="F18" s="121"/>
      <c r="G18" s="121"/>
      <c r="H18" s="121"/>
      <c r="I18" s="121"/>
      <c r="J18" s="121"/>
      <c r="K18" s="122"/>
      <c r="L18" s="122"/>
      <c r="M18" s="123"/>
      <c r="N18" s="123"/>
      <c r="O18" s="123"/>
      <c r="P18" s="123"/>
      <c r="Q18" s="123"/>
      <c r="R18" s="123"/>
      <c r="S18" s="123"/>
      <c r="T18" s="123"/>
      <c r="U18" s="123"/>
      <c r="V18" s="123"/>
      <c r="W18" s="123"/>
      <c r="X18" s="123"/>
      <c r="Y18" s="123"/>
      <c r="Z18" s="12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</row>
    <row r="19" spans="1:54" ht="15">
      <c r="A19" s="124"/>
      <c r="B19" s="125"/>
      <c r="C19" s="126"/>
      <c r="D19" s="127"/>
      <c r="E19" s="127"/>
      <c r="F19" s="127"/>
      <c r="G19" s="126"/>
      <c r="H19" s="128"/>
      <c r="I19" s="128"/>
      <c r="J19" s="128"/>
      <c r="K19" s="128"/>
      <c r="L19" s="128"/>
      <c r="M19" s="129"/>
      <c r="N19" s="129"/>
      <c r="O19" s="129"/>
      <c r="P19" s="129"/>
      <c r="Q19" s="129"/>
      <c r="R19" s="127"/>
      <c r="S19" s="128"/>
      <c r="T19" s="129"/>
      <c r="U19" s="129"/>
      <c r="V19" s="129"/>
      <c r="W19" s="129"/>
      <c r="X19" s="129"/>
      <c r="Y19" s="129"/>
      <c r="Z19" s="129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</row>
    <row r="20" spans="1:54" ht="15">
      <c r="A20" s="116" t="s">
        <v>239</v>
      </c>
      <c r="B20" s="114"/>
      <c r="C20" s="112"/>
      <c r="D20" s="110"/>
      <c r="E20" s="110"/>
      <c r="F20" s="110"/>
      <c r="G20" s="112"/>
      <c r="H20" s="112"/>
      <c r="I20" s="112"/>
      <c r="J20" s="112"/>
      <c r="K20" s="112"/>
      <c r="L20" s="112"/>
      <c r="M20" s="110"/>
      <c r="N20" s="110"/>
      <c r="O20" s="110"/>
      <c r="P20" s="110"/>
      <c r="Q20" s="110"/>
      <c r="R20" s="111"/>
      <c r="T20" s="110"/>
      <c r="U20" s="110"/>
      <c r="V20" s="110"/>
      <c r="W20" s="110"/>
      <c r="X20" s="110"/>
      <c r="Y20" s="110"/>
      <c r="Z20" s="110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</row>
    <row r="21" spans="1:54" ht="15" hidden="1">
      <c r="A21" s="116"/>
      <c r="B21" s="114"/>
      <c r="C21" s="112"/>
      <c r="D21" s="110"/>
      <c r="E21" s="110"/>
      <c r="F21" s="112" t="s">
        <v>240</v>
      </c>
      <c r="G21" s="112"/>
      <c r="H21" s="112"/>
      <c r="I21" s="112"/>
      <c r="J21" s="112"/>
      <c r="K21" s="112"/>
      <c r="L21" s="112"/>
      <c r="M21" s="110"/>
      <c r="N21" s="110"/>
      <c r="O21" s="110"/>
      <c r="Q21" s="110"/>
      <c r="R21" s="110"/>
      <c r="S21" s="112"/>
      <c r="T21" s="110"/>
      <c r="U21" s="110"/>
      <c r="V21" s="110"/>
      <c r="W21" s="110"/>
      <c r="X21" s="110"/>
      <c r="Y21" s="110"/>
      <c r="Z21" s="110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</row>
    <row r="22" spans="1:54" ht="15" hidden="1">
      <c r="A22" s="116"/>
      <c r="B22" s="114"/>
      <c r="C22" s="112"/>
      <c r="D22" s="110"/>
      <c r="E22" s="110"/>
      <c r="F22" s="112" t="s">
        <v>241</v>
      </c>
      <c r="G22" s="112"/>
      <c r="H22" s="112"/>
      <c r="I22" s="112"/>
      <c r="J22" s="112"/>
      <c r="K22" s="112"/>
      <c r="L22" s="112"/>
      <c r="M22" s="110"/>
      <c r="N22" s="110"/>
      <c r="O22" s="110"/>
      <c r="Q22" s="110"/>
      <c r="R22" s="110"/>
      <c r="S22" s="112"/>
      <c r="T22" s="110"/>
      <c r="U22" s="110"/>
      <c r="V22" s="110"/>
      <c r="W22" s="110"/>
      <c r="X22" s="110"/>
      <c r="Y22" s="110"/>
      <c r="Z22" s="110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</row>
    <row r="23" spans="1:54" ht="15">
      <c r="A23" s="116"/>
      <c r="B23" s="114"/>
      <c r="C23" s="112"/>
      <c r="D23" s="110"/>
      <c r="E23" s="110"/>
      <c r="F23" s="110"/>
      <c r="G23" s="112"/>
      <c r="H23" s="112"/>
      <c r="I23" s="112"/>
      <c r="J23" s="112" t="s">
        <v>242</v>
      </c>
      <c r="K23" s="113"/>
      <c r="L23" s="112"/>
      <c r="M23" s="110"/>
      <c r="N23" s="110"/>
      <c r="O23" s="110"/>
      <c r="P23" s="112"/>
      <c r="Q23" s="110"/>
      <c r="R23" s="111"/>
      <c r="T23" s="110"/>
      <c r="U23" s="110"/>
      <c r="V23" s="110"/>
      <c r="W23" s="110"/>
      <c r="X23" s="110"/>
      <c r="Y23" s="110"/>
      <c r="Z23" s="110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</row>
    <row r="24" spans="1:54" ht="15" hidden="1">
      <c r="A24" s="116"/>
      <c r="B24" s="114"/>
      <c r="C24" s="112"/>
      <c r="D24" s="110"/>
      <c r="E24" s="110"/>
      <c r="F24" s="110"/>
      <c r="G24" s="112"/>
      <c r="H24" s="112"/>
      <c r="I24" s="112"/>
      <c r="J24" s="112" t="s">
        <v>243</v>
      </c>
      <c r="K24" s="113"/>
      <c r="L24" s="112"/>
      <c r="M24" s="109"/>
      <c r="N24" s="110"/>
      <c r="O24" s="110"/>
      <c r="P24" s="110"/>
      <c r="Q24" s="110"/>
      <c r="R24" s="111"/>
      <c r="T24" s="110"/>
      <c r="U24" s="110"/>
      <c r="V24" s="110"/>
      <c r="W24" s="110"/>
      <c r="X24" s="110"/>
      <c r="Y24" s="110"/>
      <c r="Z24" s="110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</row>
    <row r="25" spans="1:54" ht="15">
      <c r="A25" s="116"/>
      <c r="B25" s="114"/>
      <c r="C25" s="112"/>
      <c r="D25" s="110"/>
      <c r="E25" s="110"/>
      <c r="F25" s="110"/>
      <c r="G25" s="112"/>
      <c r="H25" s="112"/>
      <c r="I25" s="112"/>
      <c r="J25" s="112"/>
      <c r="K25" s="112"/>
      <c r="M25" s="111"/>
      <c r="N25" s="110" t="s">
        <v>244</v>
      </c>
      <c r="O25" s="110"/>
      <c r="P25" s="110"/>
      <c r="Q25" s="110"/>
      <c r="R25" s="111"/>
      <c r="T25" s="110"/>
      <c r="U25" s="110"/>
      <c r="V25" s="110"/>
      <c r="W25" s="110"/>
      <c r="X25" s="110"/>
      <c r="Y25" s="110"/>
      <c r="Z25" s="110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</row>
    <row r="26" spans="1:54" ht="15">
      <c r="A26" s="116"/>
      <c r="B26" s="114"/>
      <c r="C26" s="112"/>
      <c r="D26" s="110"/>
      <c r="E26" s="110"/>
      <c r="F26" s="110"/>
      <c r="G26" s="112"/>
      <c r="H26" s="112"/>
      <c r="I26" s="112"/>
      <c r="J26" s="112"/>
      <c r="K26" s="112"/>
      <c r="M26" s="111"/>
      <c r="N26" s="110" t="s">
        <v>245</v>
      </c>
      <c r="P26" s="110"/>
      <c r="Q26" s="110"/>
      <c r="R26" s="111"/>
      <c r="T26" s="110"/>
      <c r="U26" s="110"/>
      <c r="V26" s="110"/>
      <c r="W26" s="110"/>
      <c r="X26" s="110"/>
      <c r="Y26" s="110"/>
      <c r="Z26" s="110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</row>
    <row r="27" spans="1:54" ht="15">
      <c r="A27" s="116"/>
      <c r="B27" s="114"/>
      <c r="C27" s="112"/>
      <c r="D27" s="110"/>
      <c r="E27" s="110"/>
      <c r="F27" s="110"/>
      <c r="G27" s="112"/>
      <c r="H27" s="112"/>
      <c r="I27" s="112"/>
      <c r="J27" s="112"/>
      <c r="K27" s="112"/>
      <c r="L27" s="112"/>
      <c r="M27" s="110"/>
      <c r="N27" s="110"/>
      <c r="O27" s="110"/>
      <c r="P27" s="110"/>
      <c r="Q27" s="110"/>
      <c r="R27" s="110"/>
      <c r="S27" s="112"/>
      <c r="T27" s="110"/>
      <c r="U27" s="110"/>
      <c r="V27" s="110"/>
      <c r="W27" s="110"/>
      <c r="X27" s="110"/>
      <c r="Y27" s="110"/>
      <c r="Z27" s="110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</row>
    <row r="28" spans="1:54" ht="15">
      <c r="A28" s="116"/>
      <c r="B28" s="114"/>
      <c r="C28" s="112"/>
      <c r="D28" s="110"/>
      <c r="E28" s="110"/>
      <c r="F28" s="110"/>
      <c r="G28" s="112"/>
      <c r="H28" s="112"/>
      <c r="I28" s="112"/>
      <c r="J28" s="112"/>
      <c r="K28" s="112"/>
      <c r="L28" s="112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</row>
    <row r="29" spans="1:54" ht="15">
      <c r="A29" s="116"/>
      <c r="B29" s="114"/>
      <c r="C29" s="112"/>
      <c r="D29" s="110"/>
      <c r="E29" s="110"/>
      <c r="F29" s="110"/>
      <c r="G29" s="112"/>
      <c r="H29" s="112"/>
      <c r="I29" s="112"/>
      <c r="J29" s="112"/>
      <c r="K29" s="112"/>
      <c r="L29" s="112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</row>
    <row r="30" spans="1:54" ht="15">
      <c r="A30" s="116"/>
      <c r="B30" s="114"/>
      <c r="C30" s="112"/>
      <c r="D30" s="110"/>
      <c r="E30" s="110"/>
      <c r="F30" s="110"/>
      <c r="G30" s="112"/>
      <c r="H30" s="112"/>
      <c r="I30" s="112"/>
      <c r="J30" s="112"/>
      <c r="K30" s="112"/>
      <c r="L30" s="112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</row>
    <row r="31" spans="1:54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</row>
    <row r="33" spans="1:54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</row>
    <row r="34" spans="1:5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</row>
    <row r="35" spans="1:54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</row>
    <row r="36" spans="1:54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</row>
    <row r="37" spans="1:5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</row>
    <row r="38" spans="1:5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</row>
    <row r="39" spans="1:5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</row>
    <row r="40" spans="1:5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</row>
    <row r="41" spans="1:5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</row>
    <row r="42" spans="1:5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</row>
    <row r="43" spans="1:54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</row>
    <row r="44" spans="1:5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</row>
    <row r="45" spans="1:54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</row>
    <row r="49" spans="1:54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</row>
    <row r="50" spans="1:54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</row>
    <row r="51" spans="1:54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</row>
    <row r="52" spans="1:54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</row>
    <row r="53" spans="1:54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</row>
    <row r="54" spans="1: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</row>
    <row r="55" spans="1:54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</row>
    <row r="56" spans="1:54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</row>
    <row r="57" spans="1:54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</row>
    <row r="58" spans="1:54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</row>
    <row r="59" spans="1:54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</row>
    <row r="60" spans="1:54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</row>
    <row r="61" spans="1:54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</row>
    <row r="62" spans="1:54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</row>
    <row r="63" spans="1:54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</row>
    <row r="64" spans="1:5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</row>
    <row r="65" spans="1:54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</row>
    <row r="66" spans="1:54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</row>
    <row r="67" spans="1:54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</row>
    <row r="68" spans="1:54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</row>
    <row r="69" spans="1:54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</row>
    <row r="70" spans="1:54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</row>
    <row r="72" spans="1:54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</row>
    <row r="73" spans="1:54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</row>
    <row r="74" spans="1:5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</row>
    <row r="76" spans="1:54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</row>
    <row r="77" spans="1:54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</row>
    <row r="78" spans="1:54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</row>
    <row r="79" spans="1:54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</row>
    <row r="80" spans="1:54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</row>
    <row r="81" spans="1:54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</row>
    <row r="82" spans="1:54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</row>
    <row r="83" spans="1:54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</row>
    <row r="84" spans="1:5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</row>
    <row r="85" spans="1:54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</row>
    <row r="86" spans="1:54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</row>
    <row r="87" spans="1:54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</row>
    <row r="88" spans="1:54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</row>
    <row r="89" spans="1:54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</row>
    <row r="90" spans="1:54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</row>
    <row r="91" spans="1:54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</row>
    <row r="92" spans="1:54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</row>
    <row r="93" spans="1:54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</row>
    <row r="94" spans="1:5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</row>
    <row r="95" spans="1:54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</row>
    <row r="96" spans="1:54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</row>
    <row r="97" spans="1:54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</row>
    <row r="98" spans="1:54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</row>
    <row r="99" spans="1:54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</row>
    <row r="102" spans="1:54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</row>
    <row r="103" spans="1:54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</row>
    <row r="104" spans="1:5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</row>
    <row r="105" spans="1:54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</row>
    <row r="106" spans="1:54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</row>
    <row r="108" spans="1:54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</row>
    <row r="110" spans="1:54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</row>
    <row r="111" spans="1:54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</row>
    <row r="112" spans="1:54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</row>
    <row r="113" spans="1:54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</row>
    <row r="114" spans="1:5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</row>
    <row r="115" spans="1:54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</row>
    <row r="116" spans="1:54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</row>
    <row r="117" spans="1:54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</row>
    <row r="118" spans="1:54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</row>
    <row r="119" spans="1:54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</row>
    <row r="120" spans="1:54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</row>
    <row r="121" spans="1:54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</row>
    <row r="122" spans="1:54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</row>
    <row r="123" spans="1:54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</row>
    <row r="124" spans="1:5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</row>
    <row r="126" spans="1:54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</row>
    <row r="127" spans="1:54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</row>
    <row r="129" spans="1:54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</row>
    <row r="130" spans="1:54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</row>
    <row r="131" spans="1:54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</row>
    <row r="132" spans="1:54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</row>
    <row r="133" spans="1:54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</row>
    <row r="134" spans="1:5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</row>
    <row r="135" spans="1:54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</row>
    <row r="136" spans="1:54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</row>
    <row r="137" spans="1:54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</row>
    <row r="138" spans="1:54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</row>
    <row r="139" spans="1:54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</row>
    <row r="140" spans="1:54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</row>
    <row r="141" spans="1:54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</row>
    <row r="142" spans="1:54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</row>
    <row r="143" spans="1:54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</row>
    <row r="144" spans="1:5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</row>
    <row r="145" spans="1:54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</row>
    <row r="146" spans="1:54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</row>
    <row r="147" spans="1:54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</row>
    <row r="148" spans="1:54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</row>
    <row r="149" spans="1:54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</row>
    <row r="150" spans="1:54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</row>
    <row r="151" spans="1:54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</row>
    <row r="152" spans="1:54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</row>
    <row r="153" spans="1:54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</row>
    <row r="154" spans="1: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</row>
    <row r="156" spans="1:54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</row>
    <row r="159" spans="1:54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</row>
    <row r="160" spans="1:54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</row>
    <row r="161" spans="1:54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</row>
    <row r="162" spans="1:54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</row>
    <row r="163" spans="1:54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</row>
    <row r="164" spans="1:5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</row>
    <row r="165" spans="1:54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</row>
    <row r="166" spans="1:54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</row>
    <row r="167" spans="1:54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</row>
    <row r="168" spans="1:54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</row>
    <row r="169" spans="1:54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</row>
    <row r="170" spans="1:54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</row>
    <row r="171" spans="1:54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</row>
    <row r="172" spans="1:54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</row>
    <row r="173" spans="1:54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</row>
    <row r="174" spans="1:5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</row>
    <row r="175" spans="1:54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</row>
    <row r="176" spans="1:54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</row>
    <row r="177" spans="1:54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</row>
    <row r="178" spans="1:54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</row>
    <row r="179" spans="1:54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</row>
    <row r="180" spans="1:54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</row>
    <row r="181" spans="1:54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</row>
    <row r="182" spans="1:54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</row>
    <row r="183" spans="1:54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</row>
    <row r="184" spans="1:5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</row>
    <row r="185" spans="1:54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</row>
    <row r="186" spans="1:54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</row>
    <row r="187" spans="1:54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</row>
    <row r="188" spans="1:54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</row>
    <row r="189" spans="1:54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</row>
    <row r="190" spans="1:54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</row>
    <row r="191" spans="1:54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</row>
    <row r="192" spans="1:54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</row>
    <row r="193" spans="1:54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</row>
    <row r="194" spans="1:5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</row>
    <row r="195" spans="1:54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</row>
    <row r="196" spans="1:54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</row>
    <row r="197" spans="1:54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</row>
    <row r="198" spans="1:54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</row>
    <row r="199" spans="1:54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</row>
    <row r="200" spans="1:54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</row>
    <row r="201" spans="1:54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</row>
    <row r="202" spans="1:54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</row>
    <row r="203" spans="1:54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</row>
    <row r="204" spans="1:5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</row>
    <row r="205" spans="1:54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</row>
    <row r="206" spans="1:54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</row>
    <row r="207" spans="1:54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</row>
    <row r="208" spans="1:54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</row>
    <row r="209" spans="1:54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</row>
    <row r="210" spans="1:54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</row>
    <row r="211" spans="1:54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</row>
    <row r="212" spans="1:54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</row>
    <row r="213" spans="1:54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</row>
    <row r="214" spans="1:5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</row>
    <row r="215" spans="1:54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</row>
    <row r="216" spans="1:54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</row>
    <row r="217" spans="1:54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</row>
    <row r="218" spans="1:54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</row>
    <row r="219" spans="1:54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</row>
    <row r="220" spans="1:54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</row>
    <row r="221" spans="1:54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</row>
    <row r="222" spans="1:54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</row>
    <row r="223" spans="1:54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</row>
    <row r="224" spans="1:5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</row>
    <row r="225" spans="1:54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</row>
    <row r="226" spans="1:54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</row>
    <row r="227" spans="1:54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</row>
    <row r="228" spans="1:54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</row>
    <row r="229" spans="1:54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</row>
    <row r="230" spans="1:54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</row>
    <row r="231" spans="1:54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</row>
    <row r="232" spans="1:54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</row>
    <row r="233" spans="1:54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</row>
    <row r="234" spans="1:5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</row>
    <row r="235" spans="1:54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</row>
    <row r="236" spans="1:54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</row>
    <row r="237" spans="1:54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</row>
    <row r="238" spans="1:54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</row>
    <row r="239" spans="1:54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</row>
    <row r="240" spans="1:54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</row>
    <row r="241" spans="1:54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</row>
    <row r="242" spans="1:54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</row>
    <row r="243" spans="1:54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</row>
    <row r="244" spans="1:5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</row>
    <row r="245" spans="1:54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</row>
    <row r="246" spans="1:54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</row>
    <row r="247" spans="1:54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</row>
    <row r="248" spans="1:54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</row>
    <row r="249" spans="1:54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</row>
    <row r="250" spans="1:54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</row>
    <row r="251" spans="1:54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</row>
    <row r="252" spans="1:54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</row>
    <row r="253" spans="1:54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</row>
    <row r="254" spans="1: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</row>
    <row r="255" spans="1:54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</row>
    <row r="256" spans="1:54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</row>
    <row r="257" spans="1:54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</row>
    <row r="258" spans="1:54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</row>
    <row r="259" spans="1:54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</row>
    <row r="260" spans="1:54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</row>
    <row r="261" spans="1:54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</row>
    <row r="262" spans="1:54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</row>
    <row r="263" spans="1:54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</row>
    <row r="264" spans="1:5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</row>
    <row r="265" spans="1:54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</row>
    <row r="266" spans="1:54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</row>
    <row r="267" spans="1:54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</row>
    <row r="268" spans="1:54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</row>
    <row r="269" spans="1:54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</row>
    <row r="270" spans="1:54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</row>
    <row r="271" spans="1:54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</row>
    <row r="272" spans="1:54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</row>
    <row r="273" spans="1:54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</row>
    <row r="274" spans="1:5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</row>
    <row r="275" spans="1:54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</row>
    <row r="276" spans="1:54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</row>
    <row r="277" spans="1:54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</row>
    <row r="278" spans="1:54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</row>
    <row r="279" spans="1:54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</row>
    <row r="280" spans="1:54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</row>
    <row r="281" spans="1:54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</row>
    <row r="282" spans="1:54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</row>
    <row r="283" spans="1:54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</row>
    <row r="284" spans="1:5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</row>
    <row r="285" spans="1:54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</row>
    <row r="286" spans="1:54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</row>
    <row r="287" spans="1:54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</row>
    <row r="288" spans="1:54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</row>
    <row r="289" spans="1:54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</row>
    <row r="290" spans="1:54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</row>
    <row r="291" spans="1:54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</row>
    <row r="292" spans="1:54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</row>
    <row r="293" spans="1:54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</row>
    <row r="294" spans="1:5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</row>
    <row r="295" spans="1:54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</row>
    <row r="296" spans="1:54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</row>
    <row r="297" spans="1:54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</row>
    <row r="298" spans="1:54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</row>
    <row r="299" spans="1:54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</row>
    <row r="300" spans="1:54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</row>
    <row r="301" spans="1:54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</row>
    <row r="302" spans="1:54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</row>
    <row r="303" spans="1:54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</row>
    <row r="304" spans="1:5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</row>
    <row r="305" spans="1:54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</row>
    <row r="306" spans="1:54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</row>
    <row r="307" spans="1:54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</row>
    <row r="308" spans="1:54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</row>
    <row r="309" spans="1:54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</row>
    <row r="310" spans="1:54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</row>
    <row r="311" spans="1:54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</row>
    <row r="312" spans="1:54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</row>
    <row r="313" spans="1:54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</row>
    <row r="314" spans="1:5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</row>
    <row r="315" spans="1:54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</row>
    <row r="316" spans="1:54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</row>
    <row r="317" spans="1:54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</row>
    <row r="318" spans="1:54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</row>
    <row r="319" spans="1:54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</row>
    <row r="320" spans="1:54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</row>
    <row r="321" spans="1:54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</row>
    <row r="322" spans="1:54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</row>
    <row r="323" spans="1:54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</row>
    <row r="324" spans="1:5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</row>
    <row r="325" spans="1:54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</row>
    <row r="326" spans="1:54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</row>
    <row r="327" spans="1:54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</row>
    <row r="328" spans="1:54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</row>
    <row r="329" spans="1:54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</row>
    <row r="330" spans="1:54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</row>
    <row r="331" spans="1:54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</row>
    <row r="332" spans="1:54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</row>
    <row r="333" spans="1:54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</row>
    <row r="334" spans="1:5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</row>
    <row r="335" spans="1:54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</row>
    <row r="336" spans="1:54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</row>
    <row r="337" spans="1:54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</row>
    <row r="338" spans="1:54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</row>
    <row r="339" spans="1:54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</row>
    <row r="340" spans="1:54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</row>
    <row r="341" spans="1:54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</row>
    <row r="342" spans="1:54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</row>
    <row r="343" spans="1:54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</row>
    <row r="344" spans="1:5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</row>
    <row r="345" spans="1:54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</row>
    <row r="346" spans="1:54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</row>
    <row r="347" spans="1:54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</row>
    <row r="348" spans="1:54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</row>
    <row r="349" spans="1:54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</row>
    <row r="350" spans="1:54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</row>
  </sheetData>
  <mergeCells count="6">
    <mergeCell ref="R5:U5"/>
    <mergeCell ref="V5:Y5"/>
    <mergeCell ref="B5:E5"/>
    <mergeCell ref="F5:I5"/>
    <mergeCell ref="J5:M5"/>
    <mergeCell ref="N5:Q5"/>
  </mergeCells>
  <printOptions horizontalCentered="1"/>
  <pageMargins left="0.75" right="0.75" top="1" bottom="1" header="0.5" footer="0.5"/>
  <pageSetup scale="51" orientation="landscape" horizontalDpi="4294967292" verticalDpi="4294967292" r:id="rId1"/>
  <headerFooter alignWithMargins="0">
    <oddFooter>&amp;LScot Chambers
&amp;D&amp;CPage _____&amp;R&amp;F
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0"/>
  <sheetViews>
    <sheetView zoomScale="75" workbookViewId="0"/>
  </sheetViews>
  <sheetFormatPr defaultRowHeight="12.75"/>
  <cols>
    <col min="1" max="1" width="32.140625" customWidth="1"/>
    <col min="5" max="5" width="10.5703125" bestFit="1" customWidth="1"/>
    <col min="6" max="6" width="10.85546875" bestFit="1" customWidth="1"/>
  </cols>
  <sheetData>
    <row r="1" spans="1:10" ht="15.75">
      <c r="A1" s="10" t="str">
        <f>Scope!A1</f>
        <v>St Peter, Illinois (Ameren) Power Project, Rev 0</v>
      </c>
      <c r="B1" s="2"/>
      <c r="C1" s="2"/>
      <c r="D1" s="2"/>
      <c r="E1" s="2"/>
      <c r="F1" s="2"/>
      <c r="G1" s="2"/>
      <c r="H1" s="2"/>
      <c r="I1" s="2"/>
      <c r="J1" s="3"/>
    </row>
    <row r="2" spans="1:10" ht="15.75">
      <c r="A2" s="87" t="s">
        <v>117</v>
      </c>
      <c r="B2" s="2"/>
      <c r="C2" s="2"/>
      <c r="D2" s="2"/>
      <c r="E2" s="2"/>
      <c r="F2" s="2"/>
      <c r="G2" s="2"/>
      <c r="H2" s="2"/>
      <c r="I2" s="2"/>
      <c r="J2" s="3"/>
    </row>
    <row r="3" spans="1:10" ht="13.5" thickBot="1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>
      <c r="A4" s="71"/>
      <c r="B4" s="130"/>
      <c r="C4" s="130" t="s">
        <v>246</v>
      </c>
      <c r="D4" s="130" t="s">
        <v>247</v>
      </c>
      <c r="E4" s="130" t="s">
        <v>248</v>
      </c>
      <c r="F4" s="130" t="s">
        <v>249</v>
      </c>
      <c r="G4" s="71"/>
      <c r="H4" s="71"/>
      <c r="I4" s="71"/>
      <c r="J4" s="71"/>
    </row>
    <row r="5" spans="1:10">
      <c r="A5" s="71"/>
      <c r="B5" s="131" t="s">
        <v>250</v>
      </c>
      <c r="C5" s="131" t="s">
        <v>251</v>
      </c>
      <c r="D5" s="131" t="s">
        <v>252</v>
      </c>
      <c r="E5" s="131" t="s">
        <v>253</v>
      </c>
      <c r="F5" s="131" t="s">
        <v>254</v>
      </c>
      <c r="G5" s="71"/>
      <c r="H5" s="71"/>
      <c r="I5" s="71"/>
      <c r="J5" s="71"/>
    </row>
    <row r="6" spans="1:10" ht="13.5" thickBot="1">
      <c r="A6" s="71"/>
      <c r="B6" s="132" t="s">
        <v>255</v>
      </c>
      <c r="C6" s="132" t="s">
        <v>256</v>
      </c>
      <c r="D6" s="133" t="s">
        <v>257</v>
      </c>
      <c r="E6" s="133" t="s">
        <v>258</v>
      </c>
      <c r="F6" s="133" t="s">
        <v>183</v>
      </c>
      <c r="G6" s="71"/>
      <c r="H6" s="71"/>
      <c r="I6" s="71"/>
      <c r="J6" s="71"/>
    </row>
    <row r="7" spans="1:10">
      <c r="A7" s="71"/>
      <c r="B7" s="134"/>
      <c r="C7" s="134"/>
      <c r="D7" s="134"/>
      <c r="E7" s="135"/>
      <c r="F7" s="136"/>
      <c r="G7" s="71"/>
      <c r="H7" s="71"/>
      <c r="I7" s="71"/>
      <c r="J7" s="71"/>
    </row>
    <row r="8" spans="1:10">
      <c r="A8" s="71" t="s">
        <v>236</v>
      </c>
      <c r="B8" s="137">
        <f>Plt_Staff!B8</f>
        <v>1</v>
      </c>
      <c r="C8" s="138" t="s">
        <v>259</v>
      </c>
      <c r="D8" s="137">
        <v>6</v>
      </c>
      <c r="E8" s="139">
        <f>'Pay &amp; Benefits Calculations'!P28/6</f>
        <v>9744.2670769230754</v>
      </c>
      <c r="F8" s="140">
        <f>E8*D8*B8</f>
        <v>58465.602461538452</v>
      </c>
      <c r="G8" s="71"/>
      <c r="H8" s="71"/>
      <c r="I8" s="71"/>
      <c r="J8" s="71"/>
    </row>
    <row r="9" spans="1:10" hidden="1">
      <c r="A9" s="71" t="s">
        <v>260</v>
      </c>
      <c r="B9" s="137">
        <v>0</v>
      </c>
      <c r="C9" s="138" t="s">
        <v>261</v>
      </c>
      <c r="D9" s="137">
        <v>0</v>
      </c>
      <c r="E9" s="139"/>
      <c r="F9" s="140">
        <f>E9*D9*B9</f>
        <v>0</v>
      </c>
      <c r="G9" s="71"/>
      <c r="H9" s="71"/>
      <c r="I9" s="71"/>
      <c r="J9" s="71"/>
    </row>
    <row r="10" spans="1:10" hidden="1">
      <c r="A10" s="71" t="s">
        <v>262</v>
      </c>
      <c r="B10" s="137">
        <v>0</v>
      </c>
      <c r="C10" s="138" t="s">
        <v>259</v>
      </c>
      <c r="D10" s="137">
        <v>0</v>
      </c>
      <c r="E10" s="139"/>
      <c r="F10" s="140">
        <f>E10*D10*B10</f>
        <v>0</v>
      </c>
      <c r="G10" s="71"/>
      <c r="H10" s="71"/>
      <c r="I10" s="71"/>
      <c r="J10" s="71"/>
    </row>
    <row r="11" spans="1:10">
      <c r="A11" s="71" t="s">
        <v>237</v>
      </c>
      <c r="B11" s="137">
        <f>Plt_Staff!B9</f>
        <v>1</v>
      </c>
      <c r="C11" s="138" t="s">
        <v>259</v>
      </c>
      <c r="D11" s="137">
        <v>5</v>
      </c>
      <c r="E11" s="139">
        <f>('Pay &amp; Benefits Calculations'!P31+'Pay &amp; Benefits Calculations'!P49)/5</f>
        <v>3386.756876923077</v>
      </c>
      <c r="F11" s="140">
        <f>E11*D11*B11</f>
        <v>16933.784384615385</v>
      </c>
      <c r="G11" s="71"/>
      <c r="H11" s="71"/>
      <c r="I11" s="71"/>
      <c r="J11" s="71"/>
    </row>
    <row r="12" spans="1:10" hidden="1">
      <c r="A12" s="71" t="s">
        <v>238</v>
      </c>
      <c r="B12" s="137">
        <f>Plt_Staff!B12</f>
        <v>0</v>
      </c>
      <c r="C12" s="138" t="s">
        <v>264</v>
      </c>
      <c r="D12" s="137">
        <v>5</v>
      </c>
      <c r="E12" s="139">
        <f>(Plt_Staff!H11+Plt_Staff!H12)/12</f>
        <v>205.97395000000003</v>
      </c>
      <c r="F12" s="140">
        <f>E12*D12*B12</f>
        <v>0</v>
      </c>
      <c r="G12" s="71"/>
      <c r="H12" s="71"/>
      <c r="I12" s="71"/>
      <c r="J12" s="71"/>
    </row>
    <row r="13" spans="1:10">
      <c r="A13" s="71" t="s">
        <v>1031</v>
      </c>
      <c r="B13" s="137">
        <f>'Pay &amp; Benefits Calculations'!N34</f>
        <v>2</v>
      </c>
      <c r="C13" s="138" t="s">
        <v>1032</v>
      </c>
      <c r="D13" s="137">
        <v>3</v>
      </c>
      <c r="E13" s="139">
        <f>('Pay &amp; Benefits Calculations'!P34+'Pay &amp; Benefits Calculations'!P52)/3</f>
        <v>15304.886153846155</v>
      </c>
      <c r="F13" s="140">
        <f>E13*D13</f>
        <v>45914.658461538464</v>
      </c>
      <c r="G13" s="71"/>
      <c r="H13" s="71"/>
      <c r="I13" s="71"/>
      <c r="J13" s="71"/>
    </row>
    <row r="14" spans="1:10">
      <c r="A14" s="71" t="s">
        <v>620</v>
      </c>
      <c r="B14" s="137">
        <f>'Pay &amp; Benefits Calculations'!N35</f>
        <v>3</v>
      </c>
      <c r="C14" s="138" t="s">
        <v>1032</v>
      </c>
      <c r="D14" s="137">
        <v>1</v>
      </c>
      <c r="E14" s="139">
        <f>('Pay &amp; Benefits Calculations'!P35+'Pay &amp; Benefits Calculations'!P53)/1</f>
        <v>27304.737230769231</v>
      </c>
      <c r="F14" s="140">
        <f>E14*D14</f>
        <v>27304.737230769231</v>
      </c>
      <c r="G14" s="71"/>
      <c r="H14" s="71"/>
      <c r="I14" s="71"/>
      <c r="J14" s="71"/>
    </row>
    <row r="15" spans="1:10">
      <c r="A15" s="71"/>
      <c r="B15" s="137"/>
      <c r="C15" s="138"/>
      <c r="D15" s="137"/>
      <c r="E15" s="139"/>
      <c r="F15" s="140"/>
      <c r="G15" s="71"/>
      <c r="H15" s="71"/>
      <c r="I15" s="71"/>
      <c r="J15" s="71"/>
    </row>
    <row r="16" spans="1:10" ht="13.5" thickBot="1">
      <c r="A16" s="71"/>
      <c r="B16" s="133"/>
      <c r="C16" s="141"/>
      <c r="D16" s="133"/>
      <c r="E16" s="142"/>
      <c r="F16" s="143"/>
      <c r="G16" s="71"/>
      <c r="H16" s="71"/>
      <c r="I16" s="71"/>
      <c r="J16" s="71"/>
    </row>
    <row r="17" spans="1:10">
      <c r="A17" s="71"/>
      <c r="B17" s="144"/>
      <c r="C17" s="144"/>
      <c r="D17" s="144"/>
      <c r="E17" s="145"/>
      <c r="F17" s="145"/>
      <c r="G17" s="71"/>
      <c r="H17" s="71"/>
      <c r="I17" s="71"/>
      <c r="J17" s="71"/>
    </row>
    <row r="18" spans="1:10" ht="13.5" thickBot="1">
      <c r="A18" s="19"/>
      <c r="B18" s="144"/>
      <c r="C18" s="144"/>
      <c r="D18" s="144"/>
      <c r="E18" s="146"/>
      <c r="F18" s="145"/>
      <c r="G18" s="19"/>
      <c r="H18" s="19"/>
      <c r="I18" s="19"/>
      <c r="J18" s="19"/>
    </row>
    <row r="19" spans="1:10" ht="13.5" thickBot="1">
      <c r="A19" s="71" t="s">
        <v>267</v>
      </c>
      <c r="B19" s="147">
        <f>SUM(B7:B16)</f>
        <v>7</v>
      </c>
      <c r="C19" s="148"/>
      <c r="D19" s="149"/>
      <c r="E19" s="150"/>
      <c r="F19" s="151">
        <f>SUM(F8:F16)</f>
        <v>148618.78253846153</v>
      </c>
      <c r="G19" s="71"/>
      <c r="H19" s="71"/>
      <c r="I19" s="71"/>
      <c r="J19" s="71"/>
    </row>
    <row r="20" spans="1:10">
      <c r="A20" s="71"/>
      <c r="B20" s="152"/>
      <c r="C20" s="71"/>
      <c r="D20" s="71"/>
      <c r="E20" s="152"/>
      <c r="F20" s="71"/>
      <c r="G20" s="71"/>
      <c r="H20" s="71"/>
      <c r="I20" s="71"/>
      <c r="J20" s="71"/>
    </row>
  </sheetData>
  <printOptions horizontalCentered="1"/>
  <pageMargins left="0.75" right="0.75" top="1" bottom="1" header="0.5" footer="0.5"/>
  <pageSetup scale="84" orientation="portrait" horizontalDpi="4294967292" verticalDpi="4294967292" r:id="rId1"/>
  <headerFooter alignWithMargins="0">
    <oddFooter>&amp;LScot Chambers
&amp;D&amp;CPage _____&amp;R&amp;F
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351"/>
  <sheetViews>
    <sheetView zoomScale="75" workbookViewId="0"/>
  </sheetViews>
  <sheetFormatPr defaultRowHeight="12.75"/>
  <cols>
    <col min="6" max="6" width="33" customWidth="1"/>
    <col min="8" max="8" width="12.5703125" customWidth="1"/>
    <col min="9" max="9" width="15.28515625" bestFit="1" customWidth="1"/>
    <col min="11" max="11" width="41.7109375" bestFit="1" customWidth="1"/>
  </cols>
  <sheetData>
    <row r="1" spans="1:44" ht="15.75">
      <c r="A1" s="10" t="str">
        <f>Scope!A1</f>
        <v>St Peter, Illinois (Ameren) Power Project, Rev 0</v>
      </c>
      <c r="B1" s="2"/>
      <c r="C1" s="2"/>
      <c r="D1" s="2"/>
      <c r="E1" s="2"/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ht="15.75">
      <c r="A2" s="87" t="s">
        <v>118</v>
      </c>
      <c r="B2" s="2"/>
      <c r="C2" s="2"/>
      <c r="D2" s="2"/>
      <c r="E2" s="2"/>
      <c r="F2" s="2"/>
      <c r="G2" s="2"/>
      <c r="H2" s="2"/>
      <c r="I2" s="2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</row>
    <row r="3" spans="1:44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>
      <c r="A4" s="3"/>
      <c r="B4" s="3"/>
      <c r="C4" s="3"/>
      <c r="D4" s="3"/>
      <c r="E4" s="3"/>
      <c r="F4" s="3"/>
      <c r="G4" s="3"/>
      <c r="H4" s="7" t="s">
        <v>269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</row>
    <row r="5" spans="1:44">
      <c r="A5" s="3"/>
      <c r="B5" s="3"/>
      <c r="C5" s="3"/>
      <c r="D5" s="3"/>
      <c r="E5" s="3"/>
      <c r="F5" s="3"/>
      <c r="G5" s="153" t="s">
        <v>270</v>
      </c>
      <c r="H5" s="153" t="s">
        <v>271</v>
      </c>
      <c r="I5" s="153" t="s">
        <v>272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</row>
    <row r="6" spans="1:44">
      <c r="A6" s="39" t="s">
        <v>1060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</row>
    <row r="7" spans="1:44">
      <c r="A7" s="3"/>
      <c r="B7" s="3" t="s">
        <v>273</v>
      </c>
      <c r="C7" s="3"/>
      <c r="D7" s="3"/>
      <c r="E7" s="3"/>
      <c r="F7" s="3"/>
      <c r="G7" s="154">
        <v>0.2</v>
      </c>
      <c r="H7" s="154">
        <f>G7*1</f>
        <v>0.2</v>
      </c>
      <c r="I7" s="155">
        <v>0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</row>
    <row r="8" spans="1:44">
      <c r="A8" s="3"/>
      <c r="B8" s="3" t="s">
        <v>274</v>
      </c>
      <c r="C8" s="3"/>
      <c r="D8" s="3"/>
      <c r="E8" s="3"/>
      <c r="F8" s="3"/>
      <c r="G8" s="154">
        <v>0.6</v>
      </c>
      <c r="H8" s="154">
        <f>G8*1</f>
        <v>0.6</v>
      </c>
      <c r="I8" s="155">
        <v>0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</row>
    <row r="9" spans="1:44">
      <c r="A9" s="3"/>
      <c r="B9" s="3" t="s">
        <v>60</v>
      </c>
      <c r="C9" s="3"/>
      <c r="D9" s="3"/>
      <c r="E9" s="3"/>
      <c r="F9" s="3"/>
      <c r="G9" s="154">
        <v>0.4</v>
      </c>
      <c r="H9" s="154">
        <f>G9*1</f>
        <v>0.4</v>
      </c>
      <c r="I9" s="155">
        <v>0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</row>
    <row r="10" spans="1:44">
      <c r="A10" s="3"/>
      <c r="B10" s="3" t="s">
        <v>61</v>
      </c>
      <c r="C10" s="3"/>
      <c r="D10" s="3"/>
      <c r="E10" s="3"/>
      <c r="F10" s="3"/>
      <c r="G10" s="156">
        <v>0.6</v>
      </c>
      <c r="H10" s="156">
        <f>G10*1</f>
        <v>0.6</v>
      </c>
      <c r="I10" s="157">
        <v>0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</row>
    <row r="11" spans="1:44">
      <c r="A11" s="3"/>
      <c r="B11" s="3"/>
      <c r="C11" s="3"/>
      <c r="D11" s="3"/>
      <c r="E11" s="3"/>
      <c r="F11" s="3"/>
      <c r="G11" s="154">
        <f>+SUM(G7:G10)</f>
        <v>1.8000000000000003</v>
      </c>
      <c r="H11" s="154">
        <f>+SUM(H7:H10)</f>
        <v>1.8000000000000003</v>
      </c>
      <c r="I11" s="158">
        <f>SUM(I7:I10)</f>
        <v>0</v>
      </c>
      <c r="J11" s="40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</row>
    <row r="12" spans="1:44">
      <c r="A12" s="3"/>
      <c r="B12" s="3"/>
      <c r="C12" s="3"/>
      <c r="D12" s="3"/>
      <c r="E12" s="3"/>
      <c r="F12" s="3"/>
      <c r="G12" s="154"/>
      <c r="H12" s="154"/>
      <c r="I12" s="155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</row>
    <row r="13" spans="1:44">
      <c r="A13" s="39" t="s">
        <v>65</v>
      </c>
      <c r="B13" s="3"/>
      <c r="C13" s="3"/>
      <c r="D13" s="3"/>
      <c r="E13" s="3"/>
      <c r="F13" s="3"/>
      <c r="G13" s="154"/>
      <c r="H13" s="154"/>
      <c r="I13" s="155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</row>
    <row r="14" spans="1:44" ht="14.25">
      <c r="A14" s="39"/>
      <c r="B14" s="3" t="s">
        <v>52</v>
      </c>
      <c r="C14" s="3"/>
      <c r="D14" s="3"/>
      <c r="E14" s="3"/>
      <c r="F14" s="3"/>
      <c r="G14" s="473">
        <v>0.6</v>
      </c>
      <c r="H14" s="473">
        <f>G14</f>
        <v>0.6</v>
      </c>
      <c r="I14" s="260">
        <f>H14*25</f>
        <v>15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</row>
    <row r="15" spans="1:44" hidden="1">
      <c r="A15" s="39"/>
      <c r="B15" s="3" t="s">
        <v>275</v>
      </c>
      <c r="C15" s="3"/>
      <c r="D15" s="3"/>
      <c r="E15" s="3"/>
      <c r="F15" s="3"/>
      <c r="G15" s="154">
        <v>0</v>
      </c>
      <c r="H15" s="154">
        <f>G15</f>
        <v>0</v>
      </c>
      <c r="I15" s="155">
        <f>H15*8</f>
        <v>0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</row>
    <row r="16" spans="1:44" ht="14.25">
      <c r="A16" s="3"/>
      <c r="B16" s="28" t="s">
        <v>632</v>
      </c>
      <c r="C16" s="3"/>
      <c r="D16" s="3"/>
      <c r="E16" s="3"/>
      <c r="F16" s="3"/>
      <c r="G16" s="156">
        <v>2</v>
      </c>
      <c r="H16" s="156">
        <f>G16*1</f>
        <v>2</v>
      </c>
      <c r="I16" s="159">
        <f>H16*8</f>
        <v>16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</row>
    <row r="17" spans="1:44">
      <c r="A17" s="3"/>
      <c r="B17" s="28"/>
      <c r="C17" s="3"/>
      <c r="D17" s="3"/>
      <c r="E17" s="3"/>
      <c r="F17" s="3"/>
      <c r="G17" s="154">
        <f>SUM(G14:G16)</f>
        <v>2.6</v>
      </c>
      <c r="H17" s="154">
        <f>SUM(H14:H16)</f>
        <v>2.6</v>
      </c>
      <c r="I17" s="154">
        <f>SUM(I14:I16)</f>
        <v>31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</row>
    <row r="18" spans="1:44">
      <c r="A18" s="3"/>
      <c r="B18" s="28"/>
      <c r="C18" s="3"/>
      <c r="D18" s="3"/>
      <c r="E18" s="3"/>
      <c r="F18" s="3"/>
      <c r="G18" s="154"/>
      <c r="H18" s="154"/>
      <c r="I18" s="155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</row>
    <row r="19" spans="1:44">
      <c r="A19" s="39" t="s">
        <v>1062</v>
      </c>
      <c r="B19" s="28"/>
      <c r="C19" s="3"/>
      <c r="D19" s="3"/>
      <c r="E19" s="3"/>
      <c r="F19" s="3"/>
      <c r="G19" s="154"/>
      <c r="H19" s="154"/>
      <c r="I19" s="155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</row>
    <row r="20" spans="1:44" ht="14.25">
      <c r="A20" s="160" t="s">
        <v>276</v>
      </c>
      <c r="B20" s="28" t="s">
        <v>346</v>
      </c>
      <c r="C20" s="3"/>
      <c r="D20" s="3"/>
      <c r="E20" s="3"/>
      <c r="F20" s="3"/>
      <c r="G20" s="161">
        <v>0.4</v>
      </c>
      <c r="H20" s="161">
        <f>G20</f>
        <v>0.4</v>
      </c>
      <c r="I20" s="162">
        <v>0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</row>
    <row r="21" spans="1:44">
      <c r="A21" s="3"/>
      <c r="B21" s="28"/>
      <c r="C21" s="3"/>
      <c r="D21" s="3"/>
      <c r="E21" s="3"/>
      <c r="F21" s="3"/>
      <c r="G21" s="154">
        <f>SUM(G20)</f>
        <v>0.4</v>
      </c>
      <c r="H21" s="154">
        <f>G21*1</f>
        <v>0.4</v>
      </c>
      <c r="I21" s="163">
        <f>SUM(I20)</f>
        <v>0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</row>
    <row r="22" spans="1:44">
      <c r="A22" s="3"/>
      <c r="B22" s="28"/>
      <c r="C22" s="3"/>
      <c r="D22" s="3"/>
      <c r="E22" s="3"/>
      <c r="F22" s="3"/>
      <c r="G22" s="154"/>
      <c r="H22" s="154"/>
      <c r="I22" s="155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</row>
    <row r="23" spans="1:44">
      <c r="A23" s="39" t="s">
        <v>66</v>
      </c>
      <c r="B23" s="28"/>
      <c r="C23" s="3"/>
      <c r="D23" s="3"/>
      <c r="E23" s="3"/>
      <c r="F23" s="3"/>
      <c r="G23" s="154"/>
      <c r="H23" s="154"/>
      <c r="I23" s="155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</row>
    <row r="24" spans="1:44" ht="14.25">
      <c r="A24" s="3"/>
      <c r="B24" s="28" t="s">
        <v>1061</v>
      </c>
      <c r="C24" s="3"/>
      <c r="D24" s="3"/>
      <c r="E24" s="3"/>
      <c r="F24" s="3"/>
      <c r="G24" s="154">
        <v>0.6</v>
      </c>
      <c r="H24" s="154">
        <f>G24*1</f>
        <v>0.6</v>
      </c>
      <c r="I24" s="163">
        <f>H24*25</f>
        <v>15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</row>
    <row r="25" spans="1:44" hidden="1">
      <c r="A25" s="3"/>
      <c r="B25" s="28" t="s">
        <v>277</v>
      </c>
      <c r="C25" s="3"/>
      <c r="D25" s="3"/>
      <c r="E25" s="3"/>
      <c r="F25" s="3"/>
      <c r="G25" s="154">
        <v>0</v>
      </c>
      <c r="H25" s="154">
        <f>G25*1</f>
        <v>0</v>
      </c>
      <c r="I25" s="163">
        <f>H25*8</f>
        <v>0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</row>
    <row r="26" spans="1:44" ht="14.25">
      <c r="A26" s="3"/>
      <c r="B26" s="28" t="s">
        <v>633</v>
      </c>
      <c r="C26" s="3"/>
      <c r="D26" s="3"/>
      <c r="E26" s="3"/>
      <c r="F26" s="3"/>
      <c r="G26" s="156">
        <v>0.6</v>
      </c>
      <c r="H26" s="156">
        <f>G26*1</f>
        <v>0.6</v>
      </c>
      <c r="I26" s="159">
        <f>25*H26</f>
        <v>15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</row>
    <row r="27" spans="1:44">
      <c r="A27" s="3"/>
      <c r="B27" s="28"/>
      <c r="C27" s="3"/>
      <c r="D27" s="3"/>
      <c r="E27" s="3"/>
      <c r="F27" s="3"/>
      <c r="G27" s="154">
        <f>SUM(G24:G26)</f>
        <v>1.2</v>
      </c>
      <c r="H27" s="154">
        <f>SUM(H24:H26)</f>
        <v>1.2</v>
      </c>
      <c r="I27" s="154">
        <f>SUM(I24:I26)</f>
        <v>30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</row>
    <row r="28" spans="1:44">
      <c r="A28" s="3"/>
      <c r="B28" s="28"/>
      <c r="C28" s="3"/>
      <c r="D28" s="3"/>
      <c r="E28" s="3"/>
      <c r="F28" s="3"/>
      <c r="G28" s="154"/>
      <c r="H28" s="154"/>
      <c r="I28" s="155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</row>
    <row r="29" spans="1:44">
      <c r="A29" s="39" t="s">
        <v>64</v>
      </c>
      <c r="B29" s="28"/>
      <c r="C29" s="3"/>
      <c r="D29" s="3"/>
      <c r="E29" s="3"/>
      <c r="F29" s="3"/>
      <c r="G29" s="154"/>
      <c r="H29" s="154"/>
      <c r="I29" s="155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</row>
    <row r="30" spans="1:44">
      <c r="A30" s="39"/>
      <c r="B30" s="28" t="s">
        <v>56</v>
      </c>
      <c r="C30" s="3"/>
      <c r="D30" s="3"/>
      <c r="E30" s="3"/>
      <c r="F30" s="3"/>
      <c r="G30" s="154">
        <v>1</v>
      </c>
      <c r="H30" s="154">
        <f>G30</f>
        <v>1</v>
      </c>
      <c r="I30" s="474">
        <f>2*1924/1000</f>
        <v>3.8479999999999999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</row>
    <row r="31" spans="1:44" hidden="1">
      <c r="A31" s="3"/>
      <c r="B31" s="28" t="s">
        <v>57</v>
      </c>
      <c r="C31" s="3"/>
      <c r="D31" s="3"/>
      <c r="E31" s="3"/>
      <c r="F31" s="3"/>
      <c r="G31">
        <v>0</v>
      </c>
      <c r="H31" s="154">
        <f>G31</f>
        <v>0</v>
      </c>
      <c r="I31" s="475">
        <v>0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</row>
    <row r="32" spans="1:44">
      <c r="A32" s="3"/>
      <c r="B32" s="28" t="s">
        <v>58</v>
      </c>
      <c r="C32" s="3"/>
      <c r="D32" s="3"/>
      <c r="E32" s="3"/>
      <c r="F32" s="3"/>
      <c r="G32" s="156">
        <v>0.6</v>
      </c>
      <c r="H32" s="156">
        <f>G32</f>
        <v>0.6</v>
      </c>
      <c r="I32" s="476">
        <f>2*1767/1000</f>
        <v>3.5339999999999998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</row>
    <row r="33" spans="1:44">
      <c r="A33" s="3"/>
      <c r="B33" s="28"/>
      <c r="C33" s="3"/>
      <c r="D33" s="3"/>
      <c r="E33" s="3"/>
      <c r="F33" s="3"/>
      <c r="G33" s="154">
        <f>SUM(G30:G32)</f>
        <v>1.6</v>
      </c>
      <c r="H33" s="154">
        <f>SUM(H30:H32)</f>
        <v>1.6</v>
      </c>
      <c r="I33" s="154">
        <f>SUM(I30:I32)</f>
        <v>7.3819999999999997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</row>
    <row r="34" spans="1:44">
      <c r="A34" s="39" t="s">
        <v>634</v>
      </c>
      <c r="B34" s="28"/>
      <c r="C34" s="3"/>
      <c r="D34" s="3"/>
      <c r="E34" s="3"/>
      <c r="F34" s="3"/>
      <c r="G34" s="154"/>
      <c r="H34" s="154"/>
      <c r="I34" s="155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</row>
    <row r="35" spans="1:44">
      <c r="A35" s="39"/>
      <c r="B35" s="28" t="s">
        <v>59</v>
      </c>
      <c r="C35" s="3"/>
      <c r="D35" s="3"/>
      <c r="E35" s="3"/>
      <c r="F35" s="3"/>
      <c r="G35" s="154">
        <v>2</v>
      </c>
      <c r="H35" s="154">
        <f>G35</f>
        <v>2</v>
      </c>
      <c r="I35" s="155">
        <f>2*5000/1000</f>
        <v>10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</row>
    <row r="36" spans="1:44">
      <c r="A36" s="3"/>
      <c r="B36" s="28" t="s">
        <v>67</v>
      </c>
      <c r="C36" s="3"/>
      <c r="D36" s="3"/>
      <c r="E36" s="3"/>
      <c r="F36" s="3"/>
      <c r="G36" s="154">
        <v>0.6</v>
      </c>
      <c r="H36" s="154">
        <f>G36</f>
        <v>0.6</v>
      </c>
      <c r="I36" s="163">
        <f>2*2000/1000</f>
        <v>4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</row>
    <row r="37" spans="1:44" hidden="1">
      <c r="A37" s="3"/>
      <c r="B37" s="28" t="s">
        <v>278</v>
      </c>
      <c r="C37" s="3"/>
      <c r="D37" s="3"/>
      <c r="E37" s="3"/>
      <c r="F37" s="3"/>
      <c r="G37" s="154">
        <v>0</v>
      </c>
      <c r="H37" s="154">
        <f>G37</f>
        <v>0</v>
      </c>
      <c r="I37" s="163">
        <f>H37*8</f>
        <v>0</v>
      </c>
      <c r="J37" s="3"/>
      <c r="K37" s="3" t="s">
        <v>54</v>
      </c>
      <c r="L37" s="3" t="s">
        <v>55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</row>
    <row r="38" spans="1:44">
      <c r="A38" s="3"/>
      <c r="B38" s="28" t="s">
        <v>279</v>
      </c>
      <c r="C38" s="3"/>
      <c r="D38" s="3"/>
      <c r="E38" s="3"/>
      <c r="F38" s="3"/>
      <c r="G38" s="161">
        <v>0.4</v>
      </c>
      <c r="H38" s="156">
        <f>G38</f>
        <v>0.4</v>
      </c>
      <c r="I38" s="159">
        <f>20*H38</f>
        <v>8</v>
      </c>
      <c r="J38" s="3"/>
      <c r="K38" s="3"/>
      <c r="L38" s="414"/>
      <c r="M38" s="414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</row>
    <row r="39" spans="1:44">
      <c r="A39" s="3"/>
      <c r="B39" s="3"/>
      <c r="C39" s="3"/>
      <c r="D39" s="3"/>
      <c r="E39" s="3"/>
      <c r="F39" s="3"/>
      <c r="G39" s="154">
        <f>SUM(G35:G38)</f>
        <v>3</v>
      </c>
      <c r="H39" s="154">
        <f>G39</f>
        <v>3</v>
      </c>
      <c r="I39" s="164">
        <f>SUM(I35:I38)</f>
        <v>22</v>
      </c>
      <c r="J39" s="3"/>
      <c r="K39" s="3"/>
      <c r="L39" s="33"/>
      <c r="M39" s="3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</row>
    <row r="40" spans="1:44">
      <c r="A40" s="3"/>
      <c r="B40" s="3"/>
      <c r="C40" s="3"/>
      <c r="D40" s="3"/>
      <c r="E40" s="3"/>
      <c r="F40" s="3"/>
      <c r="G40" s="154"/>
      <c r="H40" s="164"/>
      <c r="I40" s="164"/>
      <c r="J40" s="3"/>
      <c r="K40" s="3"/>
      <c r="L40" s="33"/>
      <c r="M40" s="3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</row>
    <row r="41" spans="1:44">
      <c r="A41" s="39" t="s">
        <v>280</v>
      </c>
      <c r="B41" s="3"/>
      <c r="C41" s="3"/>
      <c r="D41" s="3"/>
      <c r="E41" s="3"/>
      <c r="F41" s="3"/>
      <c r="G41" s="154"/>
      <c r="H41" s="154">
        <f>H39+H33+H27+H21+H17+H11</f>
        <v>10.600000000000001</v>
      </c>
      <c r="I41" s="164">
        <f>I39+I33+I27+I21+I17+I11</f>
        <v>90.382000000000005</v>
      </c>
      <c r="J41" s="3"/>
      <c r="K41" s="3"/>
      <c r="L41" s="33"/>
      <c r="M41" s="3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</row>
    <row r="42" spans="1:44">
      <c r="A42" s="3"/>
      <c r="B42" s="3"/>
      <c r="C42" s="3"/>
      <c r="D42" s="3"/>
      <c r="E42" s="3"/>
      <c r="F42" s="3"/>
      <c r="G42" s="154"/>
      <c r="H42" s="154"/>
      <c r="I42" s="155"/>
      <c r="J42" s="3"/>
      <c r="K42" s="3"/>
      <c r="L42" s="33"/>
      <c r="M42" s="3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</row>
    <row r="43" spans="1:44">
      <c r="A43" s="39" t="s">
        <v>281</v>
      </c>
      <c r="B43" s="3"/>
      <c r="C43" s="3"/>
      <c r="D43" s="3"/>
      <c r="E43" s="3"/>
      <c r="F43" s="3"/>
      <c r="G43" s="154"/>
      <c r="H43" s="154"/>
      <c r="I43" s="155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</row>
    <row r="44" spans="1:44">
      <c r="A44" s="3"/>
      <c r="B44" s="3" t="s">
        <v>71</v>
      </c>
      <c r="C44" s="3"/>
      <c r="D44" s="3"/>
      <c r="E44" s="3"/>
      <c r="F44" s="3"/>
      <c r="G44" s="154"/>
      <c r="H44" s="154"/>
      <c r="I44" s="415">
        <f>(2*19*150+3*19*150)/1000</f>
        <v>14.25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</row>
    <row r="45" spans="1:44">
      <c r="A45" s="3"/>
      <c r="B45" s="3" t="s">
        <v>68</v>
      </c>
      <c r="C45" s="3"/>
      <c r="D45" s="3"/>
      <c r="E45" s="3"/>
      <c r="F45" s="3"/>
      <c r="G45" s="154"/>
      <c r="H45" s="154"/>
      <c r="I45" s="163">
        <f>1.8*5*150/1000</f>
        <v>1.35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</row>
    <row r="46" spans="1:44">
      <c r="A46" s="3"/>
      <c r="B46" s="3" t="s">
        <v>69</v>
      </c>
      <c r="C46" s="3"/>
      <c r="D46" s="3"/>
      <c r="E46" s="3"/>
      <c r="F46" s="3"/>
      <c r="G46" s="154"/>
      <c r="H46" s="154"/>
      <c r="I46" s="163">
        <v>8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</row>
    <row r="47" spans="1:44">
      <c r="A47" s="3"/>
      <c r="B47" s="3" t="s">
        <v>70</v>
      </c>
      <c r="C47" s="3"/>
      <c r="D47" s="3"/>
      <c r="E47" s="3"/>
      <c r="F47" s="3"/>
      <c r="G47" s="154"/>
      <c r="H47" s="154"/>
      <c r="I47" s="159">
        <v>3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</row>
    <row r="48" spans="1:44" hidden="1">
      <c r="B48" s="165" t="s">
        <v>282</v>
      </c>
      <c r="C48" s="3"/>
      <c r="D48" s="3"/>
      <c r="E48" s="3"/>
      <c r="F48" s="3"/>
      <c r="G48" s="154"/>
      <c r="H48" s="154"/>
      <c r="I48" s="166">
        <v>0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</row>
    <row r="49" spans="1:44">
      <c r="A49" s="3"/>
      <c r="B49" s="3"/>
      <c r="C49" s="3"/>
      <c r="D49" s="3"/>
      <c r="E49" s="3"/>
      <c r="F49" s="3"/>
      <c r="G49" s="154"/>
      <c r="H49" s="154"/>
      <c r="I49" s="167">
        <f>SUM(I45:I48)</f>
        <v>12.35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</row>
    <row r="50" spans="1:44">
      <c r="A50" s="3"/>
      <c r="B50" s="3"/>
      <c r="C50" s="3"/>
      <c r="D50" s="3"/>
      <c r="E50" s="3"/>
      <c r="F50" s="3"/>
      <c r="G50" s="154"/>
      <c r="H50" s="154"/>
      <c r="I50" s="167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</row>
    <row r="51" spans="1:44">
      <c r="A51" s="39" t="s">
        <v>283</v>
      </c>
      <c r="B51" s="3"/>
      <c r="C51" s="3"/>
      <c r="D51" s="3"/>
      <c r="E51" s="39"/>
      <c r="F51" s="3"/>
      <c r="G51" s="154"/>
      <c r="H51" s="164"/>
      <c r="I51" s="155">
        <f>SUM(I45:I48)+I41</f>
        <v>102.732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</row>
    <row r="52" spans="1:44">
      <c r="A52" s="3"/>
      <c r="B52" s="39" t="s">
        <v>1063</v>
      </c>
      <c r="C52" s="3"/>
      <c r="D52" s="3"/>
      <c r="E52" s="3"/>
      <c r="F52" s="3"/>
      <c r="G52" s="3"/>
      <c r="H52" s="3"/>
      <c r="I52" s="157">
        <f>I14+I26+I24+I16</f>
        <v>61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</row>
    <row r="53" spans="1:44">
      <c r="A53" s="39" t="s">
        <v>284</v>
      </c>
      <c r="B53" s="39"/>
      <c r="C53" s="3"/>
      <c r="D53" s="3"/>
      <c r="E53" s="3"/>
      <c r="F53" s="3"/>
      <c r="G53" s="3"/>
      <c r="H53" s="3"/>
      <c r="I53" s="155">
        <f>I51-I52</f>
        <v>41.731999999999999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</row>
    <row r="54" spans="1:44">
      <c r="A54" s="3"/>
      <c r="B54" s="39"/>
      <c r="C54" s="3"/>
      <c r="D54" s="3"/>
      <c r="E54" s="3"/>
      <c r="F54" s="3"/>
      <c r="G54" s="3"/>
      <c r="H54" s="3"/>
      <c r="I54" s="155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</row>
    <row r="55" spans="1:44">
      <c r="A55" s="3" t="s">
        <v>285</v>
      </c>
      <c r="B55" s="3"/>
      <c r="C55" s="3"/>
      <c r="D55" s="3"/>
      <c r="E55" s="3"/>
      <c r="F55" s="3"/>
      <c r="G55" s="3"/>
      <c r="H55" s="3"/>
      <c r="I55" s="168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</row>
    <row r="56" spans="1:44">
      <c r="A56" s="3" t="s">
        <v>286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</row>
    <row r="57" spans="1:44">
      <c r="A57" s="3" t="s">
        <v>287</v>
      </c>
      <c r="B57" s="3" t="s">
        <v>62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</row>
    <row r="58" spans="1:44">
      <c r="A58" s="3"/>
      <c r="B58" s="3" t="s">
        <v>63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</row>
    <row r="59" spans="1:44">
      <c r="A59" s="3"/>
      <c r="B59" s="3" t="s">
        <v>288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</row>
    <row r="60" spans="1:44">
      <c r="A60" s="3" t="s">
        <v>289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</row>
    <row r="61" spans="1:44">
      <c r="A61" s="3" t="s">
        <v>635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</row>
    <row r="62" spans="1:44">
      <c r="A62" s="3" t="s">
        <v>636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</row>
    <row r="63" spans="1:44">
      <c r="A63" s="3" t="s">
        <v>637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</row>
    <row r="64" spans="1:4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</row>
    <row r="65" spans="1:44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</row>
    <row r="66" spans="1:44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</row>
    <row r="67" spans="1:44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</row>
    <row r="68" spans="1:44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</row>
    <row r="69" spans="1:44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</row>
    <row r="70" spans="1:44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</row>
    <row r="71" spans="1:44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</row>
    <row r="72" spans="1:44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</row>
    <row r="73" spans="1:44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</row>
    <row r="74" spans="1:4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</row>
    <row r="75" spans="1:44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</row>
    <row r="76" spans="1:44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</row>
    <row r="77" spans="1:44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</row>
    <row r="78" spans="1:44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</row>
    <row r="79" spans="1:44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</row>
    <row r="80" spans="1:44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</row>
    <row r="81" spans="1:44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</row>
    <row r="82" spans="1:44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</row>
    <row r="83" spans="1:44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</row>
    <row r="84" spans="1:4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</row>
    <row r="85" spans="1:44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</row>
    <row r="86" spans="1:44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</row>
    <row r="87" spans="1:44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</row>
    <row r="88" spans="1:44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</row>
    <row r="89" spans="1:44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</row>
    <row r="90" spans="1:44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</row>
    <row r="91" spans="1:44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</row>
    <row r="92" spans="1:44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</row>
    <row r="93" spans="1:44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</row>
    <row r="94" spans="1:4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</row>
    <row r="95" spans="1:44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</row>
    <row r="96" spans="1:44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</row>
    <row r="97" spans="1:44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</row>
    <row r="98" spans="1:44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</row>
    <row r="99" spans="1:44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</row>
    <row r="100" spans="1:44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</row>
    <row r="101" spans="1:44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</row>
    <row r="102" spans="1:44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</row>
    <row r="103" spans="1:44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</row>
    <row r="104" spans="1:4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</row>
    <row r="105" spans="1:44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</row>
    <row r="106" spans="1:44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</row>
    <row r="107" spans="1:44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</row>
    <row r="108" spans="1:44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</row>
    <row r="109" spans="1:44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</row>
    <row r="110" spans="1:44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</row>
    <row r="111" spans="1:44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</row>
    <row r="112" spans="1:44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</row>
    <row r="113" spans="1:44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</row>
    <row r="114" spans="1:4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</row>
    <row r="115" spans="1:44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</row>
    <row r="116" spans="1:44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</row>
    <row r="117" spans="1:44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</row>
    <row r="118" spans="1:44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</row>
    <row r="119" spans="1:44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</row>
    <row r="120" spans="1:44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</row>
    <row r="121" spans="1:44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</row>
    <row r="122" spans="1:44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</row>
    <row r="123" spans="1:44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</row>
    <row r="124" spans="1:4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</row>
    <row r="125" spans="1:44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</row>
    <row r="126" spans="1:44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</row>
    <row r="127" spans="1:44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</row>
    <row r="128" spans="1:4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</row>
    <row r="129" spans="1:44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</row>
    <row r="130" spans="1:44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</row>
    <row r="131" spans="1:44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</row>
    <row r="132" spans="1:44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</row>
    <row r="133" spans="1:44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</row>
    <row r="134" spans="1:4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</row>
    <row r="135" spans="1:44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</row>
    <row r="136" spans="1:44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</row>
    <row r="137" spans="1:44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</row>
    <row r="138" spans="1:44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</row>
    <row r="139" spans="1:44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</row>
    <row r="140" spans="1:44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</row>
    <row r="141" spans="1:44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</row>
    <row r="142" spans="1:44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</row>
    <row r="143" spans="1:44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</row>
    <row r="144" spans="1: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</row>
    <row r="145" spans="1:44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</row>
    <row r="146" spans="1:44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</row>
    <row r="147" spans="1:44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</row>
    <row r="148" spans="1:44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</row>
    <row r="149" spans="1:44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</row>
    <row r="150" spans="1:44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</row>
    <row r="151" spans="1:44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</row>
    <row r="152" spans="1:44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</row>
    <row r="153" spans="1:44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</row>
    <row r="154" spans="1:4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</row>
    <row r="155" spans="1:44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</row>
    <row r="156" spans="1:44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</row>
    <row r="157" spans="1:44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</row>
    <row r="158" spans="1:44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</row>
    <row r="159" spans="1:44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</row>
    <row r="160" spans="1:44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</row>
    <row r="161" spans="1:44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</row>
    <row r="162" spans="1:44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</row>
    <row r="163" spans="1:44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</row>
    <row r="164" spans="1:4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</row>
    <row r="165" spans="1:44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</row>
    <row r="166" spans="1:44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</row>
    <row r="167" spans="1:44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</row>
    <row r="168" spans="1:44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</row>
    <row r="169" spans="1:44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</row>
    <row r="170" spans="1:44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</row>
    <row r="171" spans="1:44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</row>
    <row r="172" spans="1:44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</row>
    <row r="173" spans="1:44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</row>
    <row r="174" spans="1:4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</row>
    <row r="175" spans="1:44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</row>
    <row r="176" spans="1:44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</row>
    <row r="177" spans="1:44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</row>
    <row r="178" spans="1:44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</row>
    <row r="179" spans="1:44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</row>
    <row r="180" spans="1:44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</row>
    <row r="181" spans="1:44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</row>
    <row r="182" spans="1:44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</row>
    <row r="183" spans="1:44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</row>
    <row r="184" spans="1:4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</row>
    <row r="185" spans="1:44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</row>
    <row r="186" spans="1:44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</row>
    <row r="187" spans="1:44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</row>
    <row r="188" spans="1:44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</row>
    <row r="189" spans="1:44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</row>
    <row r="190" spans="1:44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</row>
    <row r="191" spans="1:44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</row>
    <row r="192" spans="1:44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</row>
    <row r="193" spans="1:44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</row>
    <row r="194" spans="1:4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</row>
    <row r="195" spans="1:44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</row>
    <row r="196" spans="1:44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</row>
    <row r="197" spans="1:44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</row>
    <row r="198" spans="1:44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</row>
    <row r="199" spans="1:44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</row>
    <row r="200" spans="1:44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</row>
    <row r="201" spans="1:44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</row>
    <row r="202" spans="1:44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</row>
    <row r="203" spans="1:44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</row>
    <row r="204" spans="1:4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</row>
    <row r="205" spans="1:44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</row>
    <row r="206" spans="1:44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</row>
    <row r="207" spans="1:44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</row>
    <row r="208" spans="1:44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</row>
    <row r="209" spans="1:44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</row>
    <row r="210" spans="1:44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</row>
    <row r="211" spans="1:44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</row>
    <row r="212" spans="1:44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</row>
    <row r="213" spans="1:44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</row>
    <row r="214" spans="1:4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</row>
    <row r="215" spans="1:44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</row>
    <row r="216" spans="1:44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</row>
    <row r="217" spans="1:44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</row>
    <row r="218" spans="1:44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</row>
    <row r="219" spans="1:44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</row>
    <row r="220" spans="1:44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</row>
    <row r="221" spans="1:44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</row>
    <row r="222" spans="1:44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</row>
    <row r="223" spans="1:44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</row>
    <row r="224" spans="1:4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</row>
    <row r="225" spans="1:44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</row>
    <row r="226" spans="1:44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</row>
    <row r="227" spans="1:44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</row>
    <row r="228" spans="1:44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</row>
    <row r="229" spans="1:44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</row>
    <row r="230" spans="1:44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</row>
    <row r="231" spans="1:44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</row>
    <row r="232" spans="1:44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</row>
    <row r="233" spans="1:44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</row>
    <row r="234" spans="1:4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</row>
    <row r="235" spans="1:44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</row>
    <row r="236" spans="1:44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</row>
    <row r="237" spans="1:44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</row>
    <row r="238" spans="1:44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</row>
    <row r="239" spans="1:44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</row>
    <row r="240" spans="1:44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</row>
    <row r="241" spans="1:44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</row>
    <row r="242" spans="1:44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</row>
    <row r="243" spans="1:44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</row>
    <row r="244" spans="1: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</row>
    <row r="245" spans="1:44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</row>
    <row r="246" spans="1:44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</row>
    <row r="247" spans="1:44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</row>
    <row r="248" spans="1:44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</row>
    <row r="249" spans="1:44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</row>
    <row r="250" spans="1:44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</row>
    <row r="251" spans="1:44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</row>
    <row r="252" spans="1:44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</row>
    <row r="253" spans="1:44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</row>
    <row r="254" spans="1:4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</row>
    <row r="255" spans="1:44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</row>
    <row r="256" spans="1:44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</row>
    <row r="257" spans="1:44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</row>
    <row r="258" spans="1:44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</row>
    <row r="259" spans="1:44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</row>
    <row r="260" spans="1:44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</row>
    <row r="261" spans="1:44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</row>
    <row r="262" spans="1:44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</row>
    <row r="263" spans="1:44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</row>
    <row r="264" spans="1:4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</row>
    <row r="265" spans="1:44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</row>
    <row r="266" spans="1:44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</row>
    <row r="267" spans="1:44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</row>
    <row r="268" spans="1:44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</row>
    <row r="269" spans="1:44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</row>
    <row r="270" spans="1:44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</row>
    <row r="271" spans="1:44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</row>
    <row r="272" spans="1:44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</row>
    <row r="273" spans="1:44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</row>
    <row r="274" spans="1:4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</row>
    <row r="275" spans="1:44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</row>
    <row r="276" spans="1:44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</row>
    <row r="277" spans="1:44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</row>
    <row r="278" spans="1:44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</row>
    <row r="279" spans="1:44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</row>
    <row r="280" spans="1:44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</row>
    <row r="281" spans="1:44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</row>
    <row r="282" spans="1:44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</row>
    <row r="283" spans="1:44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</row>
    <row r="284" spans="1:4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</row>
    <row r="285" spans="1:44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</row>
    <row r="286" spans="1:44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</row>
    <row r="287" spans="1:44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</row>
    <row r="288" spans="1:44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</row>
    <row r="289" spans="1:44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</row>
    <row r="290" spans="1:44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</row>
    <row r="291" spans="1:44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</row>
    <row r="292" spans="1:44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</row>
    <row r="293" spans="1:44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</row>
    <row r="294" spans="1:4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</row>
    <row r="295" spans="1:44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</row>
    <row r="296" spans="1:44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</row>
    <row r="297" spans="1:44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</row>
    <row r="298" spans="1:44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</row>
    <row r="299" spans="1:44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</row>
    <row r="300" spans="1:44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</row>
    <row r="301" spans="1:44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</row>
    <row r="302" spans="1:44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</row>
    <row r="303" spans="1:44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</row>
    <row r="304" spans="1:4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</row>
    <row r="305" spans="1:44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</row>
    <row r="306" spans="1:44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</row>
    <row r="307" spans="1:44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</row>
    <row r="308" spans="1:44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</row>
    <row r="309" spans="1:44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</row>
    <row r="310" spans="1:44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</row>
    <row r="311" spans="1:44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</row>
    <row r="312" spans="1:44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</row>
    <row r="313" spans="1:44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</row>
    <row r="314" spans="1:4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</row>
    <row r="315" spans="1:44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</row>
    <row r="316" spans="1:44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</row>
    <row r="317" spans="1:44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</row>
    <row r="318" spans="1:44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</row>
    <row r="319" spans="1:44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</row>
    <row r="320" spans="1:44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</row>
    <row r="321" spans="1:44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</row>
    <row r="322" spans="1:44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</row>
    <row r="323" spans="1:44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</row>
    <row r="324" spans="1:4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</row>
    <row r="325" spans="1:44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</row>
    <row r="326" spans="1:44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</row>
    <row r="327" spans="1:44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</row>
    <row r="328" spans="1:44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</row>
    <row r="329" spans="1:44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</row>
    <row r="330" spans="1:44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</row>
    <row r="331" spans="1:44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</row>
    <row r="332" spans="1:44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</row>
    <row r="333" spans="1:44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</row>
    <row r="334" spans="1:4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</row>
    <row r="335" spans="1:44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</row>
    <row r="336" spans="1:44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</row>
    <row r="337" spans="1:44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</row>
    <row r="338" spans="1:44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</row>
    <row r="339" spans="1:44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</row>
    <row r="340" spans="1:44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</row>
    <row r="341" spans="1:44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</row>
    <row r="342" spans="1:44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</row>
    <row r="343" spans="1:44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</row>
    <row r="344" spans="1: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</row>
    <row r="345" spans="1:44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</row>
    <row r="346" spans="1:44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</row>
    <row r="347" spans="1:44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</row>
    <row r="348" spans="1:44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</row>
    <row r="349" spans="1:44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</row>
    <row r="350" spans="1:44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</row>
    <row r="351" spans="1:44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</row>
  </sheetData>
  <printOptions horizontalCentered="1"/>
  <pageMargins left="0.75" right="0.75" top="1" bottom="1" header="0.5" footer="0.5"/>
  <pageSetup scale="78" orientation="portrait" horizontalDpi="4294967292" verticalDpi="4294967292" r:id="rId1"/>
  <headerFooter alignWithMargins="0">
    <oddFooter>&amp;LScot Chambers
&amp;D&amp;CPage _____&amp;R&amp;F
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10</vt:i4>
      </vt:variant>
    </vt:vector>
  </HeadingPairs>
  <TitlesOfParts>
    <vt:vector size="28" baseType="lpstr">
      <vt:lpstr>Table of Contents</vt:lpstr>
      <vt:lpstr>Scope</vt:lpstr>
      <vt:lpstr>Assumptions</vt:lpstr>
      <vt:lpstr>Map</vt:lpstr>
      <vt:lpstr>Summary</vt:lpstr>
      <vt:lpstr>Mob_Estimate</vt:lpstr>
      <vt:lpstr>Mob_Schedule</vt:lpstr>
      <vt:lpstr>Mob_Staffing</vt:lpstr>
      <vt:lpstr>Training</vt:lpstr>
      <vt:lpstr>ScopeSplit</vt:lpstr>
      <vt:lpstr>Mob_Backup</vt:lpstr>
      <vt:lpstr>O&amp;M_Estimate</vt:lpstr>
      <vt:lpstr>Plt_Staff</vt:lpstr>
      <vt:lpstr>Pay &amp; Benefits Calculations</vt:lpstr>
      <vt:lpstr>O&amp;M_Backup</vt:lpstr>
      <vt:lpstr>Chem_Cost Backup Cooling Tower</vt:lpstr>
      <vt:lpstr>Chem_Cost Backup Demin</vt:lpstr>
      <vt:lpstr>LM6000PC_MMR_Gas</vt:lpstr>
      <vt:lpstr>'O&amp;M_Backup'!CompleteFilterPrint</vt:lpstr>
      <vt:lpstr>Mob_Backup!Print_Area</vt:lpstr>
      <vt:lpstr>Mob_Estimate!Print_Area</vt:lpstr>
      <vt:lpstr>Mob_Schedule!Print_Area</vt:lpstr>
      <vt:lpstr>'O&amp;M_Backup'!Print_Area</vt:lpstr>
      <vt:lpstr>'O&amp;M_Estimate'!Print_Area</vt:lpstr>
      <vt:lpstr>ScopeSplit!Print_Area</vt:lpstr>
      <vt:lpstr>Summary!Print_Area</vt:lpstr>
      <vt:lpstr>'Table of Contents'!Print_Area</vt:lpstr>
      <vt:lpstr>Training!Print_Area</vt:lpstr>
    </vt:vector>
  </TitlesOfParts>
  <Company>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</dc:creator>
  <cp:lastModifiedBy>Jan Havlíček</cp:lastModifiedBy>
  <cp:lastPrinted>2000-04-03T23:18:05Z</cp:lastPrinted>
  <dcterms:created xsi:type="dcterms:W3CDTF">2000-03-02T22:37:36Z</dcterms:created>
  <dcterms:modified xsi:type="dcterms:W3CDTF">2023-09-13T23:04:14Z</dcterms:modified>
</cp:coreProperties>
</file>