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E8670-C310-42EF-973F-0DCCBC094A3C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type_area'!$A$2:$L$52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summary!$A$2:$J$58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C6" i="8"/>
  <c r="D6" i="8"/>
  <c r="D7" i="8"/>
  <c r="D8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B52" i="80"/>
  <c r="C52" i="80"/>
  <c r="D52" i="80"/>
  <c r="E52" i="80"/>
  <c r="J58" i="80"/>
  <c r="K58" i="80"/>
  <c r="J59" i="80"/>
  <c r="J60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B87" i="80"/>
  <c r="C87" i="80"/>
  <c r="D87" i="80"/>
  <c r="E87" i="80"/>
  <c r="B90" i="80"/>
  <c r="B91" i="80"/>
  <c r="A129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P17" i="9"/>
  <c r="R17" i="9"/>
  <c r="H18" i="9"/>
  <c r="H19" i="9"/>
  <c r="H20" i="9"/>
  <c r="R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3" i="9"/>
  <c r="H34" i="9"/>
  <c r="H35" i="9"/>
  <c r="H37" i="9"/>
  <c r="B44" i="9"/>
  <c r="H44" i="9"/>
  <c r="B45" i="9"/>
  <c r="E45" i="9"/>
  <c r="E46" i="9"/>
  <c r="B5" i="64"/>
  <c r="D5" i="64"/>
  <c r="D6" i="64"/>
  <c r="B7" i="64"/>
  <c r="D7" i="64"/>
  <c r="D8" i="64"/>
  <c r="B9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I3" i="63"/>
  <c r="J3" i="63"/>
  <c r="I4" i="63"/>
  <c r="I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B56" i="63"/>
  <c r="C56" i="63"/>
  <c r="B117" i="63"/>
  <c r="B119" i="63"/>
  <c r="B127" i="63"/>
  <c r="B140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<sst xmlns="http://schemas.openxmlformats.org/spreadsheetml/2006/main" count="1004" uniqueCount="330">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</sst>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166" fontId="11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2.15</v>
          </cell>
          <cell r="M39">
            <v>2.2000000000000002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" workbookViewId="0">
      <selection activeCell="D27" sqref="D2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88" t="s">
        <v>78</v>
      </c>
      <c r="J2" s="391"/>
      <c r="K2" s="32"/>
    </row>
    <row r="3" spans="1:32" ht="12.95" customHeight="1" x14ac:dyDescent="0.2">
      <c r="D3" s="7"/>
      <c r="I3" s="389" t="s">
        <v>29</v>
      </c>
      <c r="J3" s="392">
        <f>+summary!I3</f>
        <v>2.15</v>
      </c>
      <c r="K3" s="407">
        <f ca="1">NOW()</f>
        <v>37267.677610185186</v>
      </c>
    </row>
    <row r="4" spans="1:32" ht="12.95" customHeight="1" x14ac:dyDescent="0.2">
      <c r="A4" s="34" t="s">
        <v>145</v>
      </c>
      <c r="C4" s="34" t="s">
        <v>5</v>
      </c>
      <c r="D4" s="7"/>
      <c r="I4" s="390" t="s">
        <v>30</v>
      </c>
      <c r="J4" s="392">
        <f>+summary!I4</f>
        <v>2.2000000000000002</v>
      </c>
      <c r="K4" s="32"/>
    </row>
    <row r="5" spans="1:32" ht="12.95" customHeight="1" x14ac:dyDescent="0.2">
      <c r="D5" s="7"/>
      <c r="I5" s="389" t="s">
        <v>117</v>
      </c>
      <c r="J5" s="392">
        <f>+summary!I5</f>
        <v>2.2200000000000002</v>
      </c>
      <c r="K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193479.37</v>
      </c>
      <c r="C12" s="374">
        <f>+B12/$J$4</f>
        <v>87945.168181818168</v>
      </c>
      <c r="D12" s="14">
        <f>+Calpine!D47</f>
        <v>179738</v>
      </c>
      <c r="E12" s="70">
        <f>+C12-D12</f>
        <v>-91792.831818181832</v>
      </c>
      <c r="F12" s="369">
        <f>+Calpine!A41</f>
        <v>37265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-16332.680000000008</v>
      </c>
      <c r="C13" s="373">
        <f>+B13/$J$4</f>
        <v>-7423.9454545454573</v>
      </c>
      <c r="D13" s="14">
        <f>+'Citizens-Griffith'!D48</f>
        <v>-2065</v>
      </c>
      <c r="E13" s="70">
        <f>+C13-D13</f>
        <v>-5358.9454545454573</v>
      </c>
      <c r="F13" s="369">
        <f>+'Citizens-Griffith'!A41</f>
        <v>37264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-22380.730000000003</v>
      </c>
      <c r="C14" s="373">
        <f>+B14/J4</f>
        <v>-10173.059090909092</v>
      </c>
      <c r="D14" s="14">
        <f>+SWGasTrans!$D$48</f>
        <v>2475</v>
      </c>
      <c r="E14" s="70">
        <f>+C14-D14</f>
        <v>-12648.059090909092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-332544.40000000002</v>
      </c>
      <c r="C15" s="373">
        <f>+B15/$J$4</f>
        <v>-151156.54545454544</v>
      </c>
      <c r="D15" s="14">
        <f>+'NS Steel'!D50</f>
        <v>-34048</v>
      </c>
      <c r="E15" s="70">
        <f>+C15-D15</f>
        <v>-117108.54545454544</v>
      </c>
      <c r="F15" s="370">
        <f>+'NS Steel'!A41</f>
        <v>37265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-547526.79</v>
      </c>
      <c r="C16" s="375">
        <f>+B16/$J$4</f>
        <v>-248875.81363636363</v>
      </c>
      <c r="D16" s="355">
        <f>+Citizens!D24</f>
        <v>-41293</v>
      </c>
      <c r="E16" s="72">
        <f>+C16-D16</f>
        <v>-207582.81363636363</v>
      </c>
      <c r="F16" s="369">
        <f>+Citizens!A18</f>
        <v>37264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-725305.2300000001</v>
      </c>
      <c r="C17" s="398">
        <f>SUBTOTAL(9,C12:C16)</f>
        <v>-329684.19545454544</v>
      </c>
      <c r="D17" s="399">
        <f>SUBTOTAL(9,D12:D16)</f>
        <v>104807</v>
      </c>
      <c r="E17" s="400">
        <f>SUBTOTAL(9,E12:E16)</f>
        <v>-434491.19545454544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31136</v>
      </c>
      <c r="C20" s="373">
        <f>+B20/$J$4</f>
        <v>14152.727272727272</v>
      </c>
      <c r="D20" s="14">
        <f>+transcol!D50</f>
        <v>-41457</v>
      </c>
      <c r="E20" s="70">
        <f>+C20-D20</f>
        <v>55609.727272727272</v>
      </c>
      <c r="F20" s="370">
        <f>+transcol!A43</f>
        <v>37265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+C21*J3</f>
        <v>80100.399999999994</v>
      </c>
      <c r="C21" s="373">
        <f>+williams!J40</f>
        <v>37256</v>
      </c>
      <c r="D21" s="14">
        <f>+C21</f>
        <v>37256</v>
      </c>
      <c r="E21" s="70">
        <f>+C21-D21</f>
        <v>0</v>
      </c>
      <c r="F21" s="370">
        <f>+williams!A40</f>
        <v>37265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17359.490000000005</v>
      </c>
      <c r="C22" s="377">
        <f>+B22/$J$3</f>
        <v>8074.1813953488399</v>
      </c>
      <c r="D22" s="355">
        <f>+burlington!D49</f>
        <v>6348</v>
      </c>
      <c r="E22" s="72">
        <f>+C22-D22</f>
        <v>1726.1813953488399</v>
      </c>
      <c r="F22" s="369">
        <f>+burlington!A42</f>
        <v>37265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128595.89</v>
      </c>
      <c r="C23" s="394">
        <f>SUBTOTAL(9,C20:C22)</f>
        <v>59482.90866807611</v>
      </c>
      <c r="D23" s="399">
        <f>SUBTOTAL(9,D20:D22)</f>
        <v>2147</v>
      </c>
      <c r="E23" s="400">
        <f>SUBTOTAL(9,E20:E22)</f>
        <v>57335.90866807611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-1303.3000000000029</v>
      </c>
      <c r="C26" s="373">
        <f>+B26/$J$4</f>
        <v>-592.40909090909213</v>
      </c>
      <c r="D26" s="14">
        <f>+NNG!D34</f>
        <v>-1049</v>
      </c>
      <c r="E26" s="70">
        <f t="shared" ref="E26:E49" si="0">+C26-D26</f>
        <v>456.59090909090787</v>
      </c>
      <c r="F26" s="369">
        <f>+NNG!A24</f>
        <v>37264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467350.09</v>
      </c>
      <c r="C27" s="373">
        <f>+B27/$J$4</f>
        <v>212431.8590909091</v>
      </c>
      <c r="D27" s="14">
        <f>+Conoco!D48</f>
        <v>21114</v>
      </c>
      <c r="E27" s="70">
        <f t="shared" si="0"/>
        <v>191317.8590909091</v>
      </c>
      <c r="F27" s="369">
        <f>+Conoco!A41</f>
        <v>37266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171832.03</v>
      </c>
      <c r="C28" s="373">
        <f>+B28/$J$4</f>
        <v>78105.468181818171</v>
      </c>
      <c r="D28" s="14">
        <f>+'Amoco Abo'!D49</f>
        <v>-358718</v>
      </c>
      <c r="E28" s="70">
        <f t="shared" si="0"/>
        <v>436823.46818181814</v>
      </c>
      <c r="F28" s="370">
        <f>+'Amoco Abo'!A43</f>
        <v>37264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417969.39</v>
      </c>
      <c r="C29" s="373">
        <f>+B29/$J$4</f>
        <v>189986.08636363636</v>
      </c>
      <c r="D29" s="14">
        <f>+KN_Westar!D48</f>
        <v>5124</v>
      </c>
      <c r="E29" s="70">
        <f t="shared" si="0"/>
        <v>184862.08636363636</v>
      </c>
      <c r="F29" s="370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1218954.8400000001</v>
      </c>
      <c r="C30" s="374">
        <f>+B30/$J$5</f>
        <v>549078.7567567568</v>
      </c>
      <c r="D30" s="14">
        <f>+Duke!$G$40+Duke!$H$40+Duke!$I$53+Duke!$I$54</f>
        <v>362061</v>
      </c>
      <c r="E30" s="70">
        <f t="shared" si="0"/>
        <v>187017.7567567568</v>
      </c>
      <c r="F30" s="370">
        <f>+Duke!A42</f>
        <v>37265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1576297.82</v>
      </c>
      <c r="C31" s="374">
        <f>+B31/$J$5</f>
        <v>710044.06306306308</v>
      </c>
      <c r="D31" s="14">
        <f>+Duke!$F$40</f>
        <v>398845</v>
      </c>
      <c r="E31" s="70">
        <f t="shared" si="0"/>
        <v>311199.06306306308</v>
      </c>
      <c r="F31" s="370">
        <f>+Duke!A7</f>
        <v>37265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-2783304.1400000006</v>
      </c>
      <c r="C32" s="374">
        <f>+B32/$J$5</f>
        <v>-1253740.6036036038</v>
      </c>
      <c r="D32" s="14">
        <f>+DEFS!$I$36+DEFS!$J$36+DEFS!$K$45+DEFS!$K$46+DEFS!$K$47+DEFS!$K$48</f>
        <v>-427484</v>
      </c>
      <c r="E32" s="70">
        <f t="shared" si="0"/>
        <v>-826256.60360360378</v>
      </c>
      <c r="F32" s="370">
        <f>+DEFS!A40</f>
        <v>37265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416421.51999999996</v>
      </c>
      <c r="C33" s="373">
        <f>+B33/$J$4</f>
        <v>189282.50909090906</v>
      </c>
      <c r="D33" s="14">
        <f>+mewborne!D49</f>
        <v>171296</v>
      </c>
      <c r="E33" s="70">
        <f t="shared" si="0"/>
        <v>17986.509090909065</v>
      </c>
      <c r="F33" s="370">
        <f>+mewborne!A43</f>
        <v>37264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+PGETX!$H$37</f>
        <v>-75991</v>
      </c>
      <c r="C34" s="373">
        <f>+B34/$J$4</f>
        <v>-34541.363636363632</v>
      </c>
      <c r="D34" s="14">
        <f>+PGETX!E46</f>
        <v>-8599</v>
      </c>
      <c r="E34" s="70">
        <f t="shared" si="0"/>
        <v>-25942.363636363632</v>
      </c>
      <c r="F34" s="370">
        <f>+PGETX!E37</f>
        <v>37265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830030.12</v>
      </c>
      <c r="C35" s="373">
        <f>+B35/$J$4</f>
        <v>377286.41818181815</v>
      </c>
      <c r="D35" s="14">
        <f>+PNM!D30</f>
        <v>336011</v>
      </c>
      <c r="E35" s="70">
        <f t="shared" si="0"/>
        <v>41275.418181818153</v>
      </c>
      <c r="F35" s="370">
        <f>+PNM!A23</f>
        <v>37266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64044.01</v>
      </c>
      <c r="C36" s="373">
        <f>+B36/$J$4</f>
        <v>29110.913636363635</v>
      </c>
      <c r="D36" s="14">
        <f>+EOG!D48</f>
        <v>-98489</v>
      </c>
      <c r="E36" s="70">
        <f t="shared" si="0"/>
        <v>127599.91363636364</v>
      </c>
      <c r="F36" s="369">
        <f>+EOG!A41</f>
        <v>37264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-29336.430000000004</v>
      </c>
      <c r="C37" s="373">
        <f>+B37/J5</f>
        <v>-13214.608108108108</v>
      </c>
      <c r="D37" s="14">
        <f>+Oasis!D47</f>
        <v>-16320</v>
      </c>
      <c r="E37" s="70">
        <f>+C37-D37</f>
        <v>3105.3918918918916</v>
      </c>
      <c r="F37" s="369">
        <f>+Oasis!A40</f>
        <v>37265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8063.8100000000013</v>
      </c>
      <c r="C38" s="373">
        <f>+B38/$J$5</f>
        <v>3632.3468468468473</v>
      </c>
      <c r="D38" s="14">
        <f>+SidR!D48</f>
        <v>4539</v>
      </c>
      <c r="E38" s="70">
        <f t="shared" si="0"/>
        <v>-906.65315315315274</v>
      </c>
      <c r="F38" s="370">
        <f>+SidR!A41</f>
        <v>37265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-91772.999999999985</v>
      </c>
      <c r="D39" s="14">
        <f>+MiVida_Rich!D48</f>
        <v>-51454</v>
      </c>
      <c r="E39" s="70">
        <f>+C39-D39</f>
        <v>-40318.999999999985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178894.58000000002</v>
      </c>
      <c r="C40" s="373">
        <f>+B40/$J$5</f>
        <v>80583.144144144142</v>
      </c>
      <c r="D40" s="14">
        <f>+Dominion!D48</f>
        <v>78493</v>
      </c>
      <c r="E40" s="70">
        <f t="shared" si="0"/>
        <v>2090.144144144142</v>
      </c>
      <c r="F40" s="370">
        <f>+Dominion!A41</f>
        <v>37264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-30825.730000000003</v>
      </c>
      <c r="C41" s="373">
        <f>+B41/$J$4</f>
        <v>-14011.695454545456</v>
      </c>
      <c r="D41" s="14">
        <f>+WTGmktg!D50</f>
        <v>-1291</v>
      </c>
      <c r="E41" s="70">
        <f t="shared" si="0"/>
        <v>-12720.695454545456</v>
      </c>
      <c r="F41" s="370">
        <f>+WTGmktg!A43</f>
        <v>37264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35743.090000000004</v>
      </c>
      <c r="C42" s="373">
        <f>+B42/J4</f>
        <v>16246.859090909091</v>
      </c>
      <c r="D42" s="14">
        <f>+'WTG inc'!D50</f>
        <v>13524</v>
      </c>
      <c r="E42" s="70">
        <f>+C42-D42</f>
        <v>2722.8590909090908</v>
      </c>
      <c r="F42" s="370">
        <f>+'WTG inc'!A43</f>
        <v>37264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167683.87</v>
      </c>
      <c r="C43" s="373">
        <f>+B43/$J$5</f>
        <v>75533.274774774764</v>
      </c>
      <c r="D43" s="14">
        <f>+Devon!D48</f>
        <v>36850</v>
      </c>
      <c r="E43" s="70">
        <f t="shared" si="0"/>
        <v>38683.274774774764</v>
      </c>
      <c r="F43" s="370">
        <f>+Devon!A41</f>
        <v>37264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-122588.84</v>
      </c>
      <c r="C44" s="373">
        <f>+B44/$J$4</f>
        <v>-55722.2</v>
      </c>
      <c r="D44" s="14">
        <f>+crosstex!D48</f>
        <v>-38500</v>
      </c>
      <c r="E44" s="70">
        <f t="shared" si="0"/>
        <v>-17222.199999999997</v>
      </c>
      <c r="F44" s="370">
        <f>+crosstex!A41</f>
        <v>37264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94330.4</v>
      </c>
      <c r="C45" s="373">
        <f>+B45/$J$4</f>
        <v>42877.454545454537</v>
      </c>
      <c r="D45" s="14">
        <f>+Amarillo!D48</f>
        <v>39225</v>
      </c>
      <c r="E45" s="70">
        <f t="shared" si="0"/>
        <v>3652.4545454545369</v>
      </c>
      <c r="F45" s="370">
        <f>+Amarillo!A41</f>
        <v>37262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43180.07</v>
      </c>
      <c r="C46" s="374">
        <f>+B46/$J$4</f>
        <v>19627.304545454543</v>
      </c>
      <c r="D46" s="14">
        <f>+Stratland!D48</f>
        <v>14850</v>
      </c>
      <c r="E46" s="70">
        <f>+C46-D46</f>
        <v>4777.3045454545427</v>
      </c>
      <c r="F46" s="369">
        <f>+Stratland!A41</f>
        <v>37263</v>
      </c>
      <c r="G46" s="203"/>
      <c r="H46" s="32" t="s">
        <v>102</v>
      </c>
      <c r="I46" s="32"/>
      <c r="J46" s="32"/>
      <c r="K46" s="32"/>
    </row>
    <row r="47" spans="1:11" ht="13.5" customHeight="1" x14ac:dyDescent="0.2">
      <c r="A47" s="248" t="s">
        <v>109</v>
      </c>
      <c r="B47" s="351">
        <f>+Continental!F43</f>
        <v>34262</v>
      </c>
      <c r="C47" s="374">
        <f>+B47/$J$4</f>
        <v>15573.636363636362</v>
      </c>
      <c r="D47" s="14">
        <f>+Continental!D50</f>
        <v>748</v>
      </c>
      <c r="E47" s="70">
        <f t="shared" si="0"/>
        <v>14825.636363636362</v>
      </c>
      <c r="F47" s="370">
        <f>+Continental!A43</f>
        <v>37264</v>
      </c>
      <c r="G47" s="203" t="s">
        <v>154</v>
      </c>
      <c r="H47" s="32" t="s">
        <v>115</v>
      </c>
      <c r="I47" s="32"/>
      <c r="J47" s="32"/>
      <c r="K47" s="32"/>
    </row>
    <row r="48" spans="1:11" ht="13.5" customHeight="1" x14ac:dyDescent="0.2">
      <c r="A48" s="248" t="s">
        <v>129</v>
      </c>
      <c r="B48" s="351">
        <f>+EPFS!D41</f>
        <v>109009.01</v>
      </c>
      <c r="C48" s="374">
        <f>+B48/$J$5</f>
        <v>49103.157657657648</v>
      </c>
      <c r="D48" s="14">
        <f>+EPFS!D47</f>
        <v>65395</v>
      </c>
      <c r="E48" s="70">
        <f t="shared" si="0"/>
        <v>-16291.842342342352</v>
      </c>
      <c r="F48" s="369">
        <f>+EPFS!A41</f>
        <v>37265</v>
      </c>
      <c r="G48" s="203" t="s">
        <v>154</v>
      </c>
      <c r="H48" s="32" t="s">
        <v>102</v>
      </c>
      <c r="I48" s="32"/>
      <c r="J48" s="32"/>
      <c r="K48" s="32"/>
    </row>
    <row r="49" spans="1:19" ht="12.95" customHeight="1" x14ac:dyDescent="0.2">
      <c r="A49" s="514" t="s">
        <v>79</v>
      </c>
      <c r="B49" s="505">
        <f>+Agave!$D$24</f>
        <v>-95791.98000000001</v>
      </c>
      <c r="C49" s="375">
        <f>+B49/$J$4</f>
        <v>-43541.80909090909</v>
      </c>
      <c r="D49" s="355">
        <f>+Agave!D31</f>
        <v>-29736</v>
      </c>
      <c r="E49" s="72">
        <f t="shared" si="0"/>
        <v>-13805.80909090909</v>
      </c>
      <c r="F49" s="369">
        <f>+Agave!A24</f>
        <v>37265</v>
      </c>
      <c r="G49" s="203" t="s">
        <v>328</v>
      </c>
      <c r="H49" s="204" t="s">
        <v>102</v>
      </c>
      <c r="I49" s="32"/>
      <c r="J49" s="32"/>
      <c r="K49" s="32"/>
    </row>
    <row r="50" spans="1:19" ht="17.100000000000001" customHeight="1" x14ac:dyDescent="0.2">
      <c r="A50" s="153" t="s">
        <v>161</v>
      </c>
      <c r="B50" s="393">
        <f>SUBTOTAL(9,B26:B49)</f>
        <v>2491189.169999999</v>
      </c>
      <c r="C50" s="398">
        <f>SUBTOTAL(9,C26:C49)</f>
        <v>1131365.5633497133</v>
      </c>
      <c r="D50" s="399">
        <f>SUBTOTAL(9,D26:D49)</f>
        <v>516435</v>
      </c>
      <c r="E50" s="400">
        <f>SUBTOTAL(9,E26:E49)</f>
        <v>614930.56334971334</v>
      </c>
      <c r="F50" s="369"/>
      <c r="G50" s="358"/>
      <c r="H50" s="32"/>
      <c r="I50" s="204"/>
      <c r="J50" s="32"/>
      <c r="K50" s="32"/>
      <c r="L50" s="32"/>
    </row>
    <row r="51" spans="1:19" ht="12" customHeight="1" x14ac:dyDescent="0.2">
      <c r="A51" s="204"/>
      <c r="H51" s="32"/>
      <c r="I51" s="204"/>
      <c r="J51" s="32"/>
      <c r="K51" s="32"/>
      <c r="L51" s="32"/>
    </row>
    <row r="52" spans="1:19" ht="17.100000000000001" customHeight="1" x14ac:dyDescent="0.2">
      <c r="A52" s="153" t="s">
        <v>162</v>
      </c>
      <c r="B52" s="393">
        <f>SUBTOTAL(9,B12:B49)</f>
        <v>1894479.8299999998</v>
      </c>
      <c r="C52" s="398">
        <f>SUBTOTAL(9,C12:C49)</f>
        <v>861164.27656324382</v>
      </c>
      <c r="D52" s="399">
        <f>SUBTOTAL(9,D12:D49)</f>
        <v>623389</v>
      </c>
      <c r="E52" s="400">
        <f>SUBTOTAL(9,E12:E49)</f>
        <v>237775.27656324388</v>
      </c>
      <c r="F52" s="369"/>
      <c r="G52" s="204"/>
      <c r="H52" s="32"/>
      <c r="I52" s="204"/>
      <c r="J52" s="32"/>
      <c r="K52" s="32"/>
      <c r="L52" s="32"/>
    </row>
    <row r="53" spans="1:19" ht="12.95" customHeight="1" x14ac:dyDescent="0.2">
      <c r="A53" s="204"/>
      <c r="B53" s="351"/>
      <c r="C53" s="373"/>
      <c r="D53" s="373"/>
      <c r="E53" s="373"/>
      <c r="F53" s="358"/>
      <c r="G53" s="32"/>
      <c r="I53" s="32"/>
      <c r="J53" s="32"/>
      <c r="K53" s="32"/>
      <c r="L53" s="32"/>
    </row>
    <row r="54" spans="1:19" ht="14.1" customHeight="1" x14ac:dyDescent="0.2"/>
    <row r="55" spans="1:19" ht="12.95" customHeight="1" x14ac:dyDescent="0.2"/>
    <row r="56" spans="1:19" ht="13.5" customHeight="1" x14ac:dyDescent="0.2"/>
    <row r="57" spans="1:19" ht="13.5" customHeight="1" outlineLevel="2" x14ac:dyDescent="0.2">
      <c r="A57" s="34" t="s">
        <v>140</v>
      </c>
      <c r="D57" s="7"/>
      <c r="I57" s="388" t="s">
        <v>78</v>
      </c>
      <c r="J57" s="391"/>
      <c r="K57" s="32"/>
    </row>
    <row r="58" spans="1:19" ht="13.5" customHeight="1" outlineLevel="2" x14ac:dyDescent="0.2">
      <c r="D58" s="7"/>
      <c r="I58" s="389" t="s">
        <v>29</v>
      </c>
      <c r="J58" s="392">
        <f>+J3</f>
        <v>2.15</v>
      </c>
      <c r="K58" s="407">
        <f ca="1">NOW()</f>
        <v>37267.677610185186</v>
      </c>
    </row>
    <row r="59" spans="1:19" ht="13.5" customHeight="1" outlineLevel="2" x14ac:dyDescent="0.2">
      <c r="A59" s="34" t="s">
        <v>145</v>
      </c>
      <c r="C59" s="34" t="s">
        <v>5</v>
      </c>
      <c r="D59" s="7"/>
      <c r="I59" s="390" t="s">
        <v>30</v>
      </c>
      <c r="J59" s="392">
        <f>+J4</f>
        <v>2.2000000000000002</v>
      </c>
      <c r="K59" s="32"/>
    </row>
    <row r="60" spans="1:19" ht="13.5" customHeight="1" outlineLevel="1" x14ac:dyDescent="0.2">
      <c r="D60" s="7"/>
      <c r="I60" s="389" t="s">
        <v>117</v>
      </c>
      <c r="J60" s="392">
        <f>+J5</f>
        <v>2.2200000000000002</v>
      </c>
      <c r="K60" s="32"/>
    </row>
    <row r="61" spans="1:19" ht="13.5" customHeight="1" outlineLevel="2" x14ac:dyDescent="0.2"/>
    <row r="62" spans="1:19" ht="13.5" customHeight="1" outlineLevel="2" x14ac:dyDescent="0.2">
      <c r="A62" s="405" t="s">
        <v>164</v>
      </c>
      <c r="B62" s="406"/>
      <c r="E62" s="12" t="s">
        <v>197</v>
      </c>
    </row>
    <row r="63" spans="1:19" ht="13.5" customHeight="1" outlineLevel="2" x14ac:dyDescent="0.2">
      <c r="A63" s="32"/>
      <c r="B63" s="408" t="s">
        <v>188</v>
      </c>
      <c r="C63" s="408" t="s">
        <v>195</v>
      </c>
      <c r="D63" s="408" t="s">
        <v>192</v>
      </c>
      <c r="E63" s="12" t="s">
        <v>198</v>
      </c>
      <c r="F63" s="2" t="s">
        <v>148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A64" s="371" t="s">
        <v>89</v>
      </c>
      <c r="B64" s="404" t="s">
        <v>0</v>
      </c>
      <c r="C64" s="383" t="s">
        <v>166</v>
      </c>
      <c r="D64" s="39" t="s">
        <v>196</v>
      </c>
      <c r="E64" s="39" t="s">
        <v>199</v>
      </c>
      <c r="F64" s="39" t="s">
        <v>146</v>
      </c>
      <c r="G64" s="395" t="s">
        <v>151</v>
      </c>
      <c r="H64" s="372" t="s">
        <v>101</v>
      </c>
      <c r="I64" s="371" t="s">
        <v>98</v>
      </c>
      <c r="J64" s="32"/>
      <c r="K64" s="32"/>
      <c r="L64" s="32"/>
      <c r="N64" s="32"/>
      <c r="O64" s="32"/>
      <c r="P64" s="32"/>
      <c r="Q64" s="32"/>
      <c r="R64" s="32"/>
      <c r="S64" s="32"/>
    </row>
    <row r="65" spans="1:11" ht="13.5" customHeight="1" outlineLevel="2" x14ac:dyDescent="0.2">
      <c r="B65" s="286"/>
      <c r="C65" s="247"/>
    </row>
    <row r="66" spans="1:11" ht="13.5" customHeight="1" outlineLevel="1" x14ac:dyDescent="0.2">
      <c r="A66" s="371" t="s">
        <v>155</v>
      </c>
      <c r="B66" s="286"/>
      <c r="C66" s="247"/>
      <c r="G66" s="203"/>
    </row>
    <row r="67" spans="1:11" ht="13.5" customHeight="1" outlineLevel="2" x14ac:dyDescent="0.2">
      <c r="A67" s="248" t="s">
        <v>94</v>
      </c>
      <c r="B67" s="517">
        <f>+Mojave!D40</f>
        <v>191294</v>
      </c>
      <c r="C67" s="351">
        <f>+B67*$J$4</f>
        <v>420846.80000000005</v>
      </c>
      <c r="D67" s="47">
        <f>+Mojave!D47</f>
        <v>209649.2</v>
      </c>
      <c r="E67" s="47">
        <f>+C67-D67</f>
        <v>211197.60000000003</v>
      </c>
      <c r="F67" s="370">
        <f>+Mojave!A40</f>
        <v>37263</v>
      </c>
      <c r="G67" s="203" t="s">
        <v>154</v>
      </c>
      <c r="H67" s="32" t="s">
        <v>100</v>
      </c>
      <c r="I67" s="32" t="s">
        <v>169</v>
      </c>
      <c r="J67" s="32"/>
      <c r="K67" s="32"/>
    </row>
    <row r="68" spans="1:11" ht="15" customHeight="1" outlineLevel="2" x14ac:dyDescent="0.2">
      <c r="A68" s="248" t="s">
        <v>32</v>
      </c>
      <c r="B68" s="374">
        <f>+SoCal!F40</f>
        <v>74015</v>
      </c>
      <c r="C68" s="351">
        <f>+B68*$J$4</f>
        <v>162833</v>
      </c>
      <c r="D68" s="47">
        <f>+SoCal!D47</f>
        <v>265026</v>
      </c>
      <c r="E68" s="47">
        <f>+C68-D68</f>
        <v>-102193</v>
      </c>
      <c r="F68" s="370">
        <f>+SoCal!A40</f>
        <v>37266</v>
      </c>
      <c r="G68" s="203" t="s">
        <v>153</v>
      </c>
      <c r="H68" s="32" t="s">
        <v>102</v>
      </c>
      <c r="I68" s="32"/>
      <c r="J68" s="32"/>
      <c r="K68" s="32"/>
    </row>
    <row r="69" spans="1:11" ht="15" customHeight="1" outlineLevel="2" x14ac:dyDescent="0.2">
      <c r="A69" s="248" t="s">
        <v>178</v>
      </c>
      <c r="B69" s="373">
        <f>+'El Paso'!C39</f>
        <v>64269</v>
      </c>
      <c r="C69" s="351">
        <f>+B69*$J$4</f>
        <v>141391.80000000002</v>
      </c>
      <c r="D69" s="47">
        <f>+'El Paso'!C46</f>
        <v>-1582961.01</v>
      </c>
      <c r="E69" s="47">
        <f>+C69-D69</f>
        <v>1724352.81</v>
      </c>
      <c r="F69" s="370">
        <f>+'El Paso'!A39</f>
        <v>37265</v>
      </c>
      <c r="G69" s="425" t="s">
        <v>154</v>
      </c>
      <c r="H69" s="32" t="s">
        <v>100</v>
      </c>
      <c r="I69" s="32" t="s">
        <v>170</v>
      </c>
      <c r="J69" s="32"/>
      <c r="K69" s="32"/>
    </row>
    <row r="70" spans="1:11" ht="15" customHeight="1" outlineLevel="1" x14ac:dyDescent="0.2">
      <c r="A70" s="248" t="s">
        <v>114</v>
      </c>
      <c r="B70" s="375">
        <f>+'PG&amp;E'!D40</f>
        <v>9801</v>
      </c>
      <c r="C70" s="354">
        <f>+B70*$J$4</f>
        <v>21562.2</v>
      </c>
      <c r="D70" s="354">
        <f>+'PG&amp;E'!D47</f>
        <v>-188937.15000000002</v>
      </c>
      <c r="E70" s="354">
        <f>+C70-D70</f>
        <v>210499.35000000003</v>
      </c>
      <c r="F70" s="370">
        <f>+'PG&amp;E'!A40</f>
        <v>37266</v>
      </c>
      <c r="G70" s="203" t="s">
        <v>154</v>
      </c>
      <c r="H70" s="32" t="s">
        <v>102</v>
      </c>
      <c r="I70" s="32"/>
      <c r="J70" s="32"/>
      <c r="K70" s="32"/>
    </row>
    <row r="71" spans="1:11" ht="15" customHeight="1" x14ac:dyDescent="0.2">
      <c r="A71" s="2" t="s">
        <v>156</v>
      </c>
      <c r="B71" s="398">
        <f>SUBTOTAL(9,B67:B70)</f>
        <v>339379</v>
      </c>
      <c r="C71" s="393">
        <f>SUBTOTAL(9,C67:C70)</f>
        <v>746633.8</v>
      </c>
      <c r="D71" s="393">
        <f>SUBTOTAL(9,D67:D70)</f>
        <v>-1297222.96</v>
      </c>
      <c r="E71" s="393">
        <f>SUBTOTAL(9,E67:E70)</f>
        <v>2043856.7600000002</v>
      </c>
      <c r="F71" s="370"/>
      <c r="G71" s="203"/>
      <c r="H71" s="32"/>
      <c r="I71" s="32"/>
      <c r="J71" s="32"/>
      <c r="K71" s="32"/>
    </row>
    <row r="72" spans="1:11" ht="12.95" customHeight="1" x14ac:dyDescent="0.2">
      <c r="B72" s="286"/>
      <c r="C72" s="247"/>
      <c r="G72" s="203"/>
    </row>
    <row r="73" spans="1:11" ht="15" customHeight="1" x14ac:dyDescent="0.2">
      <c r="A73" s="371" t="s">
        <v>57</v>
      </c>
      <c r="B73" s="286"/>
      <c r="C73" s="247"/>
      <c r="G73" s="203"/>
    </row>
    <row r="74" spans="1:11" x14ac:dyDescent="0.2">
      <c r="A74" s="248" t="s">
        <v>23</v>
      </c>
      <c r="B74" s="373">
        <f>+'Red C'!F45</f>
        <v>23496</v>
      </c>
      <c r="C74" s="352">
        <f>+B74*J58</f>
        <v>50516.4</v>
      </c>
      <c r="D74" s="200">
        <f>+'Red C'!D52</f>
        <v>420105.5</v>
      </c>
      <c r="E74" s="47">
        <f>+C74-D74</f>
        <v>-369589.1</v>
      </c>
      <c r="F74" s="369">
        <f>+'Red C'!A45</f>
        <v>37266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315</v>
      </c>
      <c r="B75" s="373">
        <f>+Amoco!D40</f>
        <v>9945</v>
      </c>
      <c r="C75" s="351">
        <f>+B75*$J$3</f>
        <v>21381.75</v>
      </c>
      <c r="D75" s="47">
        <f>+Amoco!D47</f>
        <v>358915.25</v>
      </c>
      <c r="E75" s="47">
        <f>+C75-D75</f>
        <v>-337533.5</v>
      </c>
      <c r="F75" s="370">
        <f>+Amoco!A40</f>
        <v>37265</v>
      </c>
      <c r="G75" s="203" t="s">
        <v>153</v>
      </c>
      <c r="H75" s="32" t="s">
        <v>115</v>
      </c>
      <c r="I75" s="32"/>
      <c r="J75" s="32"/>
      <c r="K75" s="32"/>
    </row>
    <row r="76" spans="1:11" x14ac:dyDescent="0.2">
      <c r="A76" s="248" t="s">
        <v>179</v>
      </c>
      <c r="B76" s="373">
        <f>+'El Paso'!E39</f>
        <v>-18035</v>
      </c>
      <c r="C76" s="351">
        <f>+B76*$J$3</f>
        <v>-38775.25</v>
      </c>
      <c r="D76" s="47">
        <f>+'El Paso'!F46</f>
        <v>-657254.01</v>
      </c>
      <c r="E76" s="47">
        <f>+C76-D76</f>
        <v>618478.76</v>
      </c>
      <c r="F76" s="370">
        <f>+'El Paso'!A39</f>
        <v>37265</v>
      </c>
      <c r="G76" s="425" t="s">
        <v>154</v>
      </c>
      <c r="H76" s="32" t="s">
        <v>100</v>
      </c>
      <c r="I76" s="32"/>
      <c r="J76" s="32"/>
      <c r="K76" s="32"/>
    </row>
    <row r="77" spans="1:11" x14ac:dyDescent="0.2">
      <c r="A77" s="248" t="s">
        <v>1</v>
      </c>
      <c r="B77" s="375">
        <f>+NW!$F$41</f>
        <v>-29085</v>
      </c>
      <c r="C77" s="354">
        <f>+B77*$J$3</f>
        <v>-62532.75</v>
      </c>
      <c r="D77" s="354">
        <f>+NW!E49</f>
        <v>-522004.4</v>
      </c>
      <c r="E77" s="354">
        <f>+C77-D77</f>
        <v>459471.65</v>
      </c>
      <c r="F77" s="369">
        <f>+NW!B41</f>
        <v>37265</v>
      </c>
      <c r="G77" s="203" t="s">
        <v>153</v>
      </c>
      <c r="H77" s="32" t="s">
        <v>115</v>
      </c>
      <c r="I77" s="32"/>
      <c r="J77" s="32"/>
      <c r="K77" s="32"/>
    </row>
    <row r="78" spans="1:11" x14ac:dyDescent="0.2">
      <c r="A78" s="32" t="s">
        <v>157</v>
      </c>
      <c r="B78" s="398">
        <f>SUBTOTAL(9,B74:B77)</f>
        <v>-13679</v>
      </c>
      <c r="C78" s="393">
        <f>SUBTOTAL(9,C74:C77)</f>
        <v>-29409.850000000006</v>
      </c>
      <c r="D78" s="393">
        <f>SUBTOTAL(9,D74:D77)</f>
        <v>-400237.66000000003</v>
      </c>
      <c r="E78" s="393">
        <f>SUBTOTAL(9,E74:E77)</f>
        <v>370827.81000000006</v>
      </c>
      <c r="F78" s="369"/>
      <c r="G78" s="203"/>
      <c r="H78" s="32"/>
      <c r="I78" s="32"/>
      <c r="J78" s="32"/>
      <c r="K78" s="32"/>
    </row>
    <row r="79" spans="1:11" x14ac:dyDescent="0.2">
      <c r="B79" s="286"/>
      <c r="C79" s="247"/>
      <c r="G79" s="203"/>
    </row>
    <row r="80" spans="1:11" x14ac:dyDescent="0.2">
      <c r="A80" s="371" t="s">
        <v>159</v>
      </c>
      <c r="B80" s="286"/>
      <c r="C80" s="247"/>
      <c r="G80" s="203"/>
    </row>
    <row r="81" spans="1:12" x14ac:dyDescent="0.2">
      <c r="A81" s="248" t="s">
        <v>88</v>
      </c>
      <c r="B81" s="373">
        <f>+NGPL!F38</f>
        <v>131609</v>
      </c>
      <c r="C81" s="486">
        <f>+B81*$J$5</f>
        <v>292171.98000000004</v>
      </c>
      <c r="D81" s="47">
        <f>+NGPL!D45</f>
        <v>330473.8</v>
      </c>
      <c r="E81" s="47">
        <f>+C81-D81</f>
        <v>-38301.819999999949</v>
      </c>
      <c r="F81" s="370">
        <f>+NGPL!A38</f>
        <v>37264</v>
      </c>
      <c r="G81" s="203" t="s">
        <v>153</v>
      </c>
      <c r="H81" s="32" t="s">
        <v>115</v>
      </c>
      <c r="I81" s="32"/>
      <c r="J81" s="32"/>
      <c r="K81" s="32"/>
    </row>
    <row r="82" spans="1:12" x14ac:dyDescent="0.2">
      <c r="A82" s="248" t="s">
        <v>142</v>
      </c>
      <c r="B82" s="373">
        <f>+PEPL!D41</f>
        <v>-11012</v>
      </c>
      <c r="C82" s="487">
        <f>+B82*$J$4</f>
        <v>-24226.400000000001</v>
      </c>
      <c r="D82" s="47">
        <f>+PEPL!D47</f>
        <v>157165.20000000001</v>
      </c>
      <c r="E82" s="47">
        <f>+C82-D82</f>
        <v>-181391.6</v>
      </c>
      <c r="F82" s="370">
        <f>+PEPL!A41</f>
        <v>37264</v>
      </c>
      <c r="G82" s="32" t="s">
        <v>328</v>
      </c>
      <c r="H82" s="32" t="s">
        <v>100</v>
      </c>
      <c r="I82" s="32" t="s">
        <v>141</v>
      </c>
      <c r="J82" s="32"/>
      <c r="K82" s="32"/>
    </row>
    <row r="83" spans="1:12" ht="13.5" customHeight="1" outlineLevel="2" x14ac:dyDescent="0.2">
      <c r="A83" s="248" t="s">
        <v>110</v>
      </c>
      <c r="B83" s="206">
        <f>+CIG!D42</f>
        <v>16328</v>
      </c>
      <c r="C83" s="487">
        <f>+B83*$J$4</f>
        <v>35921.600000000006</v>
      </c>
      <c r="D83" s="200">
        <f>+CIG!D49</f>
        <v>383278</v>
      </c>
      <c r="E83" s="70">
        <f>+C83-D83</f>
        <v>-347356.4</v>
      </c>
      <c r="F83" s="370">
        <f>+CIG!A42</f>
        <v>37263</v>
      </c>
      <c r="G83" s="203" t="s">
        <v>154</v>
      </c>
      <c r="H83" s="32" t="s">
        <v>113</v>
      </c>
      <c r="I83" s="32" t="s">
        <v>180</v>
      </c>
      <c r="J83" s="32"/>
      <c r="K83" s="32"/>
    </row>
    <row r="84" spans="1:12" x14ac:dyDescent="0.2">
      <c r="A84" s="248" t="s">
        <v>31</v>
      </c>
      <c r="B84" s="377">
        <f>+Lonestar!F43</f>
        <v>21600.74</v>
      </c>
      <c r="C84" s="505">
        <f>+B84*J60</f>
        <v>47953.642800000009</v>
      </c>
      <c r="D84" s="354">
        <f>+Lonestar!D50</f>
        <v>25310.240000000002</v>
      </c>
      <c r="E84" s="354">
        <f>+C84-D84</f>
        <v>22643.402800000007</v>
      </c>
      <c r="F84" s="369">
        <f>+Lonestar!A43</f>
        <v>37265</v>
      </c>
      <c r="G84" s="32" t="s">
        <v>328</v>
      </c>
      <c r="H84" s="32" t="s">
        <v>102</v>
      </c>
      <c r="I84" s="32"/>
      <c r="J84" s="32"/>
      <c r="K84" s="32"/>
    </row>
    <row r="85" spans="1:12" x14ac:dyDescent="0.2">
      <c r="A85" s="2" t="s">
        <v>160</v>
      </c>
      <c r="B85" s="394">
        <f>SUBTOTAL(9,B81:B84)</f>
        <v>158525.74</v>
      </c>
      <c r="C85" s="393">
        <f>SUBTOTAL(9,C81:C84)</f>
        <v>351820.82280000008</v>
      </c>
      <c r="D85" s="393">
        <f>SUBTOTAL(9,D81:D84)</f>
        <v>896227.24</v>
      </c>
      <c r="E85" s="393">
        <f>SUBTOTAL(9,E81:E84)</f>
        <v>-544406.41719999991</v>
      </c>
      <c r="F85" s="369"/>
      <c r="H85" s="32"/>
      <c r="I85" s="32"/>
      <c r="J85" s="32"/>
      <c r="K85" s="32"/>
    </row>
    <row r="86" spans="1:12" x14ac:dyDescent="0.2">
      <c r="B86" s="286"/>
      <c r="C86" s="247"/>
    </row>
    <row r="87" spans="1:12" x14ac:dyDescent="0.2">
      <c r="A87" s="2" t="s">
        <v>165</v>
      </c>
      <c r="B87" s="394">
        <f>SUBTOTAL(9,B67:B84)</f>
        <v>484225.74</v>
      </c>
      <c r="C87" s="393">
        <f>SUBTOTAL(9,C67:C84)</f>
        <v>1069044.7728000002</v>
      </c>
      <c r="D87" s="393">
        <f>SUBTOTAL(9,D67:D84)</f>
        <v>-801233.38000000012</v>
      </c>
      <c r="E87" s="393">
        <f>SUBTOTAL(9,E67:E84)</f>
        <v>1870278.1528000005</v>
      </c>
      <c r="F87" s="369"/>
      <c r="H87" s="32"/>
      <c r="I87" s="32"/>
      <c r="J87" s="32"/>
      <c r="K87" s="32"/>
    </row>
    <row r="88" spans="1:12" x14ac:dyDescent="0.2">
      <c r="A88" s="32"/>
      <c r="B88" s="351"/>
      <c r="C88" s="374"/>
      <c r="D88" s="351"/>
      <c r="E88" s="351"/>
      <c r="F88" s="369"/>
      <c r="H88" s="32"/>
      <c r="I88" s="32"/>
      <c r="J88" s="32"/>
      <c r="K88" s="32"/>
    </row>
    <row r="89" spans="1:12" x14ac:dyDescent="0.2">
      <c r="A89" s="32"/>
      <c r="B89" s="354"/>
      <c r="C89" s="373"/>
      <c r="D89" s="293"/>
      <c r="E89" s="293"/>
      <c r="F89" s="369"/>
      <c r="G89" s="32"/>
      <c r="I89" s="32"/>
      <c r="J89" s="32"/>
      <c r="K89" s="32"/>
      <c r="L89" s="32"/>
    </row>
    <row r="90" spans="1:12" ht="13.5" thickBot="1" x14ac:dyDescent="0.25">
      <c r="A90" s="2" t="s">
        <v>167</v>
      </c>
      <c r="B90" s="401">
        <f>+C87+B52</f>
        <v>2963524.6028</v>
      </c>
      <c r="C90" s="206"/>
      <c r="D90" s="351"/>
      <c r="E90" s="351"/>
      <c r="F90" s="358"/>
      <c r="H90" s="32"/>
      <c r="I90" s="32"/>
      <c r="J90" s="32"/>
      <c r="K90" s="32"/>
    </row>
    <row r="91" spans="1:12" ht="13.5" thickTop="1" x14ac:dyDescent="0.2">
      <c r="A91" s="2" t="s">
        <v>168</v>
      </c>
      <c r="B91" s="14">
        <f>+B87+C52</f>
        <v>1345390.0165632437</v>
      </c>
      <c r="C91" s="376"/>
      <c r="D91" s="427"/>
      <c r="E91" s="293"/>
      <c r="F91" s="358"/>
      <c r="G91" s="32"/>
      <c r="H91" s="32"/>
      <c r="I91" s="32"/>
      <c r="J91" s="32"/>
    </row>
    <row r="92" spans="1:12" x14ac:dyDescent="0.2">
      <c r="A92" s="32"/>
      <c r="B92" s="47"/>
      <c r="C92" s="378"/>
      <c r="D92" s="293"/>
      <c r="E92" s="293"/>
      <c r="F92" s="204"/>
      <c r="G92" s="32"/>
      <c r="H92" s="32"/>
      <c r="I92" s="32"/>
      <c r="J92" s="32"/>
    </row>
    <row r="93" spans="1:12" x14ac:dyDescent="0.2">
      <c r="A93" s="32"/>
      <c r="B93" s="47"/>
      <c r="C93" s="69"/>
      <c r="E93" s="32"/>
      <c r="F93" s="32"/>
      <c r="G93" s="32"/>
      <c r="H93" s="32"/>
      <c r="I93" s="32"/>
    </row>
    <row r="94" spans="1:12" x14ac:dyDescent="0.2">
      <c r="A94" s="32"/>
      <c r="B94" s="47"/>
      <c r="C94" s="69"/>
      <c r="D94" s="32"/>
      <c r="E94" s="32"/>
      <c r="F94" s="32"/>
      <c r="G94" s="32"/>
      <c r="H94" s="32"/>
    </row>
    <row r="95" spans="1:12" x14ac:dyDescent="0.2">
      <c r="A95" s="32"/>
      <c r="B95" s="200"/>
      <c r="C95" s="294"/>
      <c r="D95" s="16"/>
      <c r="E95" s="32"/>
      <c r="F95" s="32"/>
      <c r="G95" s="32"/>
      <c r="H95" s="32"/>
    </row>
    <row r="101" spans="1:8" x14ac:dyDescent="0.2">
      <c r="A101" s="32"/>
      <c r="B101" s="200"/>
      <c r="C101" s="69"/>
      <c r="D101" s="70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200"/>
      <c r="C104" s="14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32"/>
      <c r="E106" s="32"/>
      <c r="F106" s="32"/>
      <c r="G106" s="32"/>
      <c r="H106" s="32"/>
    </row>
    <row r="107" spans="1:8" x14ac:dyDescent="0.2">
      <c r="A107" s="32"/>
      <c r="B107" s="200"/>
      <c r="C107" s="367"/>
      <c r="D107" s="32"/>
      <c r="E107" s="32"/>
      <c r="F107" s="32"/>
      <c r="G107" s="32"/>
      <c r="H107" s="32"/>
    </row>
    <row r="108" spans="1:8" x14ac:dyDescent="0.2">
      <c r="A108" s="32"/>
      <c r="B108" s="47"/>
      <c r="C108" s="69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>
        <v>300</v>
      </c>
      <c r="B127" s="47"/>
      <c r="D127" s="32"/>
      <c r="E127" s="32"/>
      <c r="F127" s="32"/>
      <c r="G127" s="32"/>
      <c r="H127" s="32"/>
    </row>
    <row r="128" spans="1:8" x14ac:dyDescent="0.2">
      <c r="A128" s="32">
        <v>35</v>
      </c>
      <c r="B128" s="47"/>
      <c r="D128" s="32"/>
      <c r="E128" s="32"/>
      <c r="F128" s="32"/>
      <c r="G128" s="32"/>
      <c r="H128" s="32"/>
    </row>
    <row r="129" spans="1:8" x14ac:dyDescent="0.2">
      <c r="A129" s="32">
        <f>+A128*A127</f>
        <v>10500</v>
      </c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4" sqref="C34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563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/>
      <c r="C15" s="416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/>
      <c r="C16" s="416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/>
      <c r="C17" s="416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/>
      <c r="C18" s="416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/>
      <c r="C19" s="416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1335497</v>
      </c>
      <c r="C37" s="416">
        <f>SUM(C6:C36)</f>
        <v>1375652</v>
      </c>
      <c r="D37" s="416">
        <f>SUM(D6:D36)</f>
        <v>40155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37265</v>
      </c>
      <c r="B40" s="285"/>
      <c r="C40" s="441"/>
      <c r="D40" s="310">
        <f>+D39+D37</f>
        <v>9945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37265</v>
      </c>
      <c r="B46" s="32"/>
      <c r="C46" s="32"/>
      <c r="D46" s="380">
        <f>+D37*'by type_area'!J3</f>
        <v>86333.25</v>
      </c>
      <c r="H46">
        <v>500</v>
      </c>
    </row>
    <row r="47" spans="1:16" x14ac:dyDescent="0.2">
      <c r="A47" s="32"/>
      <c r="B47" s="32"/>
      <c r="C47" s="32"/>
      <c r="D47" s="200">
        <f>+D46+D45</f>
        <v>358915.25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6" sqref="C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-589569</v>
      </c>
      <c r="C36" s="24">
        <f>SUM(C5:C35)</f>
        <v>-587810</v>
      </c>
      <c r="D36" s="24">
        <f t="shared" si="0"/>
        <v>1759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+summary!I5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3904.9800000000005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37265</v>
      </c>
      <c r="B40"/>
      <c r="C40" s="48"/>
      <c r="D40" s="138">
        <f>+D39+D38</f>
        <v>-29336.430000000004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37265</v>
      </c>
      <c r="B46" s="32"/>
      <c r="C46" s="32"/>
      <c r="D46" s="355">
        <f>+D36</f>
        <v>1759</v>
      </c>
    </row>
    <row r="47" spans="1:65" x14ac:dyDescent="0.2">
      <c r="A47" s="32"/>
      <c r="B47" s="32"/>
      <c r="C47" s="32"/>
      <c r="D47" s="14">
        <f>+D46+D45</f>
        <v>-16320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253330</v>
      </c>
      <c r="C5" s="90">
        <v>251442</v>
      </c>
      <c r="D5" s="90">
        <f>+C5-B5</f>
        <v>-1888</v>
      </c>
      <c r="E5" s="275"/>
      <c r="F5" s="273"/>
    </row>
    <row r="6" spans="1:13" x14ac:dyDescent="0.2">
      <c r="A6" s="87">
        <v>78311</v>
      </c>
      <c r="B6" s="90">
        <v>83265</v>
      </c>
      <c r="C6" s="90">
        <f>76750-12400</f>
        <v>64350</v>
      </c>
      <c r="D6" s="90">
        <f t="shared" ref="D6:D17" si="0">+C6-B6</f>
        <v>-18915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235131</v>
      </c>
      <c r="C7" s="90">
        <v>263697</v>
      </c>
      <c r="D7" s="90">
        <f t="shared" si="0"/>
        <v>28566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290913</v>
      </c>
      <c r="C8" s="90">
        <v>223071</v>
      </c>
      <c r="D8" s="90">
        <f t="shared" si="0"/>
        <v>-67842</v>
      </c>
      <c r="E8" s="461"/>
      <c r="F8" s="273"/>
    </row>
    <row r="9" spans="1:13" x14ac:dyDescent="0.2">
      <c r="A9" s="87">
        <v>500293</v>
      </c>
      <c r="B9" s="90">
        <v>152049</v>
      </c>
      <c r="C9" s="90">
        <v>155219</v>
      </c>
      <c r="D9" s="90">
        <f t="shared" si="0"/>
        <v>3170</v>
      </c>
      <c r="E9" s="275"/>
      <c r="F9" s="273"/>
    </row>
    <row r="10" spans="1:13" x14ac:dyDescent="0.2">
      <c r="A10" s="87">
        <v>500302</v>
      </c>
      <c r="B10" s="90"/>
      <c r="C10" s="90">
        <v>2484</v>
      </c>
      <c r="D10" s="90">
        <f t="shared" si="0"/>
        <v>2484</v>
      </c>
      <c r="E10" s="275"/>
      <c r="F10" s="273"/>
    </row>
    <row r="11" spans="1:13" x14ac:dyDescent="0.2">
      <c r="A11" s="87">
        <v>500303</v>
      </c>
      <c r="B11" s="90"/>
      <c r="C11" s="90">
        <v>83697</v>
      </c>
      <c r="D11" s="90">
        <f t="shared" si="0"/>
        <v>83697</v>
      </c>
      <c r="E11" s="275"/>
      <c r="F11" s="273"/>
    </row>
    <row r="12" spans="1:13" x14ac:dyDescent="0.2">
      <c r="A12" s="91">
        <v>500305</v>
      </c>
      <c r="B12" s="90">
        <f>405485+50067</f>
        <v>455552</v>
      </c>
      <c r="C12" s="90">
        <v>433200</v>
      </c>
      <c r="D12" s="90">
        <f t="shared" si="0"/>
        <v>-22352</v>
      </c>
      <c r="E12" s="276"/>
      <c r="F12" s="273"/>
    </row>
    <row r="13" spans="1:13" x14ac:dyDescent="0.2">
      <c r="A13" s="87">
        <v>500307</v>
      </c>
      <c r="B13" s="90">
        <f>26835+1271</f>
        <v>28106</v>
      </c>
      <c r="C13" s="90">
        <v>14896</v>
      </c>
      <c r="D13" s="90">
        <f t="shared" si="0"/>
        <v>-13210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59681+7761</f>
        <v>67442</v>
      </c>
      <c r="C16" s="90"/>
      <c r="D16" s="90">
        <f t="shared" si="0"/>
        <v>-67442</v>
      </c>
      <c r="E16" s="275"/>
      <c r="F16" s="273"/>
    </row>
    <row r="17" spans="1:6" x14ac:dyDescent="0.2">
      <c r="A17" s="87">
        <v>500657</v>
      </c>
      <c r="B17" s="88">
        <f>45875+5530</f>
        <v>51405</v>
      </c>
      <c r="C17" s="88">
        <v>62988</v>
      </c>
      <c r="D17" s="94">
        <f t="shared" si="0"/>
        <v>11583</v>
      </c>
      <c r="E17" s="275"/>
      <c r="F17" s="273"/>
    </row>
    <row r="18" spans="1:6" x14ac:dyDescent="0.2">
      <c r="A18" s="87"/>
      <c r="B18" s="88"/>
      <c r="C18" s="88"/>
      <c r="D18" s="88">
        <f>SUM(D5:D17)</f>
        <v>-61442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+summary!I5</f>
        <v>2.2200000000000002</v>
      </c>
      <c r="E19" s="277"/>
      <c r="F19" s="273"/>
    </row>
    <row r="20" spans="1:6" x14ac:dyDescent="0.2">
      <c r="A20" s="87"/>
      <c r="B20" s="88"/>
      <c r="C20" s="88"/>
      <c r="D20" s="96">
        <f>+D19*D18</f>
        <v>-136401.24000000002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37265</v>
      </c>
      <c r="B24" s="88"/>
      <c r="C24" s="88"/>
      <c r="D24" s="321">
        <f>+D22+D20</f>
        <v>-95791.98000000001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37265</v>
      </c>
      <c r="B30" s="32"/>
      <c r="C30" s="32"/>
      <c r="D30" s="355">
        <f>+D18</f>
        <v>-61442</v>
      </c>
    </row>
    <row r="31" spans="1:6" x14ac:dyDescent="0.2">
      <c r="A31" s="32"/>
      <c r="B31" s="32"/>
      <c r="C31" s="32"/>
      <c r="D31" s="14">
        <f>+D30+D29</f>
        <v>-29736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3" sqref="E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32378</v>
      </c>
      <c r="E13" s="11">
        <v>34000</v>
      </c>
      <c r="F13" s="25">
        <f t="shared" si="2"/>
        <v>1467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331840</v>
      </c>
      <c r="C35" s="11">
        <f>SUM(C4:C34)</f>
        <v>341061</v>
      </c>
      <c r="D35" s="11">
        <f>SUM(D4:D34)</f>
        <v>325646</v>
      </c>
      <c r="E35" s="11">
        <f>SUM(E4:E34)</f>
        <v>319572</v>
      </c>
      <c r="F35" s="11">
        <f>+E35-D35+C35-B35</f>
        <v>3147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+summary!I4</f>
        <v>2.2000000000000002</v>
      </c>
    </row>
    <row r="38" spans="1:7" x14ac:dyDescent="0.2">
      <c r="C38" s="48"/>
      <c r="D38" s="47"/>
      <c r="E38" s="48"/>
      <c r="F38" s="46">
        <f>+F37*F35</f>
        <v>6923.4000000000005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37266</v>
      </c>
      <c r="C41" s="106"/>
      <c r="D41" s="106"/>
      <c r="E41" s="106"/>
      <c r="F41" s="106">
        <f>+F38+F40</f>
        <v>467350.09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37266</v>
      </c>
      <c r="D47" s="355">
        <f>+F35</f>
        <v>3147</v>
      </c>
      <c r="E47" s="11"/>
      <c r="F47" s="11"/>
      <c r="G47" s="25"/>
    </row>
    <row r="48" spans="1:7" x14ac:dyDescent="0.2">
      <c r="D48" s="14">
        <f>+D47+D46</f>
        <v>21114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36" sqref="B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562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1644415</v>
      </c>
      <c r="C36" s="11">
        <f>SUM(C5:C35)</f>
        <v>1641773</v>
      </c>
      <c r="D36" s="11">
        <f>SUM(D5:D35)</f>
        <v>0</v>
      </c>
      <c r="E36" s="11">
        <f>SUM(E5:E35)</f>
        <v>-4054</v>
      </c>
      <c r="F36" s="11">
        <f>SUM(F5:F35)</f>
        <v>-6696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37265</v>
      </c>
      <c r="F41" s="336">
        <f>+F39+F36</f>
        <v>-29085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37265</v>
      </c>
      <c r="C48" s="32"/>
      <c r="D48" s="32"/>
      <c r="E48" s="380">
        <f>+F36*'by type_area'!J3</f>
        <v>-14396.4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-522004.4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89762</v>
      </c>
      <c r="C16" s="11">
        <v>89032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909722</v>
      </c>
      <c r="C39" s="11">
        <f>SUM(C8:C38)</f>
        <v>918047</v>
      </c>
      <c r="D39" s="11">
        <f>SUM(D8:D38)</f>
        <v>8325</v>
      </c>
      <c r="E39" s="10"/>
      <c r="F39" s="11"/>
      <c r="G39" s="11"/>
      <c r="H39" s="11"/>
    </row>
    <row r="40" spans="1:8" x14ac:dyDescent="0.2">
      <c r="A40" s="26"/>
      <c r="D40" s="75">
        <f>+summary!I4</f>
        <v>2.2000000000000002</v>
      </c>
      <c r="E40" s="26"/>
      <c r="H40" s="75"/>
    </row>
    <row r="41" spans="1:8" x14ac:dyDescent="0.2">
      <c r="D41" s="195">
        <f>+D40*D39</f>
        <v>18315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37265</v>
      </c>
      <c r="D43" s="196">
        <f>+D42+D41</f>
        <v>31136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37265</v>
      </c>
      <c r="B49" s="32"/>
      <c r="C49" s="32"/>
      <c r="D49" s="355">
        <f>+D39</f>
        <v>8325</v>
      </c>
    </row>
    <row r="50" spans="1:4" x14ac:dyDescent="0.2">
      <c r="A50" s="32"/>
      <c r="B50" s="32"/>
      <c r="C50" s="32"/>
      <c r="D50" s="14">
        <f>+D49+D48</f>
        <v>-41457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37265</v>
      </c>
      <c r="I7" s="3" t="s">
        <v>259</v>
      </c>
      <c r="J7" s="15"/>
    </row>
    <row r="8" spans="1:14" x14ac:dyDescent="0.2">
      <c r="A8" s="248">
        <v>50895</v>
      </c>
      <c r="B8" s="343">
        <f>2070-813-626</f>
        <v>631</v>
      </c>
      <c r="J8" s="15"/>
    </row>
    <row r="9" spans="1:14" x14ac:dyDescent="0.2">
      <c r="A9" s="248">
        <v>60874</v>
      </c>
      <c r="B9" s="343">
        <v>1187</v>
      </c>
      <c r="J9" s="15"/>
    </row>
    <row r="10" spans="1:14" x14ac:dyDescent="0.2">
      <c r="A10" s="248">
        <v>78169</v>
      </c>
      <c r="B10" s="343">
        <f>134100-106852-13161</f>
        <v>14087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3600-4305-581</f>
        <v>-1286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1620-10</f>
        <v>1610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3600-311-232</f>
        <v>3057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506890-449314-56477</f>
        <v>1099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20283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+summary!I5</f>
        <v>2.2200000000000002</v>
      </c>
      <c r="C19" s="199">
        <f>+B19*B18</f>
        <v>45028.26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1576297.82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+summary!I4</f>
        <v>2.2000000000000002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37265</v>
      </c>
      <c r="F39" s="355">
        <f>+B18</f>
        <v>20283</v>
      </c>
      <c r="G39" s="355">
        <f>+B31</f>
        <v>0</v>
      </c>
      <c r="H39" s="355">
        <f>+B46</f>
        <v>1895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398845</v>
      </c>
      <c r="G40" s="14">
        <f>+G39+G38</f>
        <v>117857</v>
      </c>
      <c r="H40" s="14">
        <f>+H39+H38</f>
        <v>188871</v>
      </c>
      <c r="I40" s="14">
        <f>+H40+G40+F40</f>
        <v>705573</v>
      </c>
    </row>
    <row r="41" spans="1:9" x14ac:dyDescent="0.2">
      <c r="G41" s="32"/>
      <c r="H41" s="15"/>
      <c r="I41" s="32"/>
    </row>
    <row r="42" spans="1:9" x14ac:dyDescent="0.2">
      <c r="A42" s="245">
        <v>37265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1090+85</f>
        <v>1175</v>
      </c>
      <c r="G44" s="32"/>
      <c r="H44" s="386"/>
      <c r="I44" s="14"/>
    </row>
    <row r="45" spans="1:9" x14ac:dyDescent="0.2">
      <c r="A45" s="32">
        <v>500392</v>
      </c>
      <c r="B45" s="250">
        <f>669+51</f>
        <v>720</v>
      </c>
      <c r="G45" s="32"/>
      <c r="H45" s="386"/>
      <c r="I45" s="14"/>
    </row>
    <row r="46" spans="1:9" x14ac:dyDescent="0.2">
      <c r="B46" s="14">
        <f>SUM(B43:B45)</f>
        <v>1895</v>
      </c>
      <c r="G46" s="32"/>
      <c r="H46" s="386"/>
      <c r="I46" s="14"/>
    </row>
    <row r="47" spans="1:9" x14ac:dyDescent="0.2">
      <c r="B47" s="199">
        <f>+summary!I5</f>
        <v>2.2200000000000002</v>
      </c>
      <c r="C47" s="199">
        <f>+B47*B46</f>
        <v>4206.9000000000005</v>
      </c>
      <c r="H47" s="386"/>
      <c r="I47" s="14"/>
    </row>
    <row r="48" spans="1:9" x14ac:dyDescent="0.2">
      <c r="C48" s="324">
        <f>+C47+C40</f>
        <v>846583.69000000006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2795252.66</v>
      </c>
      <c r="I57" s="14">
        <f>SUM(I40:I54)</f>
        <v>760906</v>
      </c>
    </row>
    <row r="61" spans="1:9" x14ac:dyDescent="0.2">
      <c r="C61" s="15">
        <f>+DEFS!F49</f>
        <v>-2783304.1400000006</v>
      </c>
    </row>
    <row r="62" spans="1:9" x14ac:dyDescent="0.2">
      <c r="C62" s="15">
        <f>+C61+C57</f>
        <v>11948.519999999553</v>
      </c>
      <c r="I62" s="31">
        <f>+I57+DEFS!K49</f>
        <v>333422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10" sqref="E10:E12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24624</v>
      </c>
      <c r="E12" s="11">
        <v>24000</v>
      </c>
      <c r="F12" s="11">
        <f t="shared" si="0"/>
        <v>-624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220143</v>
      </c>
      <c r="E35" s="11">
        <f>SUM(E4:E34)</f>
        <v>216000</v>
      </c>
      <c r="F35" s="11">
        <f>SUM(F4:F34)</f>
        <v>-4143</v>
      </c>
      <c r="G35" s="11"/>
      <c r="H35" s="49">
        <f>+A40</f>
        <v>37265</v>
      </c>
      <c r="I35" s="355">
        <f>+C36</f>
        <v>0</v>
      </c>
      <c r="J35" s="355">
        <f>+E36</f>
        <v>-4143</v>
      </c>
      <c r="K35" s="206"/>
      <c r="L35" s="14"/>
    </row>
    <row r="36" spans="1:13" x14ac:dyDescent="0.2">
      <c r="C36" s="25">
        <f>+C35-B35</f>
        <v>0</v>
      </c>
      <c r="E36" s="25">
        <f>+E35-D35</f>
        <v>-4143</v>
      </c>
      <c r="F36" s="25">
        <f>+E36+C36</f>
        <v>-4143</v>
      </c>
      <c r="H36" s="32"/>
      <c r="I36" s="14">
        <f>+I35+I34</f>
        <v>-183022</v>
      </c>
      <c r="J36" s="14">
        <f>+J35+J34</f>
        <v>-132740</v>
      </c>
      <c r="K36" s="14">
        <f>+J36+I36</f>
        <v>-315762</v>
      </c>
      <c r="L36" s="14"/>
    </row>
    <row r="37" spans="1:13" x14ac:dyDescent="0.2">
      <c r="C37" s="316">
        <f>+summary!I5</f>
        <v>2.2200000000000002</v>
      </c>
      <c r="E37" s="104">
        <f>+C37</f>
        <v>2.2200000000000002</v>
      </c>
      <c r="F37" s="138">
        <f>+F36*E37</f>
        <v>-9197.4600000000009</v>
      </c>
    </row>
    <row r="38" spans="1:13" x14ac:dyDescent="0.2">
      <c r="C38" s="138">
        <f>+C37*C36</f>
        <v>0</v>
      </c>
      <c r="E38" s="136">
        <f>+E37*E36</f>
        <v>-9197.4600000000009</v>
      </c>
      <c r="F38" s="138">
        <f>+E38+C38</f>
        <v>-9197.4600000000009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37265</v>
      </c>
      <c r="B40" s="2" t="s">
        <v>45</v>
      </c>
      <c r="C40" s="317">
        <f>+C39+C38</f>
        <v>-1033420.01</v>
      </c>
      <c r="D40" s="252"/>
      <c r="E40" s="317">
        <f>+E39+E38</f>
        <v>-581047.79999999993</v>
      </c>
      <c r="F40" s="317">
        <f>+E40+C40</f>
        <v>-1614467.81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-2783304.1400000006</v>
      </c>
      <c r="G49" s="246"/>
      <c r="K49" s="14">
        <f>SUM(K36:K48)</f>
        <v>-427484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2795252.66</v>
      </c>
      <c r="M51" s="14">
        <f>+Duke!I57</f>
        <v>760906</v>
      </c>
    </row>
    <row r="53" spans="3:13" x14ac:dyDescent="0.2">
      <c r="F53" s="104">
        <f>+F51+F49</f>
        <v>11948.519999999553</v>
      </c>
      <c r="M53" s="16">
        <f>+M51+K49</f>
        <v>333422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-132740</v>
      </c>
      <c r="C74" s="247">
        <f>+E40</f>
        <v>-581047.79999999993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188871</v>
      </c>
      <c r="C77" s="259">
        <f>+Duke!C48</f>
        <v>846583.69000000006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398845</v>
      </c>
      <c r="C79" s="259">
        <f>+Duke!C20</f>
        <v>1576297.82</v>
      </c>
    </row>
    <row r="81" spans="2:3" x14ac:dyDescent="0.2">
      <c r="B81" s="31">
        <f>SUM(B68:B80)</f>
        <v>333422</v>
      </c>
      <c r="C81" s="259">
        <f>SUM(C68:C80)</f>
        <v>11948.520000000019</v>
      </c>
    </row>
    <row r="82" spans="2:3" x14ac:dyDescent="0.2">
      <c r="C82">
        <f>+C81/B81</f>
        <v>3.5836027616654026E-2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G39" sqref="G3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6131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-348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42935</v>
      </c>
      <c r="C39" s="11">
        <f t="shared" si="1"/>
        <v>45928</v>
      </c>
      <c r="D39" s="11">
        <f t="shared" si="1"/>
        <v>4054</v>
      </c>
      <c r="E39" s="11">
        <f t="shared" si="1"/>
        <v>9000</v>
      </c>
      <c r="F39" s="129">
        <f t="shared" si="1"/>
        <v>7703</v>
      </c>
      <c r="G39" s="11">
        <f t="shared" si="1"/>
        <v>6976</v>
      </c>
      <c r="H39" s="11">
        <f t="shared" si="1"/>
        <v>11868</v>
      </c>
      <c r="I39" s="11">
        <f t="shared" si="1"/>
        <v>8984</v>
      </c>
      <c r="J39" s="25">
        <f t="shared" si="1"/>
        <v>4328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+summary!I4</f>
        <v>2.2000000000000002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9521.6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37264</v>
      </c>
      <c r="C43" s="48"/>
      <c r="J43" s="138">
        <f>+J42+J41</f>
        <v>416421.51999999996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37264</v>
      </c>
      <c r="B48" s="32"/>
      <c r="C48" s="32"/>
      <c r="D48" s="355">
        <f>+J39</f>
        <v>4328</v>
      </c>
      <c r="L48"/>
    </row>
    <row r="49" spans="1:12" x14ac:dyDescent="0.2">
      <c r="A49" s="32"/>
      <c r="B49" s="32"/>
      <c r="C49" s="32"/>
      <c r="D49" s="14">
        <f>+D48+D47</f>
        <v>171296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9" workbookViewId="0">
      <selection activeCell="B16" sqref="B1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+summary!I4</f>
        <v>2.2000000000000002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-8357.8000000000011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37264</v>
      </c>
      <c r="B43" s="285"/>
      <c r="C43" s="441"/>
      <c r="D43" s="441"/>
      <c r="E43" s="441"/>
      <c r="F43" s="422">
        <f>+F42+F41</f>
        <v>171832.03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37264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6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20.100000000000001" customHeight="1" x14ac:dyDescent="0.25">
      <c r="A2" s="346" t="s">
        <v>140</v>
      </c>
      <c r="H2" s="368" t="s">
        <v>78</v>
      </c>
      <c r="I2" s="350"/>
    </row>
    <row r="3" spans="1:33" ht="15" customHeight="1" x14ac:dyDescent="0.2">
      <c r="H3" s="289" t="s">
        <v>29</v>
      </c>
      <c r="I3" s="349">
        <f>+'[3]1001'!$K$39</f>
        <v>2.15</v>
      </c>
      <c r="J3" s="379">
        <f ca="1">NOW()</f>
        <v>37267.677610185186</v>
      </c>
    </row>
    <row r="4" spans="1:33" ht="15" customHeight="1" x14ac:dyDescent="0.2">
      <c r="A4" s="34" t="s">
        <v>145</v>
      </c>
      <c r="C4" s="34" t="s">
        <v>5</v>
      </c>
      <c r="H4" s="290" t="s">
        <v>30</v>
      </c>
      <c r="I4" s="291">
        <f>+'[3]1001'!$M$39</f>
        <v>2.2000000000000002</v>
      </c>
    </row>
    <row r="5" spans="1:33" ht="15" customHeight="1" x14ac:dyDescent="0.2">
      <c r="B5" s="348"/>
      <c r="H5" s="289" t="s">
        <v>117</v>
      </c>
      <c r="I5" s="349">
        <f>+'[3]1001'!$E$39</f>
        <v>2.2200000000000002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1576297.82</v>
      </c>
      <c r="C8" s="206">
        <f>+B8/$I$5</f>
        <v>710044.06306306308</v>
      </c>
      <c r="D8" s="369">
        <f>+Duke!A7</f>
        <v>37265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1218954.8400000001</v>
      </c>
      <c r="C9" s="206">
        <f>+B9/$I$5</f>
        <v>549078.7567567568</v>
      </c>
      <c r="D9" s="369">
        <f>+DEFS!A40</f>
        <v>37265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830030.12</v>
      </c>
      <c r="C10" s="275">
        <f>+B10/$I$4</f>
        <v>377286.41818181815</v>
      </c>
      <c r="D10" s="370">
        <f>+PNM!A23</f>
        <v>37266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467350.09</v>
      </c>
      <c r="C11" s="275">
        <f>+B11/$I$4</f>
        <v>212431.8590909091</v>
      </c>
      <c r="D11" s="369">
        <f>+Conoco!A41</f>
        <v>37266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+C12*$I$4</f>
        <v>420846.80000000005</v>
      </c>
      <c r="C12" s="275">
        <f>+Mojave!D40</f>
        <v>191294</v>
      </c>
      <c r="D12" s="370">
        <f>+Mojave!A40</f>
        <v>37263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107</v>
      </c>
      <c r="B13" s="351">
        <f>+KN_Westar!F41</f>
        <v>417969.39</v>
      </c>
      <c r="C13" s="275">
        <f>+B13/$I$4</f>
        <v>189986.08636363636</v>
      </c>
      <c r="D13" s="370">
        <f>+KN_Westar!A41</f>
        <v>37256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2</v>
      </c>
      <c r="B14" s="351">
        <f>+mewborne!$J$43</f>
        <v>416421.51999999996</v>
      </c>
      <c r="C14" s="275">
        <f>+B14/$I$4</f>
        <v>189282.50909090906</v>
      </c>
      <c r="D14" s="370">
        <f>+mewborne!A43</f>
        <v>37264</v>
      </c>
      <c r="E14" s="32" t="s">
        <v>85</v>
      </c>
      <c r="F14" s="32" t="s">
        <v>327</v>
      </c>
      <c r="G14" s="32" t="s">
        <v>99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88</v>
      </c>
      <c r="B15" s="351">
        <f>+C15*$I$5</f>
        <v>292171.98000000004</v>
      </c>
      <c r="C15" s="275">
        <f>+NGPL!F38</f>
        <v>131609</v>
      </c>
      <c r="D15" s="370">
        <f>+NGPL!A38</f>
        <v>37264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5">
        <f>+B8+B9+B40</f>
        <v>11948.519999999553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514" t="s">
        <v>127</v>
      </c>
      <c r="B16" s="486">
        <f>+Calpine!D41</f>
        <v>193479.37</v>
      </c>
      <c r="C16" s="206">
        <f>+B16/$I$4</f>
        <v>87945.168181818168</v>
      </c>
      <c r="D16" s="369">
        <f>+Calpine!A41</f>
        <v>37265</v>
      </c>
      <c r="E16" s="204" t="s">
        <v>85</v>
      </c>
      <c r="F16" s="204" t="s">
        <v>153</v>
      </c>
      <c r="G16" s="204" t="s">
        <v>99</v>
      </c>
      <c r="H16" s="204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207</v>
      </c>
      <c r="B17" s="486">
        <f>+Dominion!D41</f>
        <v>178894.58000000002</v>
      </c>
      <c r="C17" s="275">
        <f>+B17/$I$5</f>
        <v>80583.144144144142</v>
      </c>
      <c r="D17" s="370">
        <f>+Dominion!A41</f>
        <v>37264</v>
      </c>
      <c r="E17" s="32" t="s">
        <v>85</v>
      </c>
      <c r="F17" s="32"/>
      <c r="G17" s="32" t="s">
        <v>99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3</v>
      </c>
      <c r="B18" s="486">
        <f>+'Amoco Abo'!$F$43</f>
        <v>171832.03</v>
      </c>
      <c r="C18" s="275">
        <f>+B18/$I$4</f>
        <v>78105.468181818171</v>
      </c>
      <c r="D18" s="370">
        <f>+'Amoco Abo'!A43</f>
        <v>37264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210</v>
      </c>
      <c r="B19" s="486">
        <f>+Devon!D41</f>
        <v>167683.87</v>
      </c>
      <c r="C19" s="275">
        <f>+B19/$I$5</f>
        <v>75533.274774774764</v>
      </c>
      <c r="D19" s="370">
        <f>+Devon!A41</f>
        <v>37264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32</v>
      </c>
      <c r="B20" s="486">
        <f>+C20*$I$4</f>
        <v>162833</v>
      </c>
      <c r="C20" s="206">
        <f>+SoCal!F40</f>
        <v>74015</v>
      </c>
      <c r="D20" s="369">
        <f>+SoCal!A40</f>
        <v>37266</v>
      </c>
      <c r="E20" s="204" t="s">
        <v>84</v>
      </c>
      <c r="F20" s="204" t="s">
        <v>153</v>
      </c>
      <c r="G20" s="204" t="s">
        <v>102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129</v>
      </c>
      <c r="B21" s="486">
        <f>+EPFS!D41</f>
        <v>109009.01</v>
      </c>
      <c r="C21" s="206">
        <f>+B21/$I$5</f>
        <v>49103.157657657648</v>
      </c>
      <c r="D21" s="369">
        <f>+EPFS!A41</f>
        <v>37265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 t="s">
        <v>244</v>
      </c>
      <c r="N21" s="385">
        <v>23995</v>
      </c>
      <c r="O21" s="70">
        <v>-1023166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514" t="s">
        <v>33</v>
      </c>
      <c r="B22" s="486">
        <f>+'El Paso'!C39*summary!I4+'El Paso'!E39*summary!I3</f>
        <v>102616.55000000002</v>
      </c>
      <c r="C22" s="275">
        <f>+'El Paso'!H39</f>
        <v>46234</v>
      </c>
      <c r="D22" s="369">
        <f>+'El Paso'!A39</f>
        <v>37265</v>
      </c>
      <c r="E22" s="204" t="s">
        <v>84</v>
      </c>
      <c r="F22" s="204" t="s">
        <v>154</v>
      </c>
      <c r="G22" s="204" t="s">
        <v>100</v>
      </c>
      <c r="H22" s="204"/>
      <c r="I22" s="32"/>
      <c r="J22" s="32"/>
      <c r="K22" s="32"/>
      <c r="L22" s="32"/>
      <c r="M22" s="32" t="s">
        <v>244</v>
      </c>
      <c r="N22" s="385">
        <v>22051</v>
      </c>
      <c r="O22" s="70">
        <v>-527215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218</v>
      </c>
      <c r="B23" s="486">
        <f>+Amarillo!P41</f>
        <v>94330.4</v>
      </c>
      <c r="C23" s="275">
        <f>+B23/$I$4</f>
        <v>42877.454545454537</v>
      </c>
      <c r="D23" s="370">
        <f>+Amarillo!A41</f>
        <v>37262</v>
      </c>
      <c r="E23" s="32" t="s">
        <v>85</v>
      </c>
      <c r="F23" s="32" t="s">
        <v>328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514" t="s">
        <v>28</v>
      </c>
      <c r="B24" s="351">
        <f>+C24*$I$3</f>
        <v>80100.399999999994</v>
      </c>
      <c r="C24" s="275">
        <f>+williams!J40</f>
        <v>37256</v>
      </c>
      <c r="D24" s="369">
        <f>+williams!A40</f>
        <v>37265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103</v>
      </c>
      <c r="B25" s="351">
        <f>+EOG!$J$41</f>
        <v>64044.01</v>
      </c>
      <c r="C25" s="275">
        <f>+B25/$I$4</f>
        <v>29110.913636363635</v>
      </c>
      <c r="D25" s="369">
        <f>+EOG!A41</f>
        <v>37264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48" t="s">
        <v>23</v>
      </c>
      <c r="B26" s="351">
        <f>+C26*$I$3</f>
        <v>50516.4</v>
      </c>
      <c r="C26" s="353">
        <f>+'Red C'!$F$45</f>
        <v>23496</v>
      </c>
      <c r="D26" s="369">
        <f>+'Red C'!A45</f>
        <v>37266</v>
      </c>
      <c r="E26" s="204" t="s">
        <v>84</v>
      </c>
      <c r="F26" s="32" t="s">
        <v>153</v>
      </c>
      <c r="G26" s="32" t="s">
        <v>115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31</v>
      </c>
      <c r="B27" s="351">
        <f>+C27*$I$5</f>
        <v>47953.642800000009</v>
      </c>
      <c r="C27" s="275">
        <f>+Lonestar!F43</f>
        <v>21600.74</v>
      </c>
      <c r="D27" s="369">
        <f>+Lonestar!A43</f>
        <v>37265</v>
      </c>
      <c r="E27" s="32" t="s">
        <v>84</v>
      </c>
      <c r="F27" s="32" t="s">
        <v>328</v>
      </c>
      <c r="G27" s="32" t="s">
        <v>102</v>
      </c>
      <c r="H27" s="32" t="s">
        <v>310</v>
      </c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SUM(O21:O27)</f>
        <v>-2511408.5300000003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324</v>
      </c>
      <c r="B28" s="351">
        <f>+Stratland!$D$41</f>
        <v>43180.07</v>
      </c>
      <c r="C28" s="275">
        <f>+B28/$I$4</f>
        <v>19627.304545454543</v>
      </c>
      <c r="D28" s="369">
        <f>+EOG!A47</f>
        <v>37264</v>
      </c>
      <c r="E28" s="32" t="s">
        <v>85</v>
      </c>
      <c r="F28" s="32"/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110</v>
      </c>
      <c r="B29" s="351">
        <f>+C29*$I$4</f>
        <v>35921.600000000006</v>
      </c>
      <c r="C29" s="275">
        <f>+CIG!D42</f>
        <v>16328</v>
      </c>
      <c r="D29" s="370">
        <f>+CIG!A42</f>
        <v>37263</v>
      </c>
      <c r="E29" s="204" t="s">
        <v>84</v>
      </c>
      <c r="F29" s="32" t="s">
        <v>154</v>
      </c>
      <c r="G29" s="32" t="s">
        <v>113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303</v>
      </c>
      <c r="B30" s="486">
        <f>+'WTG inc'!N43</f>
        <v>35743.090000000004</v>
      </c>
      <c r="C30" s="275">
        <f>+B30/$I$4</f>
        <v>16246.859090909091</v>
      </c>
      <c r="D30" s="370">
        <f>+'WTG inc'!A43</f>
        <v>37264</v>
      </c>
      <c r="E30" s="32" t="s">
        <v>85</v>
      </c>
      <c r="F30" s="32" t="s">
        <v>153</v>
      </c>
      <c r="G30" s="32" t="s">
        <v>115</v>
      </c>
      <c r="H30" s="204"/>
      <c r="I30" s="204"/>
      <c r="J30" s="204"/>
      <c r="K30" s="204"/>
      <c r="L30" s="204"/>
      <c r="M30" s="204"/>
      <c r="N30" s="477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514" t="s">
        <v>109</v>
      </c>
      <c r="B31" s="486">
        <f>+Continental!F43</f>
        <v>34262</v>
      </c>
      <c r="C31" s="206">
        <f>+B31/$I$4</f>
        <v>15573.636363636362</v>
      </c>
      <c r="D31" s="369">
        <f>+Continental!A43</f>
        <v>37264</v>
      </c>
      <c r="E31" s="204" t="s">
        <v>85</v>
      </c>
      <c r="F31" s="204" t="s">
        <v>154</v>
      </c>
      <c r="G31" s="204" t="s">
        <v>115</v>
      </c>
      <c r="H31" s="204"/>
      <c r="I31" s="204"/>
      <c r="J31" s="32"/>
      <c r="K31" s="32"/>
      <c r="L31" s="32"/>
      <c r="M31" s="32" t="s">
        <v>244</v>
      </c>
      <c r="N31" s="385">
        <v>26357</v>
      </c>
      <c r="O31" s="70">
        <v>44144.84</v>
      </c>
      <c r="P31" s="32" t="s">
        <v>248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5" customHeight="1" x14ac:dyDescent="0.2">
      <c r="A32" s="514" t="s">
        <v>71</v>
      </c>
      <c r="B32" s="352">
        <f>+transcol!$D$43</f>
        <v>31136</v>
      </c>
      <c r="C32" s="353">
        <f>+B32/$I$4</f>
        <v>14152.727272727272</v>
      </c>
      <c r="D32" s="369">
        <f>+transcol!A43</f>
        <v>37265</v>
      </c>
      <c r="E32" s="204" t="s">
        <v>85</v>
      </c>
      <c r="F32" s="204" t="s">
        <v>153</v>
      </c>
      <c r="G32" s="204" t="s">
        <v>115</v>
      </c>
      <c r="H32" s="32"/>
      <c r="I32" s="32"/>
      <c r="J32" s="32"/>
      <c r="K32" s="32"/>
      <c r="L32" s="32"/>
      <c r="M32" s="32"/>
      <c r="N32" s="385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293" customFormat="1" ht="12.95" customHeight="1" x14ac:dyDescent="0.2">
      <c r="A33" s="248" t="s">
        <v>114</v>
      </c>
      <c r="B33" s="486">
        <f>+C33*$I$4</f>
        <v>21562.2</v>
      </c>
      <c r="C33" s="206">
        <f>+'PG&amp;E'!D40</f>
        <v>9801</v>
      </c>
      <c r="D33" s="370">
        <f>+'PG&amp;E'!A40</f>
        <v>37266</v>
      </c>
      <c r="E33" s="32" t="s">
        <v>84</v>
      </c>
      <c r="F33" s="32" t="s">
        <v>154</v>
      </c>
      <c r="G33" s="32" t="s">
        <v>102</v>
      </c>
      <c r="H33" s="32"/>
      <c r="I33" s="204"/>
      <c r="J33" s="204"/>
      <c r="K33" s="204"/>
      <c r="L33" s="204"/>
      <c r="M33" s="204"/>
      <c r="N33" s="477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48" t="s">
        <v>315</v>
      </c>
      <c r="B34" s="486">
        <f>+C34*$I$3</f>
        <v>21381.75</v>
      </c>
      <c r="C34" s="275">
        <f>+Amoco!D40</f>
        <v>9945</v>
      </c>
      <c r="D34" s="370">
        <f>+Amoco!A40</f>
        <v>37265</v>
      </c>
      <c r="E34" s="32" t="s">
        <v>84</v>
      </c>
      <c r="F34" s="32" t="s">
        <v>153</v>
      </c>
      <c r="G34" s="32" t="s">
        <v>115</v>
      </c>
      <c r="H34" s="32"/>
      <c r="I34" s="32"/>
      <c r="J34" s="32"/>
      <c r="K34" s="32"/>
      <c r="L34" s="32"/>
      <c r="M34" s="32"/>
      <c r="N34" s="385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514" t="s">
        <v>95</v>
      </c>
      <c r="B35" s="351">
        <f>+burlington!D42</f>
        <v>17359.490000000005</v>
      </c>
      <c r="C35" s="275">
        <f>+B35/$I$3</f>
        <v>8074.1813953488399</v>
      </c>
      <c r="D35" s="369">
        <f>+burlington!A42</f>
        <v>37265</v>
      </c>
      <c r="E35" s="204" t="s">
        <v>85</v>
      </c>
      <c r="F35" s="32" t="s">
        <v>154</v>
      </c>
      <c r="G35" s="32" t="s">
        <v>113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131</v>
      </c>
      <c r="B36" s="354">
        <f>+SidR!D41</f>
        <v>8063.8100000000013</v>
      </c>
      <c r="C36" s="71">
        <f>+B36/$I$5</f>
        <v>3632.3468468468473</v>
      </c>
      <c r="D36" s="370">
        <f>+SidR!A41</f>
        <v>37265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7311945.8328</v>
      </c>
      <c r="C37" s="69">
        <f>SUM(C8:C36)</f>
        <v>3310254.0691840467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-2783304.1400000006</v>
      </c>
      <c r="C40" s="353">
        <f>+B40/$I$5</f>
        <v>-1253740.6036036038</v>
      </c>
      <c r="D40" s="369">
        <f>+DEFS!A40</f>
        <v>37265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-547526.79</v>
      </c>
      <c r="C41" s="206">
        <f>+B41/$I$4</f>
        <v>-248875.81363636363</v>
      </c>
      <c r="D41" s="369">
        <f>+Citizens!A18</f>
        <v>37264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-332544.40000000002</v>
      </c>
      <c r="C42" s="206">
        <f>+B42/$I$4</f>
        <v>-151156.54545454544</v>
      </c>
      <c r="D42" s="370">
        <f>+'NS Steel'!A41</f>
        <v>37265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+B43/$I$5</f>
        <v>-91772.999999999985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48" t="s">
        <v>216</v>
      </c>
      <c r="B44" s="486">
        <f>+crosstex!F41</f>
        <v>-122588.84</v>
      </c>
      <c r="C44" s="206">
        <f>+B44/$I$4</f>
        <v>-55722.2</v>
      </c>
      <c r="D44" s="370">
        <f>+crosstex!A41</f>
        <v>37264</v>
      </c>
      <c r="E44" s="32" t="s">
        <v>85</v>
      </c>
      <c r="F44" s="32" t="s">
        <v>152</v>
      </c>
      <c r="G44" s="32" t="s">
        <v>100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515" t="s">
        <v>79</v>
      </c>
      <c r="B45" s="518">
        <f>+Agave!$D$24</f>
        <v>-95791.98000000001</v>
      </c>
      <c r="C45" s="469">
        <f>+B45/$I$4</f>
        <v>-43541.80909090909</v>
      </c>
      <c r="D45" s="468">
        <f>+Agave!A24</f>
        <v>37265</v>
      </c>
      <c r="E45" s="448" t="s">
        <v>85</v>
      </c>
      <c r="F45" s="448" t="s">
        <v>328</v>
      </c>
      <c r="G45" s="448" t="s">
        <v>102</v>
      </c>
      <c r="H45" s="448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+PGETX!$H$37</f>
        <v>-75991</v>
      </c>
      <c r="C46" s="275">
        <f>+B46/$I$4</f>
        <v>-34541.363636363632</v>
      </c>
      <c r="D46" s="370">
        <f>+PGETX!E37</f>
        <v>37265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248" t="s">
        <v>1</v>
      </c>
      <c r="B47" s="486">
        <f>+C47*$I$3</f>
        <v>-62532.75</v>
      </c>
      <c r="C47" s="206">
        <f>+NW!$F$41</f>
        <v>-29085</v>
      </c>
      <c r="D47" s="369">
        <f>+NW!B41</f>
        <v>37265</v>
      </c>
      <c r="E47" s="32" t="s">
        <v>84</v>
      </c>
      <c r="F47" s="32" t="s">
        <v>153</v>
      </c>
      <c r="G47" s="32" t="s">
        <v>115</v>
      </c>
      <c r="H47" s="357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514" t="s">
        <v>204</v>
      </c>
      <c r="B48" s="487">
        <f>+WTGmktg!J43</f>
        <v>-30825.730000000003</v>
      </c>
      <c r="C48" s="206">
        <f>+B48/$I$4</f>
        <v>-14011.695454545456</v>
      </c>
      <c r="D48" s="369">
        <f>+WTGmktg!A43</f>
        <v>37264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248" t="s">
        <v>6</v>
      </c>
      <c r="B49" s="486">
        <f>+Oasis!$D$40</f>
        <v>-29336.430000000004</v>
      </c>
      <c r="C49" s="206">
        <f>+B49/$I$5</f>
        <v>-13214.608108108108</v>
      </c>
      <c r="D49" s="370">
        <f>+Oasis!A40</f>
        <v>37265</v>
      </c>
      <c r="E49" s="32" t="s">
        <v>85</v>
      </c>
      <c r="F49" s="32" t="s">
        <v>154</v>
      </c>
      <c r="G49" s="32" t="s">
        <v>102</v>
      </c>
      <c r="H49" s="32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293" customFormat="1" ht="13.5" customHeight="1" x14ac:dyDescent="0.2">
      <c r="A50" s="514" t="s">
        <v>142</v>
      </c>
      <c r="B50" s="352">
        <f>+C50*$I$4</f>
        <v>-24226.400000000001</v>
      </c>
      <c r="C50" s="353">
        <f>+PEPL!D41</f>
        <v>-11012</v>
      </c>
      <c r="D50" s="369">
        <f>+PEPL!A41</f>
        <v>37264</v>
      </c>
      <c r="E50" s="204" t="s">
        <v>84</v>
      </c>
      <c r="F50" s="204" t="s">
        <v>328</v>
      </c>
      <c r="G50" s="204" t="s">
        <v>100</v>
      </c>
      <c r="H50" s="32"/>
      <c r="I50" s="204"/>
      <c r="J50" s="204"/>
      <c r="K50" s="204"/>
      <c r="L50" s="204"/>
      <c r="M50" s="204" t="s">
        <v>245</v>
      </c>
      <c r="N50" s="477">
        <v>24361</v>
      </c>
      <c r="O50" s="273">
        <v>811179.69</v>
      </c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293" customFormat="1" ht="13.5" customHeight="1" x14ac:dyDescent="0.2">
      <c r="A51" s="248" t="s">
        <v>298</v>
      </c>
      <c r="B51" s="351">
        <f>+SWGasTrans!$D$41</f>
        <v>-22380.730000000003</v>
      </c>
      <c r="C51" s="275">
        <f>+B51/$I$4</f>
        <v>-10173.059090909092</v>
      </c>
      <c r="D51" s="369">
        <f>+SWGasTrans!A41</f>
        <v>37264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7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293" customFormat="1" ht="13.5" customHeight="1" x14ac:dyDescent="0.2">
      <c r="A52" s="514" t="s">
        <v>139</v>
      </c>
      <c r="B52" s="486">
        <f>+'Citizens-Griffith'!D41</f>
        <v>-16332.680000000008</v>
      </c>
      <c r="C52" s="275">
        <f>+B52/$I$4</f>
        <v>-7423.9454545454573</v>
      </c>
      <c r="D52" s="369">
        <f>+'Citizens-Griffith'!A41</f>
        <v>37264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32" t="s">
        <v>245</v>
      </c>
      <c r="N52" s="385">
        <v>21665</v>
      </c>
      <c r="O52" s="70">
        <v>73449</v>
      </c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87</v>
      </c>
      <c r="B53" s="354">
        <f>+NNG!$D$24</f>
        <v>-1303.3000000000029</v>
      </c>
      <c r="C53" s="71">
        <f>+B53/$I$4</f>
        <v>-592.40909090909213</v>
      </c>
      <c r="D53" s="369">
        <f>+NNG!A24</f>
        <v>37264</v>
      </c>
      <c r="E53" s="204" t="s">
        <v>85</v>
      </c>
      <c r="F53" s="204" t="s">
        <v>327</v>
      </c>
      <c r="G53" s="204" t="s">
        <v>100</v>
      </c>
      <c r="H53" s="204"/>
      <c r="I53" s="204"/>
      <c r="J53" s="204"/>
      <c r="K53" s="204"/>
      <c r="L53" s="204"/>
      <c r="M53" s="32"/>
      <c r="N53" s="385"/>
      <c r="O53" s="70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5" customHeight="1" x14ac:dyDescent="0.2">
      <c r="A54" s="32" t="s">
        <v>97</v>
      </c>
      <c r="B54" s="351">
        <f>SUM(B40:B53)</f>
        <v>-4348421.2300000014</v>
      </c>
      <c r="C54" s="206">
        <f>SUM(C40:C53)</f>
        <v>-1964864.052620803</v>
      </c>
      <c r="D54" s="358"/>
      <c r="E54" s="32"/>
      <c r="F54" s="32"/>
      <c r="G54" s="32"/>
      <c r="H54" s="32"/>
      <c r="I54" s="32"/>
      <c r="J54" s="32"/>
      <c r="K54" s="32"/>
      <c r="L54" s="32"/>
      <c r="M54" s="32"/>
      <c r="N54" s="385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95" customHeight="1" x14ac:dyDescent="0.2">
      <c r="A55" s="32"/>
      <c r="B55" s="354"/>
      <c r="C55" s="71"/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3.5" thickBot="1" x14ac:dyDescent="0.25">
      <c r="A56" s="2" t="s">
        <v>91</v>
      </c>
      <c r="B56" s="359">
        <f>+B54+B37</f>
        <v>2963524.6027999986</v>
      </c>
      <c r="C56" s="360">
        <f>+C54+C37</f>
        <v>1345390.0165632437</v>
      </c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Top="1" x14ac:dyDescent="0.2">
      <c r="A57" s="32"/>
      <c r="B57" s="47"/>
      <c r="C57" s="69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2" t="s">
        <v>92</v>
      </c>
      <c r="B58" s="47"/>
      <c r="C58" s="294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14"/>
      <c r="D64" s="203"/>
      <c r="E64" s="136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2" t="s">
        <v>264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 t="s">
        <v>262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263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361"/>
      <c r="C104" s="362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2" t="s">
        <v>265</v>
      </c>
      <c r="B105" s="75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 t="s">
        <v>266</v>
      </c>
      <c r="B106" s="75">
        <v>16841.21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268</v>
      </c>
      <c r="B107" s="75">
        <v>-8065.83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269</v>
      </c>
      <c r="B108" s="536">
        <v>-725.46</v>
      </c>
      <c r="C108" s="69"/>
      <c r="D108" s="36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276</v>
      </c>
      <c r="B109" s="533">
        <v>107948.28</v>
      </c>
      <c r="C109" s="294"/>
      <c r="D109" s="364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274</v>
      </c>
      <c r="B110" s="536">
        <v>-1777.19</v>
      </c>
      <c r="C110" s="294"/>
      <c r="D110" s="365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277</v>
      </c>
      <c r="B111" s="536">
        <v>2429.75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281</v>
      </c>
      <c r="B112" s="536">
        <v>6695.6</v>
      </c>
      <c r="C112" s="502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284</v>
      </c>
      <c r="B113" s="536">
        <v>48174.22</v>
      </c>
      <c r="C113" s="502"/>
      <c r="D113" s="36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288</v>
      </c>
      <c r="B114" s="533">
        <v>-2165.34</v>
      </c>
      <c r="C114" s="502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292</v>
      </c>
      <c r="B115" s="533">
        <v>-17015.8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293</v>
      </c>
      <c r="B116" s="533">
        <v>8356.0499999999993</v>
      </c>
      <c r="C116" s="503"/>
      <c r="D116" s="36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295</v>
      </c>
      <c r="B117" s="549">
        <f>775*2.25</f>
        <v>1743.75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299</v>
      </c>
      <c r="B118" s="533">
        <v>0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291</v>
      </c>
      <c r="B119" s="15">
        <f>44144.84-58339.66</f>
        <v>-14194.820000000007</v>
      </c>
      <c r="C119" s="503">
        <v>26357</v>
      </c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v>-51695.87</v>
      </c>
      <c r="C120" s="503">
        <v>20379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61340.160000000003</v>
      </c>
      <c r="C121" s="503">
        <v>21544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319</v>
      </c>
      <c r="B122" s="533">
        <v>-2475.85</v>
      </c>
      <c r="C122" s="503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300</v>
      </c>
      <c r="B123" s="533">
        <v>2493.64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301</v>
      </c>
      <c r="B124" s="259">
        <v>8282.6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287</v>
      </c>
      <c r="B125" s="259">
        <v>-7228.77</v>
      </c>
      <c r="C125" s="502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15">
        <v>249009.74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280</v>
      </c>
      <c r="B127" s="533">
        <f>1974.11-1974.11</f>
        <v>0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267</v>
      </c>
      <c r="B128" s="536">
        <v>-35893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275</v>
      </c>
      <c r="B129" s="75">
        <v>27281.87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278</v>
      </c>
      <c r="B130" s="75">
        <v>-2614.58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279</v>
      </c>
      <c r="B131" s="75">
        <v>-177733.88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282</v>
      </c>
      <c r="B132" s="15">
        <v>3338.45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283</v>
      </c>
      <c r="B133" s="15">
        <v>15325.21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285</v>
      </c>
      <c r="B134" s="15">
        <v>-33878.81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289</v>
      </c>
      <c r="B135" s="15">
        <v>-726.96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290</v>
      </c>
      <c r="B136" s="47">
        <v>-4405.4799999999996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320</v>
      </c>
      <c r="B137" s="535">
        <v>4000.5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321</v>
      </c>
      <c r="B138" s="535">
        <v>-725.46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16">
        <f>SUM(B106:B139)</f>
        <v>201937.93000000005</v>
      </c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 t="s">
        <v>270</v>
      </c>
      <c r="B144" s="504" t="s">
        <v>272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271</v>
      </c>
      <c r="B145" s="504" t="s">
        <v>273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325</v>
      </c>
      <c r="B146" s="47">
        <v>-3863.86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294</v>
      </c>
      <c r="B147" s="259">
        <v>17432.3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-249070</v>
      </c>
      <c r="C7" s="80">
        <v>-94491</v>
      </c>
      <c r="D7" s="80">
        <f t="shared" si="0"/>
        <v>154579</v>
      </c>
    </row>
    <row r="8" spans="1:4" x14ac:dyDescent="0.2">
      <c r="A8" s="32">
        <v>60667</v>
      </c>
      <c r="B8" s="312">
        <v>-108557</v>
      </c>
      <c r="C8" s="80">
        <v>-476903</v>
      </c>
      <c r="D8" s="80">
        <f t="shared" si="0"/>
        <v>-368346</v>
      </c>
    </row>
    <row r="9" spans="1:4" x14ac:dyDescent="0.2">
      <c r="A9" s="32">
        <v>60749</v>
      </c>
      <c r="B9" s="312">
        <v>24003</v>
      </c>
      <c r="C9" s="80">
        <v>-83200</v>
      </c>
      <c r="D9" s="80">
        <f t="shared" si="0"/>
        <v>-107203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-23344</v>
      </c>
      <c r="C11" s="80"/>
      <c r="D11" s="80">
        <f t="shared" si="0"/>
        <v>23344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-21139</v>
      </c>
    </row>
    <row r="19" spans="1:5" x14ac:dyDescent="0.2">
      <c r="A19" s="32" t="s">
        <v>81</v>
      </c>
      <c r="B19" s="69"/>
      <c r="C19" s="69"/>
      <c r="D19" s="73">
        <f>+summary!I4</f>
        <v>2.2000000000000002</v>
      </c>
    </row>
    <row r="20" spans="1:5" x14ac:dyDescent="0.2">
      <c r="B20" s="69"/>
      <c r="C20" s="69"/>
      <c r="D20" s="75">
        <f>+D19*D18</f>
        <v>-46505.8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37264</v>
      </c>
      <c r="B24" s="69"/>
      <c r="C24" s="69"/>
      <c r="D24" s="335">
        <f>+D22+D20</f>
        <v>-1303.3000000000029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37264</v>
      </c>
      <c r="D33" s="355">
        <f>+D18</f>
        <v>-21139</v>
      </c>
    </row>
    <row r="34" spans="1:4" x14ac:dyDescent="0.2">
      <c r="D34" s="14">
        <f>+D33+D32</f>
        <v>-1049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1" workbookViewId="0">
      <selection activeCell="C33" sqref="C3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-35550-3746</f>
        <v>-39296</v>
      </c>
      <c r="C5" s="90">
        <v>-17760</v>
      </c>
      <c r="D5" s="90">
        <f t="shared" ref="D5:D13" si="0">+C5-B5</f>
        <v>21536</v>
      </c>
      <c r="E5" s="69"/>
      <c r="F5" s="201"/>
    </row>
    <row r="6" spans="1:13" x14ac:dyDescent="0.2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-927856-129520</f>
        <v>-1057376</v>
      </c>
      <c r="C7" s="90">
        <v>-1099256</v>
      </c>
      <c r="D7" s="90">
        <f t="shared" si="0"/>
        <v>-41880</v>
      </c>
      <c r="E7" s="275"/>
      <c r="F7" s="201"/>
    </row>
    <row r="8" spans="1:13" x14ac:dyDescent="0.2">
      <c r="A8" s="87">
        <v>58710</v>
      </c>
      <c r="B8" s="90">
        <v>-105508</v>
      </c>
      <c r="C8" s="90">
        <v>-98892</v>
      </c>
      <c r="D8" s="90">
        <f t="shared" si="0"/>
        <v>6616</v>
      </c>
      <c r="E8" s="275"/>
      <c r="F8" s="201"/>
    </row>
    <row r="9" spans="1:13" x14ac:dyDescent="0.2">
      <c r="A9" s="87">
        <v>60921</v>
      </c>
      <c r="B9" s="90">
        <f>-308700-42581</f>
        <v>-351281</v>
      </c>
      <c r="C9" s="90">
        <v>-301646</v>
      </c>
      <c r="D9" s="90">
        <f t="shared" si="0"/>
        <v>49635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-23209</v>
      </c>
      <c r="C11" s="90">
        <v>-30000</v>
      </c>
      <c r="D11" s="90">
        <f t="shared" si="0"/>
        <v>-6791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-42423</v>
      </c>
      <c r="C13" s="90">
        <v>-40000</v>
      </c>
      <c r="D13" s="90">
        <f t="shared" si="0"/>
        <v>2423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28689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+summary!I4</f>
        <v>2.2000000000000002</v>
      </c>
      <c r="E18" s="277"/>
      <c r="F18" s="472"/>
    </row>
    <row r="19" spans="1:7" x14ac:dyDescent="0.2">
      <c r="A19" s="87"/>
      <c r="B19" s="88"/>
      <c r="C19" s="88"/>
      <c r="D19" s="96">
        <f>+D18*D17</f>
        <v>63115.8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37266</v>
      </c>
      <c r="B23" s="88"/>
      <c r="C23" s="88"/>
      <c r="D23" s="321">
        <f>+D21+D19</f>
        <v>830030.12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37266</v>
      </c>
      <c r="B29" s="32"/>
      <c r="C29" s="32"/>
      <c r="D29" s="355">
        <f>+D17</f>
        <v>28689</v>
      </c>
    </row>
    <row r="30" spans="1:7" x14ac:dyDescent="0.2">
      <c r="A30" s="32"/>
      <c r="B30" s="32"/>
      <c r="C30" s="32"/>
      <c r="D30" s="14">
        <f>+D29+D28</f>
        <v>336011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443964</v>
      </c>
      <c r="C34" s="287">
        <f>SUM(C3:C33)</f>
        <v>454205</v>
      </c>
      <c r="D34" s="14">
        <f>SUM(D3:D33)</f>
        <v>-65258</v>
      </c>
      <c r="E34" s="14">
        <f>SUM(E3:E33)</f>
        <v>-60000</v>
      </c>
      <c r="F34" s="14">
        <f>SUM(F3:F33)</f>
        <v>15499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v>116110</v>
      </c>
      <c r="M37" s="259"/>
      <c r="N37" s="259"/>
      <c r="O37" s="259"/>
      <c r="T37" s="259"/>
      <c r="U37" s="259"/>
    </row>
    <row r="38" spans="1:21" x14ac:dyDescent="0.2">
      <c r="A38" s="256">
        <v>37264</v>
      </c>
      <c r="B38" s="14"/>
      <c r="C38" s="14"/>
      <c r="D38" s="14"/>
      <c r="E38" s="14"/>
      <c r="F38" s="150">
        <f>+F37+F34</f>
        <v>131609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37264</v>
      </c>
      <c r="B44" s="32"/>
      <c r="C44" s="32"/>
      <c r="D44" s="380">
        <f>+F34*'by type_area'!J4</f>
        <v>34097.800000000003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330473.8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37263</v>
      </c>
      <c r="D40" s="51">
        <f>+D38+D35</f>
        <v>191294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37263</v>
      </c>
      <c r="B46" s="32"/>
      <c r="C46" s="32"/>
      <c r="D46" s="380">
        <f>+D35*'by type_area'!J4</f>
        <v>9836.2000000000007</v>
      </c>
    </row>
    <row r="47" spans="1:4" x14ac:dyDescent="0.2">
      <c r="A47" s="32"/>
      <c r="B47" s="32"/>
      <c r="C47" s="32"/>
      <c r="D47" s="200">
        <f>+D46+D45</f>
        <v>209649.2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D34" sqref="D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84464</v>
      </c>
      <c r="C35" s="11">
        <f t="shared" ref="C35:I35" si="1">SUM(C4:C34)</f>
        <v>88000</v>
      </c>
      <c r="D35" s="11">
        <f t="shared" si="1"/>
        <v>64603</v>
      </c>
      <c r="E35" s="11">
        <f t="shared" si="1"/>
        <v>66400</v>
      </c>
      <c r="F35" s="11">
        <f t="shared" si="1"/>
        <v>40684</v>
      </c>
      <c r="G35" s="11">
        <f t="shared" si="1"/>
        <v>62400</v>
      </c>
      <c r="H35" s="11">
        <f t="shared" si="1"/>
        <v>0</v>
      </c>
      <c r="I35" s="11">
        <f t="shared" si="1"/>
        <v>0</v>
      </c>
      <c r="J35" s="11">
        <f>SUM(J4:J34)</f>
        <v>27049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+summary!I4</f>
        <v>2.2000000000000002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59507.8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37264</v>
      </c>
      <c r="J41" s="322">
        <f>+J39+J37</f>
        <v>64044.01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37264</v>
      </c>
      <c r="B47" s="32"/>
      <c r="C47" s="32"/>
      <c r="D47" s="355">
        <f>+J35</f>
        <v>27049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-98489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37256</v>
      </c>
      <c r="E41" s="14"/>
      <c r="F41" s="104">
        <f>+F40+F39</f>
        <v>417969.39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5124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+summary!I4</f>
        <v>2.2000000000000002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37264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37264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37263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37263</v>
      </c>
      <c r="B48" s="32"/>
      <c r="C48" s="32"/>
      <c r="D48" s="380">
        <f>+D39*summary!I4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B14" sqref="B1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562">
        <v>-85069</v>
      </c>
      <c r="C13" s="11">
        <v>-87137</v>
      </c>
      <c r="D13" s="25">
        <f t="shared" si="0"/>
        <v>-2068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-85312</v>
      </c>
      <c r="C14" s="11">
        <v>-101799</v>
      </c>
      <c r="D14" s="25">
        <f t="shared" si="0"/>
        <v>-16487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-778721</v>
      </c>
      <c r="I19" s="119">
        <f>+C37</f>
        <v>-772129</v>
      </c>
      <c r="J19" s="119">
        <f>+I19-H19</f>
        <v>6592</v>
      </c>
      <c r="K19" s="417">
        <f>+D38</f>
        <v>2.2000000000000002</v>
      </c>
      <c r="L19" s="422">
        <f>+K19*J19</f>
        <v>14502.400000000001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137084</v>
      </c>
      <c r="K24" s="413"/>
      <c r="L24" s="110">
        <f>+L19+L17</f>
        <v>96187.499999999825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43721.590909090824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-778721</v>
      </c>
      <c r="C37" s="11">
        <f>SUM(C6:C36)</f>
        <v>-772129</v>
      </c>
      <c r="D37" s="25">
        <f>SUM(D6:D36)</f>
        <v>6592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14502.400000000001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37265</v>
      </c>
      <c r="C41" s="48"/>
      <c r="D41" s="138">
        <f>+D40+D39</f>
        <v>193479.37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37265</v>
      </c>
      <c r="B46" s="32"/>
      <c r="C46" s="32"/>
      <c r="D46" s="355">
        <f>+D37</f>
        <v>6592</v>
      </c>
    </row>
    <row r="47" spans="1:4" x14ac:dyDescent="0.2">
      <c r="A47" s="32"/>
      <c r="B47" s="32"/>
      <c r="C47" s="32"/>
      <c r="D47" s="14">
        <f>+D46+D45</f>
        <v>179738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B38" sqref="B3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31998</v>
      </c>
      <c r="C14" s="11">
        <v>32012</v>
      </c>
      <c r="D14" s="25">
        <f t="shared" si="0"/>
        <v>14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269241</v>
      </c>
      <c r="C37" s="11">
        <f>SUM(C6:C36)</f>
        <v>280055</v>
      </c>
      <c r="D37" s="25">
        <f>SUM(D6:D36)</f>
        <v>10814</v>
      </c>
    </row>
    <row r="38" spans="1:4" x14ac:dyDescent="0.2">
      <c r="A38" s="26"/>
      <c r="B38" s="31"/>
      <c r="C38" s="14"/>
      <c r="D38" s="329">
        <f>+summary!I5</f>
        <v>2.2200000000000002</v>
      </c>
    </row>
    <row r="39" spans="1:4" x14ac:dyDescent="0.2">
      <c r="D39" s="138">
        <f>+D38*D37</f>
        <v>24007.08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37265</v>
      </c>
      <c r="C41" s="48"/>
      <c r="D41" s="138">
        <f>+D40+D39</f>
        <v>109009.01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37265</v>
      </c>
      <c r="B46" s="32"/>
      <c r="C46" s="32"/>
      <c r="D46" s="355">
        <f>+D37</f>
        <v>10814</v>
      </c>
    </row>
    <row r="47" spans="1:4" x14ac:dyDescent="0.2">
      <c r="A47" s="32"/>
      <c r="B47" s="32"/>
      <c r="C47" s="32"/>
      <c r="D47" s="14">
        <f>+D46+D45</f>
        <v>65395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292994</v>
      </c>
      <c r="C12" s="11">
        <v>286176</v>
      </c>
      <c r="D12" s="11">
        <v>41959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-6879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2515180</v>
      </c>
      <c r="C35" s="11">
        <f t="shared" ref="C35:I35" si="3">SUM(C4:C34)</f>
        <v>2527852</v>
      </c>
      <c r="D35" s="11">
        <f t="shared" si="3"/>
        <v>348091</v>
      </c>
      <c r="E35" s="11">
        <f t="shared" si="3"/>
        <v>350136</v>
      </c>
      <c r="F35" s="11">
        <f t="shared" si="3"/>
        <v>351393</v>
      </c>
      <c r="G35" s="11">
        <f t="shared" si="3"/>
        <v>405349</v>
      </c>
      <c r="H35" s="11">
        <f t="shared" si="3"/>
        <v>1079967</v>
      </c>
      <c r="I35" s="11">
        <f t="shared" si="3"/>
        <v>1048550</v>
      </c>
      <c r="J35" s="11">
        <f>SUM(J4:J34)</f>
        <v>37256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37265</v>
      </c>
      <c r="J40" s="51">
        <f>+J38+J35</f>
        <v>37256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37265</v>
      </c>
      <c r="B47" s="32"/>
      <c r="C47" s="32"/>
      <c r="D47" s="380">
        <f>+J35*'by type_area'!J3</f>
        <v>80100.399999999994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80100.399999999994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6" workbookViewId="0">
      <selection activeCell="C38" sqref="C3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398354</v>
      </c>
      <c r="C37" s="11">
        <f>SUM(C6:C36)</f>
        <v>383637</v>
      </c>
      <c r="D37" s="25">
        <f>SUM(D6:D36)</f>
        <v>-14717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-32671.74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37265</v>
      </c>
      <c r="C41" s="48"/>
      <c r="D41" s="138">
        <f>+D40+D39</f>
        <v>8063.8100000000013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37265</v>
      </c>
      <c r="B47" s="32"/>
      <c r="C47" s="32"/>
      <c r="D47" s="355">
        <f>+D37</f>
        <v>-14717</v>
      </c>
    </row>
    <row r="48" spans="1:4" x14ac:dyDescent="0.2">
      <c r="A48" s="32"/>
      <c r="B48" s="32"/>
      <c r="C48" s="32"/>
      <c r="D48" s="14">
        <f>+D47+D46</f>
        <v>4539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-8984</v>
      </c>
      <c r="C37" s="11">
        <f>SUM(C6:C36)</f>
        <v>1589</v>
      </c>
      <c r="D37" s="25">
        <f>SUM(D6:D36)</f>
        <v>10573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23260.600000000002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37265</v>
      </c>
      <c r="C41" s="48"/>
      <c r="D41" s="138">
        <f>+D40+D39</f>
        <v>-332544.40000000002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37265</v>
      </c>
      <c r="B49" s="32"/>
      <c r="C49" s="32"/>
      <c r="D49" s="355">
        <f>+D37</f>
        <v>10573</v>
      </c>
    </row>
    <row r="50" spans="1:4" x14ac:dyDescent="0.2">
      <c r="A50" s="32"/>
      <c r="B50" s="32"/>
      <c r="C50" s="32"/>
      <c r="D50" s="14">
        <f>+D49+D48</f>
        <v>-34048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-19780</v>
      </c>
      <c r="C37" s="11">
        <f>SUM(C6:C36)</f>
        <v>-57996</v>
      </c>
      <c r="D37" s="25">
        <f>SUM(D6:D36)</f>
        <v>-38216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-84075.200000000012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37264</v>
      </c>
      <c r="C41" s="48"/>
      <c r="D41" s="138">
        <f>+D40+D39</f>
        <v>-16332.680000000008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37264</v>
      </c>
      <c r="B47" s="32"/>
      <c r="C47" s="32"/>
      <c r="D47" s="355">
        <f>+D37</f>
        <v>-38216</v>
      </c>
    </row>
    <row r="48" spans="1:4" x14ac:dyDescent="0.2">
      <c r="A48" s="32"/>
      <c r="B48" s="32"/>
      <c r="C48" s="32"/>
      <c r="D48" s="14">
        <f>+D47+D46</f>
        <v>-2065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7" workbookViewId="0">
      <selection activeCell="C29" sqref="C2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-882</v>
      </c>
      <c r="D5" s="90">
        <f>+C5-B5</f>
        <v>-882</v>
      </c>
      <c r="E5" s="275"/>
      <c r="F5" s="273"/>
    </row>
    <row r="6" spans="1:13" x14ac:dyDescent="0.2">
      <c r="A6" s="87">
        <v>500046</v>
      </c>
      <c r="B6" s="90">
        <v>-2200</v>
      </c>
      <c r="C6" s="90"/>
      <c r="D6" s="90">
        <f t="shared" ref="D6:D11" si="0">+C6-B6</f>
        <v>2200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-7083</v>
      </c>
      <c r="C8" s="90">
        <v>-12871</v>
      </c>
      <c r="D8" s="90">
        <f t="shared" si="0"/>
        <v>-5788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-4470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+summary!I4</f>
        <v>2.2000000000000002</v>
      </c>
      <c r="E13" s="277"/>
      <c r="F13" s="273"/>
    </row>
    <row r="14" spans="1:13" x14ac:dyDescent="0.2">
      <c r="A14" s="87"/>
      <c r="B14" s="88"/>
      <c r="C14" s="88"/>
      <c r="D14" s="96">
        <f>+D13*D12</f>
        <v>-9834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37264</v>
      </c>
      <c r="B18" s="88"/>
      <c r="C18" s="88"/>
      <c r="D18" s="321">
        <f>+D16+D14</f>
        <v>-547526.79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f>+A18</f>
        <v>37264</v>
      </c>
      <c r="B23" s="32"/>
      <c r="C23" s="32"/>
      <c r="D23" s="355">
        <f>+D12</f>
        <v>-4470</v>
      </c>
    </row>
    <row r="24" spans="1:7" x14ac:dyDescent="0.2">
      <c r="A24" s="32"/>
      <c r="B24" s="32"/>
      <c r="C24" s="32"/>
      <c r="D24" s="14">
        <f>+D23+D22</f>
        <v>-41293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7" sqref="B3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-59325</v>
      </c>
      <c r="C37" s="11">
        <f>SUM(C6:C36)</f>
        <v>-62084</v>
      </c>
      <c r="D37" s="25">
        <f>SUM(D6:D36)</f>
        <v>-2759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-8253</v>
      </c>
    </row>
    <row r="41" spans="1:4" x14ac:dyDescent="0.2">
      <c r="A41" s="57">
        <v>37264</v>
      </c>
      <c r="C41" s="48"/>
      <c r="D41" s="25">
        <f>+D40+D37</f>
        <v>-11012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37264</v>
      </c>
      <c r="B46" s="32"/>
      <c r="C46" s="32"/>
      <c r="D46" s="380">
        <f>+D37*'by type_area'!J4</f>
        <v>-6069.8</v>
      </c>
    </row>
    <row r="47" spans="1:4" x14ac:dyDescent="0.2">
      <c r="A47" s="32"/>
      <c r="B47" s="32"/>
      <c r="C47" s="32"/>
      <c r="D47" s="200">
        <f>+D46+D45</f>
        <v>157165.20000000001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-1387</v>
      </c>
      <c r="C37" s="11">
        <f t="shared" ref="C37:I37" si="1">SUM(C6:C36)</f>
        <v>-1360</v>
      </c>
      <c r="D37" s="11">
        <f t="shared" si="1"/>
        <v>0</v>
      </c>
      <c r="E37" s="11">
        <f t="shared" si="1"/>
        <v>0</v>
      </c>
      <c r="F37" s="11">
        <f t="shared" si="1"/>
        <v>-10516</v>
      </c>
      <c r="G37" s="11">
        <f t="shared" si="1"/>
        <v>-8400</v>
      </c>
      <c r="H37" s="11">
        <f t="shared" si="1"/>
        <v>0</v>
      </c>
      <c r="I37" s="11">
        <f t="shared" si="1"/>
        <v>0</v>
      </c>
      <c r="J37" s="11">
        <f>SUM(J6:J36)</f>
        <v>2143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+summary!I4</f>
        <v>2.2000000000000002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4714.6000000000004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37264</v>
      </c>
      <c r="J43" s="322">
        <f>+J41+J39</f>
        <v>-30825.730000000003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37264</v>
      </c>
      <c r="B49" s="32"/>
      <c r="C49" s="32"/>
      <c r="D49" s="355">
        <f>+J37</f>
        <v>2143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-1291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1" workbookViewId="0">
      <selection activeCell="A53" sqref="A5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-6491</v>
      </c>
      <c r="M37" s="11">
        <f>SUM(M6:M36)</f>
        <v>-4648</v>
      </c>
      <c r="N37" s="11">
        <f t="shared" si="1"/>
        <v>1843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+summary!I4</f>
        <v>2.2000000000000002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4054.6000000000004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37264</v>
      </c>
      <c r="N43" s="322">
        <f>+N41+N39</f>
        <v>35743.090000000004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37264</v>
      </c>
      <c r="B49" s="32"/>
      <c r="C49" s="32"/>
      <c r="D49" s="355">
        <f>+N37</f>
        <v>1843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1720</v>
      </c>
      <c r="C37" s="11">
        <f>SUM(C6:C36)</f>
        <v>1200</v>
      </c>
      <c r="D37" s="25">
        <f>SUM(D6:D36)</f>
        <v>-520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-1154.4000000000001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37264</v>
      </c>
      <c r="C41" s="48"/>
      <c r="D41" s="138">
        <f>+D40+D39</f>
        <v>178894.58000000002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37264</v>
      </c>
      <c r="B47" s="32"/>
      <c r="C47" s="32"/>
      <c r="D47" s="355">
        <f>+D37</f>
        <v>-520</v>
      </c>
    </row>
    <row r="48" spans="1:4" x14ac:dyDescent="0.2">
      <c r="A48" s="32"/>
      <c r="B48" s="32"/>
      <c r="C48" s="32"/>
      <c r="D48" s="14">
        <f>+D47+D46</f>
        <v>78493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7" sqref="C3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649</v>
      </c>
      <c r="C37" s="11">
        <f>SUM(C6:C36)</f>
        <v>3528</v>
      </c>
      <c r="D37" s="25">
        <f>SUM(D6:D36)</f>
        <v>2879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6391.38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37264</v>
      </c>
      <c r="C41" s="48"/>
      <c r="D41" s="138">
        <f>+D40+D39</f>
        <v>167683.87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37264</v>
      </c>
      <c r="B47" s="32"/>
      <c r="C47" s="32"/>
      <c r="D47" s="355">
        <f>+D37</f>
        <v>2879</v>
      </c>
    </row>
    <row r="48" spans="1:4" x14ac:dyDescent="0.2">
      <c r="A48" s="32"/>
      <c r="B48" s="32"/>
      <c r="C48" s="32"/>
      <c r="D48" s="14">
        <f>+D47+D46</f>
        <v>36850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-144719</v>
      </c>
      <c r="C36" s="44">
        <f>SUM(C5:C35)</f>
        <v>-144759</v>
      </c>
      <c r="D36" s="43">
        <f>SUM(D5:D35)</f>
        <v>-571880</v>
      </c>
      <c r="E36" s="43">
        <f>SUM(E5:E35)</f>
        <v>-566473</v>
      </c>
      <c r="F36" s="11">
        <f>SUM(F5:F35)</f>
        <v>5367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+summary!I5</f>
        <v>2.2200000000000002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11914.740000000002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9686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37265</v>
      </c>
      <c r="B43" s="32"/>
      <c r="C43" s="106"/>
      <c r="D43" s="106"/>
      <c r="E43" s="106"/>
      <c r="F43" s="24">
        <f>+F40+F42</f>
        <v>21600.74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37265</v>
      </c>
      <c r="B49" s="32"/>
      <c r="C49" s="32"/>
      <c r="D49" s="76">
        <f>+F36</f>
        <v>5367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25310.240000000002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9" sqref="E4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-17128</v>
      </c>
      <c r="C37" s="24">
        <f>SUM(C6:C36)</f>
        <v>-12904</v>
      </c>
      <c r="D37" s="24">
        <f>SUM(D6:D36)</f>
        <v>-16688</v>
      </c>
      <c r="E37" s="24">
        <f>SUM(E6:E36)</f>
        <v>-16000</v>
      </c>
      <c r="F37" s="24">
        <f>SUM(F6:F36)</f>
        <v>4912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10806.400000000001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37264</v>
      </c>
      <c r="C41" s="322"/>
      <c r="D41" s="262"/>
      <c r="E41" s="262"/>
      <c r="F41" s="104">
        <f>+F40+F39</f>
        <v>-122588.84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37264</v>
      </c>
      <c r="B47" s="32"/>
      <c r="C47" s="32"/>
      <c r="D47" s="355">
        <f>+F37</f>
        <v>4912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-38500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D11" sqref="D1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+summary!I4</f>
        <v>2.2000000000000002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341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37262</v>
      </c>
      <c r="E41" s="14"/>
      <c r="O41" s="447"/>
      <c r="P41" s="104">
        <f>+P40+P39</f>
        <v>94330.4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39225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-108879</v>
      </c>
      <c r="C37" s="11">
        <f>SUM(C6:C36)</f>
        <v>-112000</v>
      </c>
      <c r="D37" s="25">
        <f>SUM(D6:D36)</f>
        <v>-3121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-6866.2000000000007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37264</v>
      </c>
      <c r="C41" s="48"/>
      <c r="D41" s="138">
        <f>+D40+D39</f>
        <v>-22380.730000000003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37264</v>
      </c>
      <c r="B47" s="32"/>
      <c r="C47" s="32"/>
      <c r="D47" s="355">
        <f>+D37</f>
        <v>-3121</v>
      </c>
    </row>
    <row r="48" spans="1:4" x14ac:dyDescent="0.2">
      <c r="A48" s="32"/>
      <c r="B48" s="32"/>
      <c r="C48" s="32"/>
      <c r="D48" s="14">
        <f>+D47+D46</f>
        <v>2475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9" sqref="D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37263</v>
      </c>
      <c r="C41" s="48"/>
      <c r="D41" s="138">
        <f>+D40+D39</f>
        <v>43180.07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37263</v>
      </c>
      <c r="B47" s="32"/>
      <c r="C47" s="32"/>
      <c r="D47" s="355">
        <f>+D37</f>
        <v>0</v>
      </c>
    </row>
    <row r="48" spans="1:4" x14ac:dyDescent="0.2">
      <c r="A48" s="32"/>
      <c r="B48" s="32"/>
      <c r="C48" s="32"/>
      <c r="D48" s="14">
        <f>+D47+D46</f>
        <v>14850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39" sqref="C3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146090</v>
      </c>
      <c r="C15" s="11">
        <v>145561</v>
      </c>
      <c r="D15" s="25">
        <f t="shared" si="0"/>
        <v>-529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1332895</v>
      </c>
      <c r="C38" s="11">
        <f>SUM(C7:C37)</f>
        <v>1318832</v>
      </c>
      <c r="D38" s="11">
        <f>SUM(D7:D37)</f>
        <v>-14063</v>
      </c>
    </row>
    <row r="39" spans="1:8" x14ac:dyDescent="0.2">
      <c r="A39" s="26"/>
      <c r="C39" s="14"/>
      <c r="D39" s="106">
        <f>+summary!I3</f>
        <v>2.15</v>
      </c>
    </row>
    <row r="40" spans="1:8" x14ac:dyDescent="0.2">
      <c r="D40" s="138">
        <f>+D39*D38</f>
        <v>-30235.449999999997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37265</v>
      </c>
      <c r="D42" s="322">
        <f>+D41+D40</f>
        <v>17359.490000000005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37265</v>
      </c>
      <c r="B48" s="32"/>
      <c r="C48" s="32"/>
      <c r="D48" s="355">
        <f>+D38</f>
        <v>-14063</v>
      </c>
    </row>
    <row r="49" spans="1:4" x14ac:dyDescent="0.2">
      <c r="A49" s="32"/>
      <c r="B49" s="32"/>
      <c r="C49" s="32"/>
      <c r="D49" s="14">
        <f>+D48+D47</f>
        <v>6348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-1589321</v>
      </c>
      <c r="C35" s="11">
        <f>SUM(C4:C34)</f>
        <v>-1638591</v>
      </c>
      <c r="D35" s="11">
        <f>SUM(D4:D34)</f>
        <v>-49270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37266</v>
      </c>
      <c r="D40" s="51">
        <f>+D38+D35</f>
        <v>9801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37266</v>
      </c>
      <c r="B46" s="32"/>
      <c r="C46" s="32"/>
      <c r="D46" s="380">
        <f>+D35*'by type_area'!J4</f>
        <v>-108394.00000000001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-188937.15000000002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7" sqref="C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-5314991</v>
      </c>
      <c r="C35" s="11">
        <f>SUM(C4:C34)</f>
        <v>-5345396</v>
      </c>
      <c r="D35" s="11">
        <f>SUM(D4:D34)</f>
        <v>0</v>
      </c>
      <c r="E35" s="11">
        <f>SUM(E4:E34)</f>
        <v>0</v>
      </c>
      <c r="F35" s="11">
        <f>SUM(F4:F34)</f>
        <v>-30405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37266</v>
      </c>
      <c r="D40" s="246"/>
      <c r="E40" s="246"/>
      <c r="F40" s="51">
        <f>+F38+F35</f>
        <v>74015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37266</v>
      </c>
      <c r="B46" s="32"/>
      <c r="C46" s="32"/>
      <c r="D46" s="480">
        <f>+F35*'by type_area'!J4</f>
        <v>-66891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265026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8" sqref="E3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">
      <c r="A17" s="41">
        <v>16</v>
      </c>
      <c r="B17" s="129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2.75" x14ac:dyDescent="0.2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-926758</v>
      </c>
      <c r="C33" s="44">
        <f t="shared" si="3"/>
        <v>-337712</v>
      </c>
      <c r="D33" s="11">
        <f t="shared" si="3"/>
        <v>0</v>
      </c>
      <c r="E33" s="44">
        <f t="shared" si="3"/>
        <v>-592561</v>
      </c>
      <c r="F33" s="11">
        <f t="shared" si="3"/>
        <v>0</v>
      </c>
      <c r="G33" s="11">
        <f t="shared" si="3"/>
        <v>0</v>
      </c>
      <c r="H33" s="11">
        <f t="shared" si="3"/>
        <v>-3515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+summary!I4</f>
        <v>2.2000000000000002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-7733.0000000000009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37265</v>
      </c>
      <c r="F37" s="479"/>
      <c r="G37" s="479"/>
      <c r="H37" s="322">
        <f>+H36+H35</f>
        <v>-75991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37265</v>
      </c>
      <c r="E45" s="464">
        <f>+H33</f>
        <v>-3515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-8599</v>
      </c>
      <c r="F46" s="129"/>
      <c r="G46" s="129"/>
      <c r="H46" s="129"/>
      <c r="I46" s="262"/>
      <c r="J46" s="102"/>
      <c r="K46" s="523"/>
      <c r="L46" s="38"/>
      <c r="M46" s="4"/>
    </row>
    <row r="47" spans="1:15" ht="12.75" x14ac:dyDescent="0.2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37" sqref="E3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-2690037</v>
      </c>
      <c r="E36" s="11">
        <f t="shared" si="15"/>
        <v>-2685913</v>
      </c>
      <c r="F36" s="11">
        <f t="shared" si="15"/>
        <v>0</v>
      </c>
      <c r="G36" s="11">
        <f t="shared" si="15"/>
        <v>0</v>
      </c>
      <c r="H36" s="11">
        <f t="shared" si="15"/>
        <v>4124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4124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37265</v>
      </c>
      <c r="B39" s="2" t="s">
        <v>45</v>
      </c>
      <c r="C39" s="131">
        <f>+C38+C37</f>
        <v>64269</v>
      </c>
      <c r="D39" s="252"/>
      <c r="E39" s="131">
        <f>+E38+E37</f>
        <v>-18035</v>
      </c>
      <c r="F39" s="252"/>
      <c r="G39" s="131"/>
      <c r="H39" s="131">
        <f>+H38+H36</f>
        <v>46234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37265</v>
      </c>
      <c r="B45" s="32"/>
      <c r="C45" s="47">
        <f>+C37*summary!I4</f>
        <v>0</v>
      </c>
      <c r="D45" s="205"/>
      <c r="E45" s="382">
        <f>+E37*summary!I3</f>
        <v>8866.6</v>
      </c>
      <c r="F45" s="47">
        <f>+E45+C45</f>
        <v>8866.6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7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145995</v>
      </c>
      <c r="C17" s="11">
        <v>146796</v>
      </c>
      <c r="D17" s="11">
        <v>-13771</v>
      </c>
      <c r="E17" s="11">
        <v>-13033</v>
      </c>
      <c r="F17" s="11">
        <f t="shared" si="5"/>
        <v>1539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37266</v>
      </c>
      <c r="I23" s="11">
        <f>+B39</f>
        <v>1463878</v>
      </c>
      <c r="J23" s="11">
        <f>+C39</f>
        <v>1454719</v>
      </c>
      <c r="K23" s="11">
        <f>+D39</f>
        <v>101855</v>
      </c>
      <c r="L23" s="11">
        <f>+E39</f>
        <v>104264</v>
      </c>
      <c r="M23" s="42">
        <f>+J23-I23+L23-K23</f>
        <v>-6750</v>
      </c>
      <c r="N23" s="102">
        <f>+summary!I3</f>
        <v>2.15</v>
      </c>
      <c r="O23" s="510">
        <f>+N23*M23</f>
        <v>-14512.5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83050</v>
      </c>
      <c r="N24" s="102"/>
      <c r="O24" s="102">
        <f>SUM(O9:O23)</f>
        <v>553603.83999999997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1463878</v>
      </c>
      <c r="C39" s="150">
        <f>SUM(C8:C38)</f>
        <v>1454719</v>
      </c>
      <c r="D39" s="150">
        <f>SUM(D8:D38)</f>
        <v>101855</v>
      </c>
      <c r="E39" s="150">
        <f>SUM(E8:E38)</f>
        <v>104264</v>
      </c>
      <c r="F39" s="11">
        <f t="shared" si="5"/>
        <v>-6750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37266</v>
      </c>
      <c r="B45" s="32"/>
      <c r="C45" s="106"/>
      <c r="D45" s="106"/>
      <c r="E45" s="106"/>
      <c r="F45" s="24">
        <f>+F44+F39</f>
        <v>23496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37266</v>
      </c>
      <c r="B51" s="32"/>
      <c r="C51" s="32"/>
      <c r="D51" s="355">
        <f>+F39*summary!I3</f>
        <v>-14512.5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420105.5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27</vt:i4>
      </vt:variant>
    </vt:vector>
  </HeadingPairs>
  <TitlesOfParts>
    <vt:vector size="7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2002-01-11T20:45:10Z</cp:lastPrinted>
  <dcterms:created xsi:type="dcterms:W3CDTF">2000-03-28T16:52:23Z</dcterms:created>
  <dcterms:modified xsi:type="dcterms:W3CDTF">2023-09-13T23:12:51Z</dcterms:modified>
</cp:coreProperties>
</file>