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28D755-217D-4685-9C11-78AD3CB78F80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  <externalReference r:id="rId4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type_area'!$A$56:$M$91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summary!$A$2:$I$57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B6" i="8"/>
  <c r="D6" i="8"/>
  <c r="D7" i="8"/>
  <c r="D8" i="8"/>
  <c r="D9" i="8"/>
  <c r="D10" i="8"/>
  <c r="D11" i="8"/>
  <c r="D12" i="8"/>
  <c r="D13" i="8"/>
  <c r="D14" i="8"/>
  <c r="D15" i="8"/>
  <c r="B16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J57" i="80"/>
  <c r="K57" i="80"/>
  <c r="J58" i="80"/>
  <c r="J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A128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J11" i="20"/>
  <c r="J15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B6" i="65"/>
  <c r="D6" i="65"/>
  <c r="B7" i="65"/>
  <c r="D7" i="65"/>
  <c r="B8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M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O27" i="63"/>
  <c r="B28" i="63"/>
  <c r="C28" i="63"/>
  <c r="D28" i="63"/>
  <c r="O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J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121" i="63"/>
  <c r="B144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<sst xmlns="http://schemas.openxmlformats.org/spreadsheetml/2006/main" count="926" uniqueCount="323">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</sst>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6" borderId="1" xfId="1" applyNumberFormat="1" applyFont="1" applyFill="1" applyBorder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37" fontId="25" fillId="6" borderId="0" xfId="1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37" fontId="25" fillId="6" borderId="0" xfId="1" applyNumberFormat="1" applyFont="1" applyFill="1" applyBorder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186" fontId="3" fillId="0" borderId="0" xfId="1" applyNumberFormat="1" applyFont="1"/>
    <xf numFmtId="7" fontId="35" fillId="6" borderId="1" xfId="1" applyNumberFormat="1" applyFont="1" applyFill="1" applyBorder="1"/>
    <xf numFmtId="7" fontId="25" fillId="6" borderId="1" xfId="0" applyNumberFormat="1" applyFont="1" applyFill="1" applyBorder="1"/>
    <xf numFmtId="5" fontId="33" fillId="6" borderId="1" xfId="0" applyNumberFormat="1" applyFont="1" applyFill="1" applyBorder="1"/>
    <xf numFmtId="5" fontId="25" fillId="6" borderId="1" xfId="0" applyNumberFormat="1" applyFont="1" applyFill="1" applyBorder="1"/>
    <xf numFmtId="7" fontId="3" fillId="6" borderId="0" xfId="0" applyNumberFormat="1" applyFont="1" applyFill="1"/>
    <xf numFmtId="7" fontId="25" fillId="6" borderId="0" xfId="0" applyNumberFormat="1" applyFont="1" applyFill="1"/>
    <xf numFmtId="5" fontId="3" fillId="6" borderId="0" xfId="1" applyNumberFormat="1" applyFont="1" applyFill="1"/>
    <xf numFmtId="5" fontId="25" fillId="6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9" fillId="0" borderId="0" xfId="1" quotePrefix="1" applyNumberFormat="1" applyFont="1"/>
    <xf numFmtId="5" fontId="25" fillId="6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6" borderId="0" xfId="1" applyNumberFormat="1" applyFont="1" applyFill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5" fontId="33" fillId="6" borderId="0" xfId="0" applyNumberFormat="1" applyFont="1" applyFill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2.41</v>
          </cell>
          <cell r="K39">
            <v>2.36</v>
          </cell>
          <cell r="M39">
            <v>2.39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74" workbookViewId="0">
      <selection activeCell="H42" sqref="H42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140</v>
      </c>
      <c r="D2" s="7"/>
      <c r="I2" s="390" t="s">
        <v>78</v>
      </c>
      <c r="J2" s="393"/>
      <c r="K2" s="32"/>
    </row>
    <row r="3" spans="1:32" ht="12.95" customHeight="1" x14ac:dyDescent="0.2">
      <c r="D3" s="7"/>
      <c r="I3" s="391" t="s">
        <v>29</v>
      </c>
      <c r="J3" s="394">
        <f>+summary!H3</f>
        <v>2.36</v>
      </c>
      <c r="K3" s="410">
        <f ca="1">NOW()</f>
        <v>37260.837261805558</v>
      </c>
    </row>
    <row r="4" spans="1:32" ht="12.95" customHeight="1" x14ac:dyDescent="0.2">
      <c r="A4" s="34" t="s">
        <v>145</v>
      </c>
      <c r="C4" s="34" t="s">
        <v>5</v>
      </c>
      <c r="D4" s="7"/>
      <c r="I4" s="392" t="s">
        <v>30</v>
      </c>
      <c r="J4" s="394">
        <f>+summary!H4</f>
        <v>2.39</v>
      </c>
      <c r="K4" s="32"/>
    </row>
    <row r="5" spans="1:32" ht="12.95" customHeight="1" x14ac:dyDescent="0.2">
      <c r="D5" s="7"/>
      <c r="I5" s="391" t="s">
        <v>117</v>
      </c>
      <c r="J5" s="394">
        <f>+summary!H5</f>
        <v>2.41</v>
      </c>
      <c r="K5" s="32"/>
    </row>
    <row r="6" spans="1:32" ht="6.95" customHeight="1" x14ac:dyDescent="0.2"/>
    <row r="7" spans="1:32" ht="12.95" customHeight="1" x14ac:dyDescent="0.2">
      <c r="A7" s="408" t="s">
        <v>163</v>
      </c>
      <c r="B7" s="409"/>
      <c r="AD7" s="32"/>
      <c r="AE7" s="32"/>
      <c r="AF7" s="32"/>
    </row>
    <row r="8" spans="1:32" ht="15.95" customHeight="1" outlineLevel="2" x14ac:dyDescent="0.2">
      <c r="A8" s="32"/>
      <c r="B8" s="449" t="s">
        <v>194</v>
      </c>
      <c r="C8" s="406" t="s">
        <v>0</v>
      </c>
      <c r="D8" s="12" t="s">
        <v>193</v>
      </c>
      <c r="E8" s="12" t="s">
        <v>191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3" t="s">
        <v>89</v>
      </c>
      <c r="B9" s="399" t="s">
        <v>195</v>
      </c>
      <c r="C9" s="407" t="s">
        <v>188</v>
      </c>
      <c r="D9" s="435" t="s">
        <v>192</v>
      </c>
      <c r="E9" s="39" t="s">
        <v>190</v>
      </c>
      <c r="F9" s="39" t="s">
        <v>146</v>
      </c>
      <c r="G9" s="397" t="s">
        <v>151</v>
      </c>
      <c r="H9" s="374" t="s">
        <v>101</v>
      </c>
      <c r="I9" s="373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3" t="s">
        <v>155</v>
      </c>
    </row>
    <row r="12" spans="1:32" ht="13.5" customHeight="1" outlineLevel="1" x14ac:dyDescent="0.2">
      <c r="A12" s="539" t="s">
        <v>127</v>
      </c>
      <c r="B12" s="351">
        <f>+Calpine!D41</f>
        <v>178743.41</v>
      </c>
      <c r="C12" s="376">
        <f>+B12/$J$4</f>
        <v>74788.037656903762</v>
      </c>
      <c r="D12" s="14">
        <f>+Calpine!D47</f>
        <v>173122</v>
      </c>
      <c r="E12" s="70">
        <f>+C12-D12</f>
        <v>-98333.962343096238</v>
      </c>
      <c r="F12" s="371">
        <f>+Calpine!A41</f>
        <v>37259</v>
      </c>
      <c r="G12" s="203"/>
      <c r="H12" s="204" t="s">
        <v>99</v>
      </c>
      <c r="I12" s="357"/>
      <c r="J12" s="70"/>
      <c r="K12" s="32"/>
    </row>
    <row r="13" spans="1:32" ht="13.5" customHeight="1" outlineLevel="2" x14ac:dyDescent="0.2">
      <c r="A13" s="248" t="s">
        <v>139</v>
      </c>
      <c r="B13" s="351">
        <f>+'Citizens-Griffith'!D41</f>
        <v>68698.61</v>
      </c>
      <c r="C13" s="375">
        <f>+B13/$J$4</f>
        <v>28744.188284518827</v>
      </c>
      <c r="D13" s="14">
        <f>+'Citizens-Griffith'!D48</f>
        <v>36551</v>
      </c>
      <c r="E13" s="70">
        <f>+C13-D13</f>
        <v>-7806.8117154811735</v>
      </c>
      <c r="F13" s="371">
        <f>+'Citizens-Griffith'!A41</f>
        <v>37259</v>
      </c>
      <c r="G13" s="203" t="s">
        <v>154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302</v>
      </c>
      <c r="B14" s="351">
        <f>+summary!$B$52</f>
        <v>-19711.260000000002</v>
      </c>
      <c r="C14" s="375">
        <f>+summary!$C$52</f>
        <v>-8247.3891213389124</v>
      </c>
      <c r="D14" s="14">
        <f>+SWGasTrans!$D$48</f>
        <v>4295</v>
      </c>
      <c r="E14" s="70">
        <f>+C14-D14</f>
        <v>-12542.389121338912</v>
      </c>
      <c r="F14" s="371">
        <f>+'Citizens-Griffith'!A42</f>
        <v>0</v>
      </c>
      <c r="G14" s="203"/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51">
        <f>+'NS Steel'!D41</f>
        <v>-355805</v>
      </c>
      <c r="C15" s="375">
        <f>+B15/$J$4</f>
        <v>-148872.38493723847</v>
      </c>
      <c r="D15" s="14">
        <f>+'NS Steel'!D50</f>
        <v>-44621</v>
      </c>
      <c r="E15" s="70">
        <f>+C15-D15</f>
        <v>-104251.38493723847</v>
      </c>
      <c r="F15" s="372">
        <f>+'NS Steel'!A41</f>
        <v>37256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39" t="s">
        <v>135</v>
      </c>
      <c r="B16" s="354">
        <f>+Citizens!D18</f>
        <v>-542387.86</v>
      </c>
      <c r="C16" s="377">
        <f>+B16/$J$4</f>
        <v>-226940.52719665269</v>
      </c>
      <c r="D16" s="355">
        <f>+Citizens!D24</f>
        <v>-38814</v>
      </c>
      <c r="E16" s="72">
        <f>+C16-D16</f>
        <v>-188126.52719665269</v>
      </c>
      <c r="F16" s="371">
        <f>+Citizens!A18</f>
        <v>37259</v>
      </c>
      <c r="G16" s="203"/>
      <c r="H16" s="204" t="s">
        <v>99</v>
      </c>
      <c r="I16" s="427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95">
        <f>SUBTOTAL(9,B12:B16)</f>
        <v>-670462.1</v>
      </c>
      <c r="C17" s="401">
        <f>SUBTOTAL(9,C12:C16)</f>
        <v>-280528.07531380747</v>
      </c>
      <c r="D17" s="402">
        <f>SUBTOTAL(9,D12:D16)</f>
        <v>130533</v>
      </c>
      <c r="E17" s="403">
        <f>SUBTOTAL(9,E12:E16)</f>
        <v>-411061.07531380747</v>
      </c>
      <c r="F17" s="371"/>
      <c r="G17" s="203"/>
      <c r="H17" s="204"/>
      <c r="I17" s="357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405" t="s">
        <v>57</v>
      </c>
      <c r="G19" s="7"/>
    </row>
    <row r="20" spans="1:20" ht="13.5" customHeight="1" outlineLevel="2" x14ac:dyDescent="0.2">
      <c r="A20" s="248" t="s">
        <v>71</v>
      </c>
      <c r="B20" s="352">
        <f>+transcol!$D$43</f>
        <v>12821</v>
      </c>
      <c r="C20" s="375">
        <f>+B20/$J$4</f>
        <v>5364.435146443514</v>
      </c>
      <c r="D20" s="14">
        <f>+transcol!D50</f>
        <v>-49782</v>
      </c>
      <c r="E20" s="70">
        <f>+C20-D20</f>
        <v>55146.435146443517</v>
      </c>
      <c r="F20" s="372">
        <f>+transcol!A43</f>
        <v>37256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39" t="s">
        <v>320</v>
      </c>
      <c r="B21" s="352">
        <f>+summary!$B$37</f>
        <v>16.52</v>
      </c>
      <c r="C21" s="375">
        <f>+summary!$C$37</f>
        <v>7</v>
      </c>
      <c r="D21" s="14">
        <f>+C21</f>
        <v>7</v>
      </c>
      <c r="E21" s="70">
        <f>+C21-D21</f>
        <v>0</v>
      </c>
      <c r="F21" s="372">
        <f>+williams!A40</f>
        <v>37259</v>
      </c>
      <c r="G21" s="203" t="s">
        <v>154</v>
      </c>
      <c r="H21" s="32" t="s">
        <v>321</v>
      </c>
      <c r="I21" s="32"/>
      <c r="J21" s="32"/>
      <c r="K21" s="32"/>
      <c r="T21" s="259"/>
    </row>
    <row r="22" spans="1:20" ht="13.5" customHeight="1" outlineLevel="2" x14ac:dyDescent="0.2">
      <c r="A22" s="539" t="s">
        <v>95</v>
      </c>
      <c r="B22" s="354">
        <f>+burlington!D42</f>
        <v>53789.52</v>
      </c>
      <c r="C22" s="379">
        <f>+B22/$J$3</f>
        <v>22792.169491525423</v>
      </c>
      <c r="D22" s="355">
        <f>+burlington!D49</f>
        <v>23169</v>
      </c>
      <c r="E22" s="72">
        <f>+C22-D22</f>
        <v>-376.83050847457707</v>
      </c>
      <c r="F22" s="371">
        <f>+burlington!A42</f>
        <v>37259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95">
        <f>SUBTOTAL(9,B20:B22)</f>
        <v>66627.039999999994</v>
      </c>
      <c r="C23" s="396">
        <f>SUBTOTAL(9,C20:C22)</f>
        <v>28163.604637968936</v>
      </c>
      <c r="D23" s="402">
        <f>SUBTOTAL(9,D20:D22)</f>
        <v>-26606</v>
      </c>
      <c r="E23" s="403">
        <f>SUBTOTAL(9,E20:E22)</f>
        <v>54769.604637968936</v>
      </c>
      <c r="F23" s="371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73" t="s">
        <v>159</v>
      </c>
      <c r="B25" s="431"/>
      <c r="C25" s="432"/>
      <c r="D25" s="433"/>
      <c r="E25" s="433"/>
      <c r="F25" s="433"/>
      <c r="G25" s="434"/>
      <c r="H25" s="433"/>
      <c r="I25" s="433"/>
    </row>
    <row r="26" spans="1:20" ht="15.95" customHeight="1" outlineLevel="2" x14ac:dyDescent="0.2">
      <c r="A26" s="539" t="s">
        <v>87</v>
      </c>
      <c r="B26" s="351">
        <f>+NNG!$D$24</f>
        <v>80083.19</v>
      </c>
      <c r="C26" s="375">
        <f t="shared" ref="C26:C46" si="0">+B26/$J$4</f>
        <v>33507.610878661086</v>
      </c>
      <c r="D26" s="14">
        <f>+NNG!D34</f>
        <v>35031</v>
      </c>
      <c r="E26" s="70">
        <f t="shared" ref="E26:E48" si="1">+C26-D26</f>
        <v>-1523.3891213389143</v>
      </c>
      <c r="F26" s="371">
        <f>+NNG!A24</f>
        <v>36894</v>
      </c>
      <c r="G26" s="398" t="s">
        <v>152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351">
        <f>+Conoco!$F$41</f>
        <v>454248.26</v>
      </c>
      <c r="C27" s="375">
        <f t="shared" si="0"/>
        <v>190062.03347280333</v>
      </c>
      <c r="D27" s="14">
        <f>+Conoco!D48</f>
        <v>38724</v>
      </c>
      <c r="E27" s="70">
        <f t="shared" si="1"/>
        <v>151338.03347280333</v>
      </c>
      <c r="F27" s="371">
        <f>+Conoco!A41</f>
        <v>37259</v>
      </c>
      <c r="G27" s="203" t="s">
        <v>154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51">
        <f>+'Amoco Abo'!$F$43</f>
        <v>176073.11</v>
      </c>
      <c r="C28" s="375">
        <f t="shared" si="0"/>
        <v>73670.757322175719</v>
      </c>
      <c r="D28" s="14">
        <f>+'Amoco Abo'!D49</f>
        <v>-356545</v>
      </c>
      <c r="E28" s="70">
        <f t="shared" si="1"/>
        <v>430215.75732217572</v>
      </c>
      <c r="F28" s="372">
        <f>+'Amoco Abo'!A43</f>
        <v>37259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351">
        <f>+KN_Westar!F41</f>
        <v>385015.89</v>
      </c>
      <c r="C29" s="375">
        <f t="shared" si="0"/>
        <v>161094.51464435147</v>
      </c>
      <c r="D29" s="14">
        <f>+KN_Westar!D48</f>
        <v>-9522</v>
      </c>
      <c r="E29" s="70">
        <f t="shared" si="1"/>
        <v>170616.51464435147</v>
      </c>
      <c r="F29" s="372">
        <f>+KN_Westar!A41</f>
        <v>37256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39" t="s">
        <v>258</v>
      </c>
      <c r="B30" s="351">
        <f>+summary!$B$9</f>
        <v>1214345.6599999999</v>
      </c>
      <c r="C30" s="375">
        <f>+summary!$C$9</f>
        <v>503877.86721991695</v>
      </c>
      <c r="D30" s="14">
        <f>+Duke!$G$40+Duke!$H$40+Duke!$I$53+Duke!$I$54</f>
        <v>359988</v>
      </c>
      <c r="E30" s="70">
        <f t="shared" si="1"/>
        <v>143889.86721991695</v>
      </c>
      <c r="F30" s="372">
        <f>+Duke!A42</f>
        <v>37256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39" t="s">
        <v>251</v>
      </c>
      <c r="B31" s="351">
        <f>+summary!$B$8</f>
        <v>1537446.14</v>
      </c>
      <c r="C31" s="376">
        <f>+B31/$J$5</f>
        <v>637944.45643153519</v>
      </c>
      <c r="D31" s="14">
        <f>+Duke!$F$40</f>
        <v>381295</v>
      </c>
      <c r="E31" s="70">
        <f t="shared" si="1"/>
        <v>256649.45643153519</v>
      </c>
      <c r="F31" s="372">
        <f>+Duke!A7</f>
        <v>37256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39" t="s">
        <v>250</v>
      </c>
      <c r="B32" s="491">
        <f>+summary!$B$41</f>
        <v>-2743513.8400000003</v>
      </c>
      <c r="C32" s="376">
        <f>+B32/$J$5</f>
        <v>-1138387.4854771786</v>
      </c>
      <c r="D32" s="14">
        <f>+DEFS!$I$36+DEFS!$J$36+DEFS!$K$45+DEFS!$K$46+DEFS!$K$47+DEFS!$K$48</f>
        <v>-410728</v>
      </c>
      <c r="E32" s="70">
        <f t="shared" si="1"/>
        <v>-727659.48547717859</v>
      </c>
      <c r="F32" s="372">
        <f>+DEFS!A40</f>
        <v>36894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351">
        <f>+mewborne!$J$43</f>
        <v>400901.54</v>
      </c>
      <c r="C33" s="375">
        <f t="shared" si="0"/>
        <v>167741.230125523</v>
      </c>
      <c r="D33" s="14">
        <f>+mewborne!D49</f>
        <v>164314</v>
      </c>
      <c r="E33" s="70">
        <f t="shared" si="1"/>
        <v>3427.2301255229977</v>
      </c>
      <c r="F33" s="372">
        <f>+mewborne!A43</f>
        <v>37259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351">
        <f>+PGETX!$H$39</f>
        <v>-68258</v>
      </c>
      <c r="C34" s="375">
        <f t="shared" si="0"/>
        <v>-28559.832635983261</v>
      </c>
      <c r="D34" s="14">
        <f>+PGETX!E48</f>
        <v>-5084</v>
      </c>
      <c r="E34" s="70">
        <f t="shared" si="1"/>
        <v>-23475.832635983261</v>
      </c>
      <c r="F34" s="372">
        <f>+PGETX!E39</f>
        <v>37256</v>
      </c>
      <c r="G34" s="203" t="s">
        <v>152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51">
        <f>+PNM!$D$23</f>
        <v>733812.83</v>
      </c>
      <c r="C35" s="375">
        <f t="shared" si="0"/>
        <v>307034.65690376563</v>
      </c>
      <c r="D35" s="14">
        <f>+PNM!D30</f>
        <v>292087</v>
      </c>
      <c r="E35" s="70">
        <f t="shared" si="1"/>
        <v>14947.65690376563</v>
      </c>
      <c r="F35" s="372">
        <f>+PNM!A23</f>
        <v>37259</v>
      </c>
      <c r="G35" s="203" t="s">
        <v>153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351">
        <f>+EOG!J41</f>
        <v>4885</v>
      </c>
      <c r="C36" s="375">
        <f t="shared" si="0"/>
        <v>2043.9330543933054</v>
      </c>
      <c r="D36" s="14">
        <f>+EOG!D48</f>
        <v>-125383</v>
      </c>
      <c r="E36" s="70">
        <f t="shared" si="1"/>
        <v>127426.9330543933</v>
      </c>
      <c r="F36" s="371">
        <f>+EOG!A41</f>
        <v>37256</v>
      </c>
      <c r="G36" s="203" t="s">
        <v>154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51">
        <f>+summary!$B$49</f>
        <v>-32679.61</v>
      </c>
      <c r="C37" s="375">
        <f>+summary!$C$49</f>
        <v>-13560.004149377593</v>
      </c>
      <c r="D37" s="14">
        <f>+Oasis!D47</f>
        <v>-17965</v>
      </c>
      <c r="E37" s="70">
        <f>+C37-D37</f>
        <v>4404.9958506224066</v>
      </c>
      <c r="F37" s="371">
        <f>+Oasis!A40</f>
        <v>37259</v>
      </c>
      <c r="G37" s="203"/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351">
        <f>+SidR!D41</f>
        <v>32728.29</v>
      </c>
      <c r="C38" s="375">
        <f>+B38/$J$5</f>
        <v>13580.203319502074</v>
      </c>
      <c r="D38" s="14">
        <f>+SidR!D48</f>
        <v>16067</v>
      </c>
      <c r="E38" s="70">
        <f t="shared" si="1"/>
        <v>-2486.796680497926</v>
      </c>
      <c r="F38" s="372">
        <f>+SidR!A41</f>
        <v>37259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39" t="s">
        <v>262</v>
      </c>
      <c r="B39" s="351">
        <f>+summary!$B$44</f>
        <v>-195699.5</v>
      </c>
      <c r="C39" s="375">
        <f>+summary!$C$44</f>
        <v>-81203.112033195022</v>
      </c>
      <c r="D39" s="14">
        <f>+MiVida_Rich!D48</f>
        <v>-47898</v>
      </c>
      <c r="E39" s="70">
        <f>+C39-D39</f>
        <v>-33305.112033195022</v>
      </c>
      <c r="F39" s="372">
        <f>+MiVida_Rich!A41</f>
        <v>37225</v>
      </c>
      <c r="G39" s="203"/>
      <c r="H39" s="32" t="s">
        <v>102</v>
      </c>
      <c r="I39" s="32"/>
      <c r="J39" s="32"/>
      <c r="K39" s="32"/>
    </row>
    <row r="40" spans="1:11" ht="14.1" customHeight="1" x14ac:dyDescent="0.2">
      <c r="A40" s="248" t="s">
        <v>208</v>
      </c>
      <c r="B40" s="351">
        <f>+Dominion!D41</f>
        <v>179800.64</v>
      </c>
      <c r="C40" s="375">
        <f>+B40/$J$5</f>
        <v>74606.074688796682</v>
      </c>
      <c r="D40" s="14">
        <f>+Dominion!D48</f>
        <v>78897</v>
      </c>
      <c r="E40" s="70">
        <f t="shared" si="1"/>
        <v>-4290.9253112033184</v>
      </c>
      <c r="F40" s="372">
        <f>+Dominion!A41</f>
        <v>37259</v>
      </c>
      <c r="G40" s="203"/>
      <c r="H40" s="32" t="s">
        <v>99</v>
      </c>
      <c r="I40" s="32"/>
      <c r="J40" s="32"/>
      <c r="K40" s="32"/>
    </row>
    <row r="41" spans="1:11" ht="14.1" customHeight="1" x14ac:dyDescent="0.2">
      <c r="A41" s="248" t="s">
        <v>205</v>
      </c>
      <c r="B41" s="351">
        <f>+WTGmktg!J43</f>
        <v>-31978.880000000001</v>
      </c>
      <c r="C41" s="375">
        <f t="shared" si="0"/>
        <v>-13380.284518828452</v>
      </c>
      <c r="D41" s="14">
        <f>+WTGmktg!D50</f>
        <v>-1945</v>
      </c>
      <c r="E41" s="70">
        <f t="shared" si="1"/>
        <v>-11435.284518828452</v>
      </c>
      <c r="F41" s="372">
        <f>+WTGmktg!A43</f>
        <v>37259</v>
      </c>
      <c r="G41" s="203"/>
      <c r="H41" s="32" t="s">
        <v>115</v>
      </c>
      <c r="I41" s="32"/>
      <c r="J41" s="32"/>
      <c r="K41" s="32"/>
    </row>
    <row r="42" spans="1:11" ht="14.1" customHeight="1" x14ac:dyDescent="0.2">
      <c r="A42" s="248" t="s">
        <v>307</v>
      </c>
      <c r="B42" s="351">
        <f>+summary!$B$30</f>
        <v>34317.57</v>
      </c>
      <c r="C42" s="375">
        <f>+summary!$C$30</f>
        <v>14358.815899581588</v>
      </c>
      <c r="D42" s="14">
        <f>+'WTG inc'!D50</f>
        <v>12802</v>
      </c>
      <c r="E42" s="70">
        <f>+C42-D42</f>
        <v>1556.8158995815884</v>
      </c>
      <c r="F42" s="372">
        <f>+'WTG inc'!A43</f>
        <v>37259</v>
      </c>
      <c r="G42" s="203"/>
      <c r="H42" s="32" t="s">
        <v>115</v>
      </c>
      <c r="I42" s="32"/>
      <c r="J42" s="32"/>
      <c r="K42" s="32"/>
    </row>
    <row r="43" spans="1:11" ht="13.5" customHeight="1" x14ac:dyDescent="0.2">
      <c r="A43" s="248" t="s">
        <v>209</v>
      </c>
      <c r="B43" s="351">
        <f>+Devon!D41</f>
        <v>163700</v>
      </c>
      <c r="C43" s="375">
        <f>+B43/$J$5</f>
        <v>67925.311203319492</v>
      </c>
      <c r="D43" s="14">
        <f>+Devon!D48</f>
        <v>34970</v>
      </c>
      <c r="E43" s="70">
        <f t="shared" si="1"/>
        <v>32955.311203319492</v>
      </c>
      <c r="F43" s="372">
        <f>+Devon!A41</f>
        <v>37259</v>
      </c>
      <c r="G43" s="203"/>
      <c r="H43" s="32" t="s">
        <v>99</v>
      </c>
      <c r="I43" s="32"/>
      <c r="J43" s="32"/>
      <c r="K43" s="32"/>
    </row>
    <row r="44" spans="1:11" ht="13.5" customHeight="1" x14ac:dyDescent="0.2">
      <c r="A44" s="248" t="s">
        <v>218</v>
      </c>
      <c r="B44" s="351">
        <f>+crosstex!F41</f>
        <v>-128374.66</v>
      </c>
      <c r="C44" s="375">
        <f>+B44/$J$4</f>
        <v>-53713.246861924687</v>
      </c>
      <c r="D44" s="14">
        <f>+crosstex!D48</f>
        <v>-38813</v>
      </c>
      <c r="E44" s="70">
        <f t="shared" si="1"/>
        <v>-14900.246861924687</v>
      </c>
      <c r="F44" s="372">
        <f>+crosstex!A41</f>
        <v>37259</v>
      </c>
      <c r="G44" s="203"/>
      <c r="H44" s="32" t="s">
        <v>100</v>
      </c>
      <c r="I44" s="32"/>
      <c r="J44" s="32"/>
      <c r="K44" s="32"/>
    </row>
    <row r="45" spans="1:11" ht="13.5" customHeight="1" x14ac:dyDescent="0.2">
      <c r="A45" s="248" t="s">
        <v>219</v>
      </c>
      <c r="B45" s="351">
        <f>+Amarillo!P41</f>
        <v>114931.95</v>
      </c>
      <c r="C45" s="375">
        <f>+B45/$J$4</f>
        <v>48088.682008368196</v>
      </c>
      <c r="D45" s="14">
        <f>+Amarillo!D48</f>
        <v>48361</v>
      </c>
      <c r="E45" s="70">
        <f t="shared" si="1"/>
        <v>-272.31799163180403</v>
      </c>
      <c r="F45" s="372">
        <f>+Amarillo!A41</f>
        <v>37259</v>
      </c>
      <c r="G45" s="203"/>
      <c r="H45" s="32" t="s">
        <v>113</v>
      </c>
      <c r="I45" s="32"/>
      <c r="J45" s="32"/>
      <c r="K45" s="32"/>
    </row>
    <row r="46" spans="1:11" ht="13.5" customHeight="1" x14ac:dyDescent="0.2">
      <c r="A46" s="248" t="s">
        <v>109</v>
      </c>
      <c r="B46" s="351">
        <f>+Continental!F43</f>
        <v>34262</v>
      </c>
      <c r="C46" s="376">
        <f t="shared" si="0"/>
        <v>14335.564853556485</v>
      </c>
      <c r="D46" s="14">
        <f>+Continental!D50</f>
        <v>748</v>
      </c>
      <c r="E46" s="70">
        <f t="shared" si="1"/>
        <v>13587.564853556485</v>
      </c>
      <c r="F46" s="372">
        <f>+Continental!A43</f>
        <v>37256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351">
        <f>+EPFS!D41</f>
        <v>84406.32</v>
      </c>
      <c r="C47" s="376">
        <f>+B47/$J$5</f>
        <v>35023.369294605807</v>
      </c>
      <c r="D47" s="14">
        <f>+EPFS!D47</f>
        <v>54334</v>
      </c>
      <c r="E47" s="70">
        <f t="shared" si="1"/>
        <v>-19310.630705394193</v>
      </c>
      <c r="F47" s="371">
        <f>+EPFS!A41</f>
        <v>37259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539" t="s">
        <v>79</v>
      </c>
      <c r="B48" s="354">
        <f>+Agave!$D$24</f>
        <v>24638.799999999996</v>
      </c>
      <c r="C48" s="377">
        <f>+B48/$J$4</f>
        <v>10309.121338912131</v>
      </c>
      <c r="D48" s="355">
        <f>+Agave!D31</f>
        <v>25860</v>
      </c>
      <c r="E48" s="72">
        <f t="shared" si="1"/>
        <v>-15550.878661087869</v>
      </c>
      <c r="F48" s="371">
        <f>+Agave!A24</f>
        <v>37259</v>
      </c>
      <c r="G48" s="203" t="s">
        <v>178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161</v>
      </c>
      <c r="B49" s="395">
        <f>SUBTOTAL(9,B26:B48)</f>
        <v>2455092.6999999997</v>
      </c>
      <c r="C49" s="401">
        <f>SUBTOTAL(9,C26:C48)</f>
        <v>1026400.2369832802</v>
      </c>
      <c r="D49" s="402">
        <f>SUBTOTAL(9,D26:D48)</f>
        <v>529595</v>
      </c>
      <c r="E49" s="403">
        <f>SUBTOTAL(9,E26:E48)</f>
        <v>496805.23698328034</v>
      </c>
      <c r="F49" s="371"/>
      <c r="G49" s="358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162</v>
      </c>
      <c r="B51" s="395">
        <f>SUBTOTAL(9,B12:B48)</f>
        <v>1851257.64</v>
      </c>
      <c r="C51" s="401">
        <f>SUBTOTAL(9,C12:C48)</f>
        <v>774035.7663074421</v>
      </c>
      <c r="D51" s="402">
        <f>SUBTOTAL(9,D12:D48)</f>
        <v>633522</v>
      </c>
      <c r="E51" s="403">
        <f>SUBTOTAL(9,E12:E48)</f>
        <v>140513.76630744201</v>
      </c>
      <c r="F51" s="371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51"/>
      <c r="C52" s="375"/>
      <c r="D52" s="375"/>
      <c r="E52" s="375"/>
      <c r="F52" s="358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I56" s="390" t="s">
        <v>78</v>
      </c>
      <c r="J56" s="393"/>
      <c r="K56" s="32"/>
    </row>
    <row r="57" spans="1:19" ht="13.5" customHeight="1" outlineLevel="2" x14ac:dyDescent="0.2">
      <c r="D57" s="7"/>
      <c r="I57" s="391" t="s">
        <v>29</v>
      </c>
      <c r="J57" s="394">
        <f>+J3</f>
        <v>2.36</v>
      </c>
      <c r="K57" s="410">
        <f ca="1">NOW()</f>
        <v>37260.837261805558</v>
      </c>
    </row>
    <row r="58" spans="1:19" ht="13.5" customHeight="1" outlineLevel="2" x14ac:dyDescent="0.2">
      <c r="A58" s="34" t="s">
        <v>145</v>
      </c>
      <c r="C58" s="34" t="s">
        <v>5</v>
      </c>
      <c r="D58" s="7"/>
      <c r="I58" s="392" t="s">
        <v>30</v>
      </c>
      <c r="J58" s="394">
        <f>+J4</f>
        <v>2.39</v>
      </c>
      <c r="K58" s="32"/>
    </row>
    <row r="59" spans="1:19" ht="13.5" customHeight="1" outlineLevel="1" x14ac:dyDescent="0.2">
      <c r="D59" s="7"/>
      <c r="I59" s="391" t="s">
        <v>117</v>
      </c>
      <c r="J59" s="394">
        <f>+J5</f>
        <v>2.41</v>
      </c>
      <c r="K59" s="32"/>
    </row>
    <row r="60" spans="1:19" ht="13.5" customHeight="1" outlineLevel="2" x14ac:dyDescent="0.2"/>
    <row r="61" spans="1:19" ht="13.5" customHeight="1" outlineLevel="2" x14ac:dyDescent="0.2">
      <c r="A61" s="408" t="s">
        <v>164</v>
      </c>
      <c r="B61" s="409"/>
      <c r="E61" s="12" t="s">
        <v>198</v>
      </c>
    </row>
    <row r="62" spans="1:19" ht="13.5" customHeight="1" outlineLevel="2" x14ac:dyDescent="0.2">
      <c r="A62" s="32"/>
      <c r="B62" s="411" t="s">
        <v>189</v>
      </c>
      <c r="C62" s="411" t="s">
        <v>196</v>
      </c>
      <c r="D62" s="411" t="s">
        <v>193</v>
      </c>
      <c r="E62" s="12" t="s">
        <v>199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73" t="s">
        <v>89</v>
      </c>
      <c r="B63" s="407" t="s">
        <v>0</v>
      </c>
      <c r="C63" s="385" t="s">
        <v>166</v>
      </c>
      <c r="D63" s="39" t="s">
        <v>197</v>
      </c>
      <c r="E63" s="39" t="s">
        <v>200</v>
      </c>
      <c r="F63" s="39" t="s">
        <v>146</v>
      </c>
      <c r="G63" s="397" t="s">
        <v>151</v>
      </c>
      <c r="H63" s="374" t="s">
        <v>101</v>
      </c>
      <c r="I63" s="373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73" t="s">
        <v>155</v>
      </c>
      <c r="B65" s="286"/>
      <c r="C65" s="247"/>
    </row>
    <row r="66" spans="1:11" ht="13.5" customHeight="1" outlineLevel="2" x14ac:dyDescent="0.2">
      <c r="A66" s="248" t="s">
        <v>94</v>
      </c>
      <c r="B66" s="375">
        <f>+Mojave!D40</f>
        <v>186877</v>
      </c>
      <c r="C66" s="351">
        <f>+B66*$J$4</f>
        <v>446636.03</v>
      </c>
      <c r="D66" s="47">
        <f>+Mojave!D47</f>
        <v>199942.06</v>
      </c>
      <c r="E66" s="47">
        <f>+C66-D66</f>
        <v>246693.97000000003</v>
      </c>
      <c r="F66" s="372">
        <f>+Mojave!A40</f>
        <v>37259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">
      <c r="A67" s="248" t="s">
        <v>32</v>
      </c>
      <c r="B67" s="376">
        <f>+SoCal!F40</f>
        <v>119635</v>
      </c>
      <c r="C67" s="351">
        <f>+B67*$J$4</f>
        <v>285927.65000000002</v>
      </c>
      <c r="D67" s="47">
        <f>+SoCal!D47</f>
        <v>368280.85</v>
      </c>
      <c r="E67" s="47">
        <f>+C67-D67</f>
        <v>-82353.199999999953</v>
      </c>
      <c r="F67" s="372">
        <f>+SoCal!A40</f>
        <v>37259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179</v>
      </c>
      <c r="B68" s="375">
        <f>+'El Paso'!C39</f>
        <v>64166</v>
      </c>
      <c r="C68" s="351">
        <f>+B68*$J$4</f>
        <v>153356.74000000002</v>
      </c>
      <c r="D68" s="47">
        <f>+'El Paso'!C46</f>
        <v>-1583193</v>
      </c>
      <c r="E68" s="47">
        <f>+C68-D68</f>
        <v>1736549.74</v>
      </c>
      <c r="F68" s="372">
        <f>+'El Paso'!A39</f>
        <v>37259</v>
      </c>
      <c r="G68" s="428"/>
      <c r="H68" s="32" t="s">
        <v>100</v>
      </c>
      <c r="I68" s="32" t="s">
        <v>170</v>
      </c>
      <c r="J68" s="32"/>
      <c r="K68" s="32"/>
    </row>
    <row r="69" spans="1:11" ht="15" customHeight="1" outlineLevel="1" x14ac:dyDescent="0.2">
      <c r="A69" s="248" t="s">
        <v>114</v>
      </c>
      <c r="B69" s="377">
        <f>+'PG&amp;E'!D40</f>
        <v>59117</v>
      </c>
      <c r="C69" s="354">
        <f>+B69*$J$4</f>
        <v>141289.63</v>
      </c>
      <c r="D69" s="354">
        <f>+'PG&amp;E'!D47</f>
        <v>12562.94</v>
      </c>
      <c r="E69" s="354">
        <f>+C69-D69</f>
        <v>128726.69</v>
      </c>
      <c r="F69" s="372">
        <f>+'PG&amp;E'!A40</f>
        <v>36894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156</v>
      </c>
      <c r="B70" s="401">
        <f>SUBTOTAL(9,B66:B69)</f>
        <v>429795</v>
      </c>
      <c r="C70" s="395">
        <f>SUBTOTAL(9,C66:C69)</f>
        <v>1027210.05</v>
      </c>
      <c r="D70" s="395">
        <f>SUBTOTAL(9,D66:D69)</f>
        <v>-1002407.1500000001</v>
      </c>
      <c r="E70" s="395">
        <f>SUBTOTAL(9,E66:E69)</f>
        <v>2029617.2</v>
      </c>
      <c r="F70" s="372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73" t="s">
        <v>57</v>
      </c>
      <c r="B72" s="286"/>
      <c r="C72" s="247"/>
      <c r="G72" s="203"/>
    </row>
    <row r="73" spans="1:11" x14ac:dyDescent="0.2">
      <c r="A73" s="248" t="s">
        <v>23</v>
      </c>
      <c r="B73" s="375">
        <f>+summary!$C$27</f>
        <v>23081</v>
      </c>
      <c r="C73" s="352">
        <f>+B73*J3</f>
        <v>54471.159999999996</v>
      </c>
      <c r="D73" s="200">
        <f>+'Red C'!D52</f>
        <v>417708.6</v>
      </c>
      <c r="E73" s="47">
        <f>+C73-D73</f>
        <v>-363237.44</v>
      </c>
      <c r="F73" s="371">
        <f>+'Red C'!A45</f>
        <v>37259</v>
      </c>
      <c r="G73" s="203" t="s">
        <v>153</v>
      </c>
      <c r="H73" s="32" t="s">
        <v>115</v>
      </c>
      <c r="I73" s="32"/>
      <c r="J73" s="32"/>
      <c r="K73" s="32"/>
    </row>
    <row r="74" spans="1:11" x14ac:dyDescent="0.2">
      <c r="A74" s="248" t="s">
        <v>319</v>
      </c>
      <c r="B74" s="375">
        <f>+Amoco!D40</f>
        <v>-35347</v>
      </c>
      <c r="C74" s="351">
        <f>+B74*$J$3</f>
        <v>-83418.92</v>
      </c>
      <c r="D74" s="47">
        <f>+Amoco!D47</f>
        <v>260458.68</v>
      </c>
      <c r="E74" s="47">
        <f>+C74-D74</f>
        <v>-343877.6</v>
      </c>
      <c r="F74" s="372">
        <f>+Amoco!A40</f>
        <v>37259</v>
      </c>
      <c r="G74" s="203" t="s">
        <v>153</v>
      </c>
      <c r="H74" s="32" t="s">
        <v>115</v>
      </c>
      <c r="I74" s="32"/>
      <c r="J74" s="32"/>
      <c r="K74" s="32"/>
    </row>
    <row r="75" spans="1:11" x14ac:dyDescent="0.2">
      <c r="A75" s="248" t="s">
        <v>180</v>
      </c>
      <c r="B75" s="375">
        <f>+'El Paso'!E39</f>
        <v>-31266</v>
      </c>
      <c r="C75" s="351">
        <f>+B75*$J$3</f>
        <v>-73787.759999999995</v>
      </c>
      <c r="D75" s="47">
        <f>+'El Paso'!F46</f>
        <v>-657486</v>
      </c>
      <c r="E75" s="47">
        <f>+C75-D75</f>
        <v>583698.24</v>
      </c>
      <c r="F75" s="372">
        <f>+'El Paso'!A39</f>
        <v>37259</v>
      </c>
      <c r="G75" s="428"/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77">
        <f>+NW!$F$41</f>
        <v>-24191</v>
      </c>
      <c r="C76" s="354">
        <f>+B76*$J$3</f>
        <v>-57090.759999999995</v>
      </c>
      <c r="D76" s="354">
        <f>+NW!E49</f>
        <v>-511860.72</v>
      </c>
      <c r="E76" s="354">
        <f>+C76-D76</f>
        <v>454769.95999999996</v>
      </c>
      <c r="F76" s="371">
        <f>+NW!B41</f>
        <v>37259</v>
      </c>
      <c r="G76" s="203" t="s">
        <v>153</v>
      </c>
      <c r="H76" s="32" t="s">
        <v>115</v>
      </c>
      <c r="I76" s="32"/>
      <c r="J76" s="32"/>
      <c r="K76" s="32"/>
    </row>
    <row r="77" spans="1:11" x14ac:dyDescent="0.2">
      <c r="A77" s="32" t="s">
        <v>157</v>
      </c>
      <c r="B77" s="401">
        <f>SUBTOTAL(9,B73:B76)</f>
        <v>-67723</v>
      </c>
      <c r="C77" s="395">
        <f>SUBTOTAL(9,C73:C76)</f>
        <v>-159826.27999999997</v>
      </c>
      <c r="D77" s="395">
        <f>SUBTOTAL(9,D73:D76)</f>
        <v>-491179.43999999994</v>
      </c>
      <c r="E77" s="395">
        <f>SUBTOTAL(9,E73:E76)</f>
        <v>331353.15999999992</v>
      </c>
      <c r="F77" s="371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73" t="s">
        <v>159</v>
      </c>
      <c r="B79" s="286"/>
      <c r="C79" s="247"/>
      <c r="G79" s="203"/>
    </row>
    <row r="80" spans="1:11" x14ac:dyDescent="0.2">
      <c r="A80" s="248" t="s">
        <v>88</v>
      </c>
      <c r="B80" s="375">
        <f>+NGPL!F38</f>
        <v>118030</v>
      </c>
      <c r="C80" s="351">
        <f>+B80*$J$5</f>
        <v>284452.3</v>
      </c>
      <c r="D80" s="47">
        <f>+NGPL!D45</f>
        <v>300964.8</v>
      </c>
      <c r="E80" s="47">
        <f>+C80-D80</f>
        <v>-16512.5</v>
      </c>
      <c r="F80" s="372">
        <f>+NGPL!A38</f>
        <v>37259</v>
      </c>
      <c r="G80" s="203"/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75">
        <f>+PEPL!D41</f>
        <v>-10078</v>
      </c>
      <c r="C81" s="352">
        <f>+B81*$J$4</f>
        <v>-24086.420000000002</v>
      </c>
      <c r="D81" s="47">
        <f>+PEPL!D47</f>
        <v>158873.25</v>
      </c>
      <c r="E81" s="47">
        <f>+C81-D81</f>
        <v>-182959.67</v>
      </c>
      <c r="F81" s="372">
        <f>+PEPL!A41</f>
        <v>37259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16328</v>
      </c>
      <c r="C82" s="352">
        <f>+B82*$J$4</f>
        <v>39023.920000000006</v>
      </c>
      <c r="D82" s="200">
        <f>+CIG!D49</f>
        <v>383278</v>
      </c>
      <c r="E82" s="70">
        <f>+C82-D82</f>
        <v>-344254.08</v>
      </c>
      <c r="F82" s="372">
        <f>+CIG!A42</f>
        <v>37256</v>
      </c>
      <c r="G82" s="203" t="s">
        <v>154</v>
      </c>
      <c r="H82" s="32" t="s">
        <v>113</v>
      </c>
      <c r="I82" s="32" t="s">
        <v>181</v>
      </c>
      <c r="J82" s="32"/>
      <c r="K82" s="32"/>
    </row>
    <row r="83" spans="1:12" x14ac:dyDescent="0.2">
      <c r="A83" s="248" t="s">
        <v>31</v>
      </c>
      <c r="B83" s="379">
        <f>+summary!C34</f>
        <v>9686</v>
      </c>
      <c r="C83" s="354">
        <f>+B83*$J$59</f>
        <v>23343.260000000002</v>
      </c>
      <c r="D83" s="354">
        <f>+Lonestar!D50</f>
        <v>19943.240000000002</v>
      </c>
      <c r="E83" s="354">
        <f>+C83-D83</f>
        <v>3400.0200000000004</v>
      </c>
      <c r="F83" s="371">
        <f>+Lonestar!A43</f>
        <v>37256</v>
      </c>
      <c r="H83" s="32" t="s">
        <v>102</v>
      </c>
      <c r="I83" s="32"/>
      <c r="J83" s="32"/>
      <c r="K83" s="32"/>
    </row>
    <row r="84" spans="1:12" x14ac:dyDescent="0.2">
      <c r="A84" s="2" t="s">
        <v>160</v>
      </c>
      <c r="B84" s="396">
        <f>SUBTOTAL(9,B80:B83)</f>
        <v>133966</v>
      </c>
      <c r="C84" s="395">
        <f>SUBTOTAL(9,C80:C83)</f>
        <v>322733.06</v>
      </c>
      <c r="D84" s="395">
        <f>SUBTOTAL(9,D80:D83)</f>
        <v>863059.29</v>
      </c>
      <c r="E84" s="395">
        <f>SUBTOTAL(9,E80:E83)</f>
        <v>-540326.23</v>
      </c>
      <c r="F84" s="371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165</v>
      </c>
      <c r="B86" s="396">
        <f>SUBTOTAL(9,B66:B83)</f>
        <v>496038</v>
      </c>
      <c r="C86" s="395">
        <f>SUBTOTAL(9,C66:C83)</f>
        <v>1190116.8299999998</v>
      </c>
      <c r="D86" s="395">
        <f>SUBTOTAL(9,D66:D83)</f>
        <v>-630527.30000000005</v>
      </c>
      <c r="E86" s="395">
        <f>SUBTOTAL(9,E66:E83)</f>
        <v>1820644.1300000004</v>
      </c>
      <c r="F86" s="371"/>
      <c r="H86" s="32"/>
      <c r="I86" s="32"/>
      <c r="J86" s="32"/>
      <c r="K86" s="32"/>
    </row>
    <row r="87" spans="1:12" x14ac:dyDescent="0.2">
      <c r="A87" s="32"/>
      <c r="B87" s="351"/>
      <c r="C87" s="376"/>
      <c r="D87" s="351"/>
      <c r="E87" s="351"/>
      <c r="F87" s="371"/>
      <c r="H87" s="32"/>
      <c r="I87" s="32"/>
      <c r="J87" s="32"/>
      <c r="K87" s="32"/>
    </row>
    <row r="88" spans="1:12" x14ac:dyDescent="0.2">
      <c r="A88" s="32"/>
      <c r="B88" s="354"/>
      <c r="C88" s="375"/>
      <c r="D88" s="293"/>
      <c r="E88" s="293"/>
      <c r="F88" s="371"/>
      <c r="G88" s="32"/>
      <c r="I88" s="32"/>
      <c r="J88" s="32"/>
      <c r="K88" s="32"/>
      <c r="L88" s="32"/>
    </row>
    <row r="89" spans="1:12" ht="13.5" thickBot="1" x14ac:dyDescent="0.25">
      <c r="A89" s="2" t="s">
        <v>167</v>
      </c>
      <c r="B89" s="404">
        <f>+C86+B51</f>
        <v>3041374.4699999997</v>
      </c>
      <c r="C89" s="206"/>
      <c r="D89" s="351"/>
      <c r="E89" s="351"/>
      <c r="F89" s="358"/>
      <c r="H89" s="32"/>
      <c r="I89" s="32"/>
      <c r="J89" s="32"/>
      <c r="K89" s="32"/>
    </row>
    <row r="90" spans="1:12" ht="13.5" thickTop="1" x14ac:dyDescent="0.2">
      <c r="A90" s="2" t="s">
        <v>168</v>
      </c>
      <c r="B90" s="14">
        <f>+B86+C51</f>
        <v>1270073.766307442</v>
      </c>
      <c r="C90" s="378"/>
      <c r="D90" s="430"/>
      <c r="E90" s="293"/>
      <c r="F90" s="358"/>
      <c r="G90" s="32"/>
      <c r="H90" s="32"/>
      <c r="I90" s="32"/>
      <c r="J90" s="32"/>
    </row>
    <row r="91" spans="1:12" x14ac:dyDescent="0.2">
      <c r="A91" s="32"/>
      <c r="B91" s="47"/>
      <c r="C91" s="380"/>
      <c r="D91" s="293"/>
      <c r="E91" s="293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4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9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">
      <c r="A129" s="32"/>
      <c r="B129" s="47"/>
      <c r="D129" s="32"/>
      <c r="E129" s="32"/>
      <c r="F129" s="32"/>
      <c r="G129" s="32"/>
      <c r="H129" s="32"/>
    </row>
    <row r="130" spans="1:8" x14ac:dyDescent="0.2">
      <c r="A130" s="32"/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30" workbookViewId="0">
      <selection activeCell="C29" sqref="C29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184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10</v>
      </c>
      <c r="B5" s="437" t="s">
        <v>19</v>
      </c>
      <c r="C5" s="437" t="s">
        <v>20</v>
      </c>
      <c r="D5" s="43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8">
        <v>1</v>
      </c>
      <c r="B6" s="419">
        <v>152595</v>
      </c>
      <c r="C6" s="419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8">
        <v>2</v>
      </c>
      <c r="B7" s="445">
        <v>151711</v>
      </c>
      <c r="C7" s="419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8">
        <v>3</v>
      </c>
      <c r="B8" s="445">
        <v>130476</v>
      </c>
      <c r="C8" s="419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8">
        <v>4</v>
      </c>
      <c r="B9" s="445"/>
      <c r="C9" s="419"/>
      <c r="D9" s="310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8">
        <v>5</v>
      </c>
      <c r="B10" s="445"/>
      <c r="C10" s="419"/>
      <c r="D10" s="310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8">
        <v>6</v>
      </c>
      <c r="B11" s="445"/>
      <c r="C11" s="419"/>
      <c r="D11" s="310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8">
        <v>7</v>
      </c>
      <c r="B12" s="445"/>
      <c r="C12" s="419"/>
      <c r="D12" s="310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8">
        <v>8</v>
      </c>
      <c r="B13" s="419"/>
      <c r="C13" s="419"/>
      <c r="D13" s="310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8">
        <v>9</v>
      </c>
      <c r="B14" s="419"/>
      <c r="C14" s="419"/>
      <c r="D14" s="310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8">
        <v>10</v>
      </c>
      <c r="B15" s="419"/>
      <c r="C15" s="419"/>
      <c r="D15" s="310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8">
        <v>11</v>
      </c>
      <c r="B16" s="419"/>
      <c r="C16" s="419"/>
      <c r="D16" s="310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8">
        <v>12</v>
      </c>
      <c r="B17" s="419"/>
      <c r="C17" s="419"/>
      <c r="D17" s="310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8">
        <v>13</v>
      </c>
      <c r="B18" s="419"/>
      <c r="C18" s="419"/>
      <c r="D18" s="310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8">
        <v>14</v>
      </c>
      <c r="B19" s="419"/>
      <c r="C19" s="419"/>
      <c r="D19" s="310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8">
        <v>15</v>
      </c>
      <c r="B20" s="419"/>
      <c r="C20" s="419"/>
      <c r="D20" s="310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8">
        <v>16</v>
      </c>
      <c r="B21" s="419"/>
      <c r="C21" s="419"/>
      <c r="D21" s="310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8">
        <v>17</v>
      </c>
      <c r="B22" s="445"/>
      <c r="C22" s="419"/>
      <c r="D22" s="310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8">
        <v>18</v>
      </c>
      <c r="B23" s="445"/>
      <c r="C23" s="419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8">
        <v>19</v>
      </c>
      <c r="B24" s="445"/>
      <c r="C24" s="445"/>
      <c r="D24" s="495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8">
        <v>20</v>
      </c>
      <c r="B25" s="445"/>
      <c r="C25" s="445"/>
      <c r="D25" s="495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8">
        <v>21</v>
      </c>
      <c r="B26" s="445"/>
      <c r="C26" s="445"/>
      <c r="D26" s="495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8">
        <v>22</v>
      </c>
      <c r="B27" s="445"/>
      <c r="C27" s="445"/>
      <c r="D27" s="495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8">
        <v>23</v>
      </c>
      <c r="B28" s="445"/>
      <c r="C28" s="445"/>
      <c r="D28" s="495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8">
        <v>24</v>
      </c>
      <c r="B29" s="445"/>
      <c r="C29" s="445"/>
      <c r="D29" s="495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8">
        <v>25</v>
      </c>
      <c r="B30" s="445"/>
      <c r="C30" s="445"/>
      <c r="D30" s="495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8">
        <v>26</v>
      </c>
      <c r="B31" s="419"/>
      <c r="C31" s="419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8">
        <v>27</v>
      </c>
      <c r="B32" s="419"/>
      <c r="C32" s="419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8">
        <v>28</v>
      </c>
      <c r="B33" s="419"/>
      <c r="C33" s="419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8">
        <v>29</v>
      </c>
      <c r="B34" s="419"/>
      <c r="C34" s="419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8">
        <v>30</v>
      </c>
      <c r="B35" s="419"/>
      <c r="C35" s="419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8">
        <v>31</v>
      </c>
      <c r="B36" s="419"/>
      <c r="C36" s="419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8"/>
      <c r="B37" s="419">
        <f>SUM(B6:B36)</f>
        <v>434782</v>
      </c>
      <c r="C37" s="419">
        <f>SUM(C6:C36)</f>
        <v>429645</v>
      </c>
      <c r="D37" s="419">
        <f>SUM(D6:D36)</f>
        <v>-5137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9"/>
      <c r="B38" s="285"/>
      <c r="C38" s="44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43"/>
      <c r="D39" s="508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37259</v>
      </c>
      <c r="B40" s="285"/>
      <c r="C40" s="444"/>
      <c r="D40" s="310">
        <f>+D39+D37</f>
        <v>-35347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509">
        <v>272582</v>
      </c>
      <c r="H45">
        <v>12</v>
      </c>
    </row>
    <row r="46" spans="1:16" x14ac:dyDescent="0.2">
      <c r="A46" s="49">
        <f>+A40</f>
        <v>37259</v>
      </c>
      <c r="B46" s="32"/>
      <c r="C46" s="32"/>
      <c r="D46" s="382">
        <f>+D37*'by type_area'!J3</f>
        <v>-12123.32</v>
      </c>
      <c r="H46">
        <v>500</v>
      </c>
    </row>
    <row r="47" spans="1:16" x14ac:dyDescent="0.2">
      <c r="A47" s="32"/>
      <c r="B47" s="32"/>
      <c r="C47" s="32"/>
      <c r="D47" s="200">
        <f>+D46+D45</f>
        <v>260458.68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C30" sqref="C30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51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-201184</v>
      </c>
      <c r="C36" s="24">
        <f>SUM(C5:C35)</f>
        <v>-200705</v>
      </c>
      <c r="D36" s="24">
        <f t="shared" si="0"/>
        <v>479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+summary!H5</f>
        <v>2.41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1154.3900000000001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37256</v>
      </c>
      <c r="B39"/>
      <c r="C39" s="15"/>
      <c r="D39" s="516">
        <v>-33834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37259</v>
      </c>
      <c r="B40"/>
      <c r="C40" s="48"/>
      <c r="D40" s="138">
        <f>+D39+D38</f>
        <v>-32679.61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37256</v>
      </c>
      <c r="B45" s="32"/>
      <c r="C45" s="32"/>
      <c r="D45" s="506">
        <v>-18444</v>
      </c>
    </row>
    <row r="46" spans="1:65" x14ac:dyDescent="0.2">
      <c r="A46" s="49">
        <f>+A40</f>
        <v>37259</v>
      </c>
      <c r="B46" s="32"/>
      <c r="C46" s="32"/>
      <c r="D46" s="355">
        <f>+D36</f>
        <v>479</v>
      </c>
    </row>
    <row r="47" spans="1:65" x14ac:dyDescent="0.2">
      <c r="A47" s="32"/>
      <c r="B47" s="32"/>
      <c r="C47" s="32"/>
      <c r="D47" s="14">
        <f>+D46+D45</f>
        <v>-17965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3" workbookViewId="0">
      <selection activeCell="A23" sqref="A23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95944</v>
      </c>
      <c r="C5" s="90">
        <v>100316</v>
      </c>
      <c r="D5" s="90">
        <f>+C5-B5</f>
        <v>4372</v>
      </c>
      <c r="E5" s="275"/>
      <c r="F5" s="273"/>
    </row>
    <row r="6" spans="1:13" x14ac:dyDescent="0.2">
      <c r="A6" s="87">
        <v>78311</v>
      </c>
      <c r="B6" s="90">
        <f>13445+11437</f>
        <v>24882</v>
      </c>
      <c r="C6" s="90">
        <v>16100</v>
      </c>
      <c r="D6" s="90">
        <f t="shared" ref="D6:D17" si="0">+C6-B6</f>
        <v>-8782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88432</v>
      </c>
      <c r="C7" s="90">
        <v>104396</v>
      </c>
      <c r="D7" s="90">
        <f t="shared" si="0"/>
        <v>15964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117447</v>
      </c>
      <c r="C8" s="90">
        <v>86521</v>
      </c>
      <c r="D8" s="90">
        <f t="shared" si="0"/>
        <v>-30926</v>
      </c>
      <c r="E8" s="464"/>
      <c r="F8" s="273"/>
    </row>
    <row r="9" spans="1:13" x14ac:dyDescent="0.2">
      <c r="A9" s="87">
        <v>500293</v>
      </c>
      <c r="B9" s="90">
        <v>56691</v>
      </c>
      <c r="C9" s="90">
        <v>54263</v>
      </c>
      <c r="D9" s="90">
        <f t="shared" si="0"/>
        <v>-2428</v>
      </c>
      <c r="E9" s="275"/>
      <c r="F9" s="273"/>
    </row>
    <row r="10" spans="1:13" x14ac:dyDescent="0.2">
      <c r="A10" s="87">
        <v>500302</v>
      </c>
      <c r="B10" s="90"/>
      <c r="C10" s="90">
        <v>828</v>
      </c>
      <c r="D10" s="90">
        <f t="shared" si="0"/>
        <v>828</v>
      </c>
      <c r="E10" s="275"/>
      <c r="F10" s="273"/>
    </row>
    <row r="11" spans="1:13" x14ac:dyDescent="0.2">
      <c r="A11" s="87">
        <v>500303</v>
      </c>
      <c r="B11" s="90"/>
      <c r="C11" s="90">
        <v>18551</v>
      </c>
      <c r="D11" s="90">
        <f t="shared" si="0"/>
        <v>18551</v>
      </c>
      <c r="E11" s="275"/>
      <c r="F11" s="273"/>
    </row>
    <row r="12" spans="1:13" x14ac:dyDescent="0.2">
      <c r="A12" s="91">
        <v>500305</v>
      </c>
      <c r="B12" s="90">
        <v>150469</v>
      </c>
      <c r="C12" s="90">
        <v>153380</v>
      </c>
      <c r="D12" s="90">
        <f t="shared" si="0"/>
        <v>2911</v>
      </c>
      <c r="E12" s="276"/>
      <c r="F12" s="273"/>
    </row>
    <row r="13" spans="1:13" x14ac:dyDescent="0.2">
      <c r="A13" s="87">
        <v>500307</v>
      </c>
      <c r="B13" s="90">
        <v>10603</v>
      </c>
      <c r="C13" s="90">
        <v>6384</v>
      </c>
      <c r="D13" s="90">
        <f t="shared" si="0"/>
        <v>-4219</v>
      </c>
      <c r="E13" s="275"/>
      <c r="F13" s="273"/>
    </row>
    <row r="14" spans="1:13" x14ac:dyDescent="0.2">
      <c r="A14" s="87">
        <v>500313</v>
      </c>
      <c r="B14" s="90"/>
      <c r="C14" s="90">
        <v>303</v>
      </c>
      <c r="D14" s="90">
        <f t="shared" si="0"/>
        <v>303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f>12858+5800</f>
        <v>18658</v>
      </c>
      <c r="C16" s="90"/>
      <c r="D16" s="90">
        <f t="shared" si="0"/>
        <v>-18658</v>
      </c>
      <c r="E16" s="275"/>
      <c r="F16" s="273"/>
    </row>
    <row r="17" spans="1:6" x14ac:dyDescent="0.2">
      <c r="A17" s="87">
        <v>500657</v>
      </c>
      <c r="B17" s="88">
        <f>11547+5747</f>
        <v>17294</v>
      </c>
      <c r="C17" s="88">
        <v>20988</v>
      </c>
      <c r="D17" s="94">
        <f t="shared" si="0"/>
        <v>3694</v>
      </c>
      <c r="E17" s="275"/>
      <c r="F17" s="273"/>
    </row>
    <row r="18" spans="1:6" x14ac:dyDescent="0.2">
      <c r="A18" s="87"/>
      <c r="B18" s="88"/>
      <c r="C18" s="88"/>
      <c r="D18" s="88">
        <f>SUM(D5:D17)</f>
        <v>-18390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+summary!H5</f>
        <v>2.41</v>
      </c>
      <c r="E19" s="277"/>
      <c r="F19" s="273"/>
    </row>
    <row r="20" spans="1:6" x14ac:dyDescent="0.2">
      <c r="A20" s="87"/>
      <c r="B20" s="88"/>
      <c r="C20" s="88"/>
      <c r="D20" s="96">
        <f>+D19*D18</f>
        <v>-44319.9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13">
        <v>68958.7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37259</v>
      </c>
      <c r="B24" s="88"/>
      <c r="C24" s="88"/>
      <c r="D24" s="321">
        <f>+D22+D20</f>
        <v>24638.799999999996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8"/>
    </row>
    <row r="29" spans="1:6" x14ac:dyDescent="0.2">
      <c r="A29" s="49">
        <f>+A22</f>
        <v>37256</v>
      </c>
      <c r="B29" s="32"/>
      <c r="C29" s="32"/>
      <c r="D29" s="506">
        <v>44250</v>
      </c>
    </row>
    <row r="30" spans="1:6" x14ac:dyDescent="0.2">
      <c r="A30" s="49">
        <f>+A24</f>
        <v>37259</v>
      </c>
      <c r="B30" s="32"/>
      <c r="C30" s="32"/>
      <c r="D30" s="355">
        <f>+D18</f>
        <v>-18390</v>
      </c>
    </row>
    <row r="31" spans="1:6" x14ac:dyDescent="0.2">
      <c r="A31" s="32"/>
      <c r="B31" s="32"/>
      <c r="C31" s="32"/>
      <c r="D31" s="14">
        <f>+D30+D29</f>
        <v>25860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36" sqref="C3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4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4" t="s">
        <v>39</v>
      </c>
      <c r="I3" s="4" t="s">
        <v>19</v>
      </c>
      <c r="J3" s="4" t="s">
        <v>20</v>
      </c>
      <c r="K3" s="41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4"/>
      <c r="I4" s="14"/>
      <c r="J4" s="14"/>
      <c r="K4" s="14">
        <f t="shared" ref="K4:K9" si="0">+J4-I4</f>
        <v>0</v>
      </c>
      <c r="L4" s="366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/>
      <c r="C7" s="11"/>
      <c r="D7" s="11"/>
      <c r="E7" s="11"/>
      <c r="F7" s="25">
        <f t="shared" si="2"/>
        <v>0</v>
      </c>
      <c r="G7" s="25"/>
      <c r="H7" s="41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1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1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14"/>
      <c r="I10" s="14"/>
      <c r="J10" s="14"/>
      <c r="K10" s="14"/>
      <c r="L10" s="366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14"/>
      <c r="I11" s="14"/>
      <c r="J11" s="14"/>
      <c r="K11" s="15"/>
      <c r="L11" s="366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14"/>
      <c r="I12" s="24"/>
      <c r="J12" s="24"/>
      <c r="K12" s="110"/>
      <c r="L12" s="416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16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112265</v>
      </c>
      <c r="C35" s="11">
        <f>SUM(C4:C34)</f>
        <v>107574</v>
      </c>
      <c r="D35" s="11">
        <f>SUM(D4:D34)</f>
        <v>93896</v>
      </c>
      <c r="E35" s="11">
        <f>SUM(E4:E34)</f>
        <v>96000</v>
      </c>
      <c r="F35" s="11">
        <f>+E35-D35+C35-B35</f>
        <v>-2587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12">
        <f>+summary!H4</f>
        <v>2.39</v>
      </c>
    </row>
    <row r="38" spans="1:7" x14ac:dyDescent="0.2">
      <c r="C38" s="48"/>
      <c r="D38" s="47"/>
      <c r="E38" s="48"/>
      <c r="F38" s="46">
        <f>+F37*F35</f>
        <v>-6182.93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70"/>
      <c r="D40" s="111"/>
      <c r="E40" s="470"/>
      <c r="F40" s="510">
        <v>460431.19</v>
      </c>
      <c r="G40" s="25"/>
    </row>
    <row r="41" spans="1:7" x14ac:dyDescent="0.2">
      <c r="A41" s="57">
        <v>37259</v>
      </c>
      <c r="C41" s="106"/>
      <c r="D41" s="106"/>
      <c r="E41" s="106"/>
      <c r="F41" s="106">
        <f>+F38+F40</f>
        <v>454248.26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11">
        <v>41311</v>
      </c>
      <c r="E46" s="11"/>
      <c r="F46" s="11"/>
      <c r="G46" s="25"/>
    </row>
    <row r="47" spans="1:7" x14ac:dyDescent="0.2">
      <c r="A47" s="49">
        <f>+A41</f>
        <v>37259</v>
      </c>
      <c r="D47" s="355">
        <f>+F35</f>
        <v>-2587</v>
      </c>
      <c r="E47" s="11"/>
      <c r="F47" s="11"/>
      <c r="G47" s="25"/>
    </row>
    <row r="48" spans="1:7" x14ac:dyDescent="0.2">
      <c r="D48" s="14">
        <f>+D47+D46</f>
        <v>38724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31" sqref="C31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179049</v>
      </c>
      <c r="D6" s="11"/>
      <c r="E6" s="11">
        <v>-643</v>
      </c>
      <c r="F6" s="11">
        <f t="shared" ref="F6:F35" si="2">+C6+E6-B6-D6</f>
        <v>-643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/>
      <c r="C8" s="11"/>
      <c r="D8" s="11"/>
      <c r="E8" s="11"/>
      <c r="F8" s="11">
        <f t="shared" si="2"/>
        <v>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558372</v>
      </c>
      <c r="C36" s="11">
        <f>SUM(C5:C35)</f>
        <v>558254</v>
      </c>
      <c r="D36" s="11">
        <f>SUM(D5:D35)</f>
        <v>0</v>
      </c>
      <c r="E36" s="11">
        <f>SUM(E5:E35)</f>
        <v>-1684</v>
      </c>
      <c r="F36" s="11">
        <f>SUM(F5:F35)</f>
        <v>-1802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36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37259</v>
      </c>
      <c r="F41" s="336">
        <f>+F39+F36</f>
        <v>-24191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99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37259</v>
      </c>
      <c r="C48" s="32"/>
      <c r="D48" s="32"/>
      <c r="E48" s="382">
        <f>+F36*'by type_area'!J3</f>
        <v>-4252.7199999999993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-511860.72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4" workbookViewId="0">
      <selection activeCell="B31" sqref="B31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/>
      <c r="C8" s="11"/>
      <c r="D8" s="11">
        <f>+C8-B8</f>
        <v>0</v>
      </c>
      <c r="E8" s="10"/>
      <c r="F8" s="11"/>
      <c r="G8" s="11"/>
      <c r="H8" s="11"/>
    </row>
    <row r="9" spans="1:8" x14ac:dyDescent="0.2">
      <c r="A9" s="10">
        <v>2</v>
      </c>
      <c r="B9" s="11"/>
      <c r="C9" s="11"/>
      <c r="D9" s="11">
        <f t="shared" ref="D9:D38" si="0">+C9-B9</f>
        <v>0</v>
      </c>
      <c r="E9" s="10"/>
      <c r="F9" s="11"/>
      <c r="G9" s="11"/>
      <c r="H9" s="11"/>
    </row>
    <row r="10" spans="1:8" x14ac:dyDescent="0.2">
      <c r="A10" s="10">
        <v>3</v>
      </c>
      <c r="B10" s="11"/>
      <c r="C10" s="11"/>
      <c r="D10" s="11">
        <f t="shared" si="0"/>
        <v>0</v>
      </c>
      <c r="E10" s="10"/>
      <c r="F10" s="11"/>
      <c r="G10" s="11"/>
      <c r="H10" s="11"/>
    </row>
    <row r="11" spans="1:8" x14ac:dyDescent="0.2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0"/>
      <c r="F39" s="11"/>
      <c r="G39" s="11"/>
      <c r="H39" s="11"/>
    </row>
    <row r="40" spans="1:8" x14ac:dyDescent="0.2">
      <c r="A40" s="26"/>
      <c r="D40" s="75">
        <f>+summary!H4</f>
        <v>2.39</v>
      </c>
      <c r="E40" s="26"/>
      <c r="H40" s="75"/>
    </row>
    <row r="41" spans="1:8" x14ac:dyDescent="0.2">
      <c r="D41" s="195">
        <f>+D40*D39</f>
        <v>0</v>
      </c>
      <c r="F41" s="247"/>
      <c r="H41" s="195"/>
    </row>
    <row r="42" spans="1:8" x14ac:dyDescent="0.2">
      <c r="A42" s="57">
        <v>37256</v>
      </c>
      <c r="D42" s="526">
        <v>12821</v>
      </c>
      <c r="E42" s="57"/>
      <c r="H42" s="195"/>
    </row>
    <row r="43" spans="1:8" x14ac:dyDescent="0.2">
      <c r="A43" s="57">
        <v>37256</v>
      </c>
      <c r="D43" s="196">
        <f>+D42+D41</f>
        <v>12821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06">
        <v>-49782</v>
      </c>
    </row>
    <row r="49" spans="1:4" x14ac:dyDescent="0.2">
      <c r="A49" s="49">
        <f>+A43</f>
        <v>37256</v>
      </c>
      <c r="B49" s="32"/>
      <c r="C49" s="32"/>
      <c r="D49" s="355">
        <f>+D39</f>
        <v>0</v>
      </c>
    </row>
    <row r="50" spans="1:4" x14ac:dyDescent="0.2">
      <c r="A50" s="32"/>
      <c r="B50" s="32"/>
      <c r="C50" s="32"/>
      <c r="D50" s="14">
        <f>+D49+D48</f>
        <v>-49782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35" workbookViewId="0">
      <selection activeCell="B45" sqref="B44:B45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18">
        <v>1537446.14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253</v>
      </c>
      <c r="J6" s="15"/>
    </row>
    <row r="7" spans="1:14" x14ac:dyDescent="0.2">
      <c r="A7" s="57">
        <v>37256</v>
      </c>
      <c r="I7" s="3" t="s">
        <v>260</v>
      </c>
      <c r="J7" s="15"/>
    </row>
    <row r="8" spans="1:14" x14ac:dyDescent="0.2">
      <c r="A8" s="248">
        <v>50895</v>
      </c>
      <c r="B8" s="343"/>
      <c r="J8" s="15"/>
    </row>
    <row r="9" spans="1:14" x14ac:dyDescent="0.2">
      <c r="A9" s="248">
        <v>60874</v>
      </c>
      <c r="B9" s="343"/>
      <c r="J9" s="15"/>
    </row>
    <row r="10" spans="1:14" x14ac:dyDescent="0.2">
      <c r="A10" s="248">
        <v>78169</v>
      </c>
      <c r="B10" s="343"/>
      <c r="I10" s="87" t="s">
        <v>254</v>
      </c>
      <c r="J10" s="494" t="s">
        <v>27</v>
      </c>
      <c r="K10" s="87" t="s">
        <v>255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94">
        <f>+C40</f>
        <v>841974.51</v>
      </c>
      <c r="K11" s="87" t="s">
        <v>256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4">
        <v>275313.71999999997</v>
      </c>
      <c r="K12" s="87" t="s">
        <v>257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/>
      <c r="I13" s="87">
        <v>21665</v>
      </c>
      <c r="J13" s="454">
        <v>73449.16</v>
      </c>
      <c r="K13" s="87" t="s">
        <v>259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/>
      <c r="I14" s="87">
        <v>22664</v>
      </c>
      <c r="J14" s="457">
        <v>23612.35</v>
      </c>
      <c r="K14" s="87" t="s">
        <v>261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/>
      <c r="I15" s="87"/>
      <c r="J15" s="454">
        <f>SUM(J11:J14)</f>
        <v>1214349.74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/>
      <c r="I16" s="87"/>
      <c r="J16" s="454"/>
      <c r="K16" s="87"/>
      <c r="L16" s="87"/>
      <c r="M16" s="87"/>
      <c r="N16" s="87"/>
    </row>
    <row r="17" spans="1:14" x14ac:dyDescent="0.2">
      <c r="A17" s="280">
        <v>500267</v>
      </c>
      <c r="B17" s="344"/>
      <c r="I17" s="87"/>
      <c r="J17" s="454"/>
      <c r="K17" s="87"/>
      <c r="L17" s="87"/>
      <c r="M17" s="87"/>
      <c r="N17" s="87"/>
    </row>
    <row r="18" spans="1:14" x14ac:dyDescent="0.2">
      <c r="B18" s="14">
        <f>SUM(B8:B17)</f>
        <v>0</v>
      </c>
      <c r="I18" s="87"/>
      <c r="J18" s="454"/>
      <c r="K18" s="87"/>
      <c r="L18" s="87"/>
      <c r="M18" s="87"/>
      <c r="N18" s="87"/>
    </row>
    <row r="19" spans="1:14" x14ac:dyDescent="0.2">
      <c r="B19" s="15">
        <f>+summary!H5</f>
        <v>2.41</v>
      </c>
      <c r="C19" s="199">
        <f>+B19*B18</f>
        <v>0</v>
      </c>
      <c r="G19" s="32"/>
      <c r="H19" s="387"/>
      <c r="I19" s="330"/>
      <c r="J19" s="454"/>
      <c r="K19" s="87"/>
      <c r="L19" s="87"/>
      <c r="M19" s="87"/>
      <c r="N19" s="87"/>
    </row>
    <row r="20" spans="1:14" x14ac:dyDescent="0.2">
      <c r="C20" s="324">
        <f>+C19+C5</f>
        <v>1537446.14</v>
      </c>
      <c r="E20" s="15"/>
      <c r="G20" s="32"/>
      <c r="H20" s="387"/>
      <c r="I20" s="330"/>
      <c r="J20" s="454"/>
      <c r="K20" s="87"/>
      <c r="L20" s="87"/>
      <c r="M20" s="87"/>
      <c r="N20" s="87"/>
    </row>
    <row r="21" spans="1:14" x14ac:dyDescent="0.2">
      <c r="E21" s="15"/>
      <c r="G21" s="32"/>
      <c r="H21" s="387"/>
      <c r="I21" s="330"/>
      <c r="J21" s="454"/>
      <c r="K21" s="87"/>
      <c r="L21" s="87"/>
      <c r="M21" s="87"/>
      <c r="N21" s="87"/>
    </row>
    <row r="22" spans="1:14" x14ac:dyDescent="0.2">
      <c r="A22" s="32" t="s">
        <v>86</v>
      </c>
      <c r="G22" s="32"/>
      <c r="H22" s="387"/>
      <c r="I22" s="330"/>
      <c r="J22" s="454"/>
      <c r="K22" s="87"/>
      <c r="L22" s="87"/>
      <c r="M22" s="87"/>
      <c r="N22" s="87"/>
    </row>
    <row r="23" spans="1:14" x14ac:dyDescent="0.2">
      <c r="A23" s="2" t="s">
        <v>73</v>
      </c>
      <c r="G23" s="32"/>
      <c r="H23" s="387"/>
      <c r="I23" s="330"/>
      <c r="J23" s="454"/>
      <c r="K23" s="87"/>
      <c r="L23" s="87"/>
      <c r="M23" s="87"/>
      <c r="N23" s="87"/>
    </row>
    <row r="24" spans="1:14" x14ac:dyDescent="0.2">
      <c r="G24" s="32"/>
      <c r="H24" s="387"/>
      <c r="I24" s="330"/>
      <c r="J24" s="454"/>
      <c r="K24" s="87"/>
      <c r="L24" s="87"/>
      <c r="M24" s="87"/>
      <c r="N24" s="87"/>
    </row>
    <row r="25" spans="1:14" x14ac:dyDescent="0.2">
      <c r="G25" s="32"/>
      <c r="H25" s="387"/>
      <c r="I25" s="330"/>
      <c r="J25" s="454"/>
      <c r="K25" s="87"/>
      <c r="L25" s="87"/>
      <c r="M25" s="87"/>
      <c r="N25" s="87"/>
    </row>
    <row r="26" spans="1:14" x14ac:dyDescent="0.2">
      <c r="A26" s="198">
        <v>37256</v>
      </c>
      <c r="C26" s="518">
        <v>275313.71999999997</v>
      </c>
      <c r="G26" s="32"/>
      <c r="H26" s="15"/>
      <c r="I26" s="330"/>
      <c r="J26" s="454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4"/>
      <c r="K27" s="87"/>
      <c r="L27" s="87"/>
      <c r="M27" s="87"/>
      <c r="N27" s="87"/>
    </row>
    <row r="28" spans="1:14" x14ac:dyDescent="0.2">
      <c r="A28" s="57">
        <v>37256</v>
      </c>
      <c r="G28" s="32"/>
      <c r="H28" s="15"/>
      <c r="I28" s="87"/>
      <c r="J28" s="454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4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4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4"/>
      <c r="K31" s="87"/>
      <c r="L31" s="87"/>
      <c r="M31" s="87"/>
      <c r="N31" s="87"/>
    </row>
    <row r="32" spans="1:14" x14ac:dyDescent="0.2">
      <c r="B32" s="15">
        <f>+summary!H4</f>
        <v>2.39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74</v>
      </c>
      <c r="E38" s="49">
        <f>+A5</f>
        <v>37256</v>
      </c>
      <c r="F38" s="506">
        <v>381295</v>
      </c>
      <c r="G38" s="497">
        <v>117857</v>
      </c>
      <c r="H38" s="506">
        <v>186798</v>
      </c>
      <c r="I38" s="14"/>
    </row>
    <row r="39" spans="1:9" x14ac:dyDescent="0.2">
      <c r="E39" s="49">
        <f>+A7</f>
        <v>37256</v>
      </c>
      <c r="F39" s="355">
        <f>+B18</f>
        <v>0</v>
      </c>
      <c r="G39" s="355">
        <f>+B31</f>
        <v>0</v>
      </c>
      <c r="H39" s="355">
        <f>+B46</f>
        <v>0</v>
      </c>
      <c r="I39" s="14"/>
    </row>
    <row r="40" spans="1:9" x14ac:dyDescent="0.2">
      <c r="A40" s="49">
        <v>37256</v>
      </c>
      <c r="C40" s="518">
        <v>841974.51</v>
      </c>
      <c r="F40" s="14">
        <f>+F39+F38</f>
        <v>381295</v>
      </c>
      <c r="G40" s="14">
        <f>+G39+G38</f>
        <v>117857</v>
      </c>
      <c r="H40" s="14">
        <f>+H39+H38</f>
        <v>186798</v>
      </c>
      <c r="I40" s="14">
        <f>+H40+G40+F40</f>
        <v>685950</v>
      </c>
    </row>
    <row r="41" spans="1:9" x14ac:dyDescent="0.2">
      <c r="G41" s="32"/>
      <c r="H41" s="15"/>
      <c r="I41" s="32"/>
    </row>
    <row r="42" spans="1:9" x14ac:dyDescent="0.2">
      <c r="A42" s="245">
        <v>37256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/>
      <c r="G44" s="32"/>
      <c r="H44" s="388"/>
      <c r="I44" s="14"/>
    </row>
    <row r="45" spans="1:9" x14ac:dyDescent="0.2">
      <c r="A45" s="32">
        <v>500392</v>
      </c>
      <c r="B45" s="250"/>
      <c r="G45" s="32"/>
      <c r="H45" s="388"/>
      <c r="I45" s="14"/>
    </row>
    <row r="46" spans="1:9" x14ac:dyDescent="0.2">
      <c r="B46" s="14">
        <f>SUM(B43:B45)</f>
        <v>0</v>
      </c>
      <c r="G46" s="32"/>
      <c r="H46" s="388"/>
      <c r="I46" s="14"/>
    </row>
    <row r="47" spans="1:9" x14ac:dyDescent="0.2">
      <c r="B47" s="199">
        <f>+summary!H5</f>
        <v>2.41</v>
      </c>
      <c r="C47" s="199">
        <f>+B47*B46</f>
        <v>0</v>
      </c>
      <c r="H47" s="388"/>
      <c r="I47" s="14"/>
    </row>
    <row r="48" spans="1:9" x14ac:dyDescent="0.2">
      <c r="C48" s="324">
        <f>+C47+C40</f>
        <v>841974.51</v>
      </c>
      <c r="E48" s="204"/>
      <c r="H48" s="388"/>
      <c r="I48" s="14"/>
    </row>
    <row r="49" spans="1:9" x14ac:dyDescent="0.2">
      <c r="E49" s="213"/>
      <c r="H49" s="388"/>
      <c r="I49" s="14"/>
    </row>
    <row r="50" spans="1:9" x14ac:dyDescent="0.2">
      <c r="E50" s="204"/>
      <c r="H50" s="388"/>
      <c r="I50" s="14"/>
    </row>
    <row r="51" spans="1:9" x14ac:dyDescent="0.2">
      <c r="C51" s="313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23">
        <v>73445.08</v>
      </c>
      <c r="D53" s="32" t="s">
        <v>119</v>
      </c>
      <c r="E53" s="50"/>
      <c r="H53" s="388">
        <v>21665</v>
      </c>
      <c r="I53" s="14">
        <v>36401</v>
      </c>
    </row>
    <row r="54" spans="1:9" x14ac:dyDescent="0.2">
      <c r="A54" s="32">
        <v>22664</v>
      </c>
      <c r="B54" s="15" t="s">
        <v>137</v>
      </c>
      <c r="C54" s="524">
        <v>23612.35</v>
      </c>
      <c r="D54" s="32" t="s">
        <v>120</v>
      </c>
      <c r="H54" s="388">
        <v>22664</v>
      </c>
      <c r="I54" s="206">
        <v>18932</v>
      </c>
    </row>
    <row r="55" spans="1:9" x14ac:dyDescent="0.2">
      <c r="H55" s="389"/>
      <c r="I55" s="16"/>
    </row>
    <row r="56" spans="1:9" x14ac:dyDescent="0.2">
      <c r="C56" s="429"/>
    </row>
    <row r="57" spans="1:9" x14ac:dyDescent="0.2">
      <c r="C57" s="318">
        <f>+C54+C53+C48+C33+C20</f>
        <v>2751791.8</v>
      </c>
      <c r="I57" s="14">
        <f>SUM(I40:I54)</f>
        <v>741283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9" workbookViewId="0">
      <selection activeCell="E30" sqref="E30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06">
        <v>-183024</v>
      </c>
      <c r="J34" s="506">
        <v>-128596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72456</v>
      </c>
      <c r="E35" s="11">
        <f>SUM(E4:E34)</f>
        <v>72000</v>
      </c>
      <c r="F35" s="11">
        <f>SUM(F4:F34)</f>
        <v>-456</v>
      </c>
      <c r="G35" s="11"/>
      <c r="H35" s="49">
        <f>+A40</f>
        <v>36894</v>
      </c>
      <c r="I35" s="355">
        <f>+C36</f>
        <v>0</v>
      </c>
      <c r="J35" s="355">
        <f>+E36</f>
        <v>-456</v>
      </c>
      <c r="K35" s="206"/>
      <c r="L35" s="14"/>
    </row>
    <row r="36" spans="1:13" x14ac:dyDescent="0.2">
      <c r="C36" s="25">
        <f>+C35-B35</f>
        <v>0</v>
      </c>
      <c r="E36" s="25">
        <f>+E35-D35</f>
        <v>-456</v>
      </c>
      <c r="F36" s="25">
        <f>+E36+C36</f>
        <v>-456</v>
      </c>
      <c r="H36" s="32"/>
      <c r="I36" s="14">
        <f>+I35+I34</f>
        <v>-183024</v>
      </c>
      <c r="J36" s="14">
        <f>+J35+J34</f>
        <v>-129052</v>
      </c>
      <c r="K36" s="14">
        <f>+J36+I36</f>
        <v>-312076</v>
      </c>
      <c r="L36" s="14"/>
    </row>
    <row r="37" spans="1:13" x14ac:dyDescent="0.2">
      <c r="C37" s="316">
        <f>+summary!H5</f>
        <v>2.41</v>
      </c>
      <c r="E37" s="104">
        <f>+C37</f>
        <v>2.41</v>
      </c>
      <c r="F37" s="138">
        <f>+F36*E37</f>
        <v>-1098.96</v>
      </c>
    </row>
    <row r="38" spans="1:13" x14ac:dyDescent="0.2">
      <c r="C38" s="138">
        <f>+C37*C36</f>
        <v>0</v>
      </c>
      <c r="E38" s="136">
        <f>+E37*E36</f>
        <v>-1098.96</v>
      </c>
      <c r="F38" s="138">
        <f>+E38+C38</f>
        <v>-1098.96</v>
      </c>
    </row>
    <row r="39" spans="1:13" x14ac:dyDescent="0.2">
      <c r="A39" s="57">
        <v>37256</v>
      </c>
      <c r="B39" s="2" t="s">
        <v>45</v>
      </c>
      <c r="C39" s="519">
        <v>-1033425</v>
      </c>
      <c r="D39" s="323"/>
      <c r="E39" s="505">
        <v>-571848</v>
      </c>
      <c r="F39" s="322">
        <f>+E39+C39</f>
        <v>-1605273</v>
      </c>
    </row>
    <row r="40" spans="1:13" x14ac:dyDescent="0.2">
      <c r="A40" s="57">
        <v>36894</v>
      </c>
      <c r="B40" s="2" t="s">
        <v>45</v>
      </c>
      <c r="C40" s="317">
        <f>+C39+C38</f>
        <v>-1033425</v>
      </c>
      <c r="D40" s="252"/>
      <c r="E40" s="317">
        <f>+E39+E38</f>
        <v>-572946.96</v>
      </c>
      <c r="F40" s="317">
        <f>+E40+C40</f>
        <v>-1606371.96</v>
      </c>
      <c r="H40" s="131"/>
    </row>
    <row r="41" spans="1:13" x14ac:dyDescent="0.2">
      <c r="C41" s="332"/>
      <c r="D41" s="246"/>
      <c r="E41" s="246"/>
      <c r="H41" s="31">
        <f>+C39+E39+F45+F46+F47+F48</f>
        <v>-2742414.8800000004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66">
        <v>0</v>
      </c>
      <c r="G44" s="249" t="s">
        <v>47</v>
      </c>
      <c r="J44" s="12">
        <v>22864</v>
      </c>
      <c r="K44" s="452"/>
    </row>
    <row r="45" spans="1:13" x14ac:dyDescent="0.2">
      <c r="C45" s="246"/>
      <c r="D45" s="246"/>
      <c r="E45" s="12">
        <v>20379</v>
      </c>
      <c r="F45" s="518">
        <v>-51695.87</v>
      </c>
      <c r="G45" s="249" t="s">
        <v>122</v>
      </c>
      <c r="J45" s="12">
        <v>20379</v>
      </c>
      <c r="K45" s="497">
        <v>2979</v>
      </c>
      <c r="M45" s="14"/>
    </row>
    <row r="46" spans="1:13" x14ac:dyDescent="0.2">
      <c r="C46" s="246"/>
      <c r="D46" s="246"/>
      <c r="E46" s="12">
        <v>26357</v>
      </c>
      <c r="F46" s="517">
        <f>44144.84-58339.66</f>
        <v>-14194.820000000007</v>
      </c>
      <c r="G46" s="249" t="s">
        <v>123</v>
      </c>
      <c r="J46" s="12">
        <v>26357</v>
      </c>
      <c r="K46" s="497">
        <f>26521-24566</f>
        <v>1955</v>
      </c>
    </row>
    <row r="47" spans="1:13" x14ac:dyDescent="0.2">
      <c r="C47" s="246"/>
      <c r="D47" s="246"/>
      <c r="E47" s="12">
        <v>21544</v>
      </c>
      <c r="F47" s="518">
        <v>61340.160000000003</v>
      </c>
      <c r="G47" s="249" t="s">
        <v>124</v>
      </c>
      <c r="J47" s="12">
        <v>21544</v>
      </c>
      <c r="K47" s="497">
        <v>36108</v>
      </c>
    </row>
    <row r="48" spans="1:13" x14ac:dyDescent="0.2">
      <c r="C48" s="246"/>
      <c r="D48" s="246"/>
      <c r="E48" s="12">
        <v>24532</v>
      </c>
      <c r="F48" s="520">
        <v>-1132591.3500000001</v>
      </c>
      <c r="G48" s="249" t="s">
        <v>121</v>
      </c>
      <c r="J48" s="12">
        <v>24532</v>
      </c>
      <c r="K48" s="506">
        <v>-139694</v>
      </c>
    </row>
    <row r="49" spans="3:13" x14ac:dyDescent="0.2">
      <c r="C49" s="246"/>
      <c r="D49" s="246"/>
      <c r="F49" s="333">
        <f>SUM(F40:F48)</f>
        <v>-2743513.8400000003</v>
      </c>
      <c r="G49" s="246"/>
      <c r="K49" s="14">
        <f>SUM(K36:K48)</f>
        <v>-410728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2751791.8</v>
      </c>
      <c r="M51" s="14">
        <f>+Duke!I57</f>
        <v>741283</v>
      </c>
    </row>
    <row r="53" spans="3:13" x14ac:dyDescent="0.2">
      <c r="F53" s="104">
        <f>+F51+F49</f>
        <v>8277.9599999994971</v>
      </c>
      <c r="M53" s="16">
        <f>+M51+K49</f>
        <v>330555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-139694</v>
      </c>
      <c r="C69" s="247">
        <f>+F48</f>
        <v>-1132591.3500000001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-183024</v>
      </c>
      <c r="C73" s="247">
        <f>+C40</f>
        <v>-1033425</v>
      </c>
    </row>
    <row r="74" spans="1:3" x14ac:dyDescent="0.2">
      <c r="A74">
        <v>22051</v>
      </c>
      <c r="B74" s="31">
        <f>+J36</f>
        <v>-129052</v>
      </c>
      <c r="C74" s="247">
        <f>+E40</f>
        <v>-572946.96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186798</v>
      </c>
      <c r="C77" s="259">
        <f>+Duke!C48</f>
        <v>841974.51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381295</v>
      </c>
      <c r="C79" s="259">
        <f>+Duke!C20</f>
        <v>1537446.14</v>
      </c>
    </row>
    <row r="81" spans="2:3" x14ac:dyDescent="0.2">
      <c r="B81" s="31">
        <f>SUM(B68:B80)</f>
        <v>330555</v>
      </c>
      <c r="C81" s="259">
        <f>SUM(C68:C80)</f>
        <v>8277.9599999997299</v>
      </c>
    </row>
    <row r="82" spans="2:3" x14ac:dyDescent="0.2">
      <c r="C82">
        <f>+C81/B81</f>
        <v>2.5042610155646503E-2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C34" sqref="C34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5553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-285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5431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5364</v>
      </c>
      <c r="C10" s="11">
        <v>5741</v>
      </c>
      <c r="D10" s="11">
        <v>761</v>
      </c>
      <c r="E10" s="11">
        <v>1125</v>
      </c>
      <c r="F10" s="129">
        <v>985</v>
      </c>
      <c r="G10" s="11">
        <v>872</v>
      </c>
      <c r="H10" s="11">
        <v>1760</v>
      </c>
      <c r="I10" s="11">
        <v>1123</v>
      </c>
      <c r="J10" s="25">
        <f t="shared" si="0"/>
        <v>-9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29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29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16348</v>
      </c>
      <c r="C39" s="11">
        <f t="shared" si="1"/>
        <v>17223</v>
      </c>
      <c r="D39" s="11">
        <f t="shared" si="1"/>
        <v>2617</v>
      </c>
      <c r="E39" s="11">
        <f t="shared" si="1"/>
        <v>3375</v>
      </c>
      <c r="F39" s="129">
        <f t="shared" si="1"/>
        <v>3078</v>
      </c>
      <c r="G39" s="11">
        <f t="shared" si="1"/>
        <v>2616</v>
      </c>
      <c r="H39" s="11">
        <f t="shared" si="1"/>
        <v>4754</v>
      </c>
      <c r="I39" s="11">
        <f t="shared" si="1"/>
        <v>3369</v>
      </c>
      <c r="J39" s="25">
        <f t="shared" si="1"/>
        <v>-214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+summary!H4</f>
        <v>2.39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-511.46000000000004</v>
      </c>
      <c r="L41"/>
      <c r="R41" s="138"/>
      <c r="X41" s="138"/>
    </row>
    <row r="42" spans="1:24" x14ac:dyDescent="0.2">
      <c r="A42" s="57">
        <v>37256</v>
      </c>
      <c r="C42" s="15"/>
      <c r="J42" s="516">
        <v>401413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37259</v>
      </c>
      <c r="C43" s="48"/>
      <c r="J43" s="138">
        <f>+J42+J41</f>
        <v>400901.54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06">
        <v>164528</v>
      </c>
      <c r="L47"/>
    </row>
    <row r="48" spans="1:24" x14ac:dyDescent="0.2">
      <c r="A48" s="49">
        <f>+A43</f>
        <v>37259</v>
      </c>
      <c r="B48" s="32"/>
      <c r="C48" s="32"/>
      <c r="D48" s="355">
        <f>+J39</f>
        <v>-214</v>
      </c>
      <c r="L48"/>
    </row>
    <row r="49" spans="1:12" x14ac:dyDescent="0.2">
      <c r="A49" s="32"/>
      <c r="B49" s="32"/>
      <c r="C49" s="32"/>
      <c r="D49" s="14">
        <f>+D48+D47</f>
        <v>164314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9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182</v>
      </c>
      <c r="C6" s="285"/>
      <c r="D6" s="34" t="s">
        <v>183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10</v>
      </c>
      <c r="B7" s="437" t="s">
        <v>19</v>
      </c>
      <c r="C7" s="437" t="s">
        <v>20</v>
      </c>
      <c r="D7" s="437" t="s">
        <v>19</v>
      </c>
      <c r="E7" s="437" t="s">
        <v>20</v>
      </c>
      <c r="F7" s="43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8">
        <v>1</v>
      </c>
      <c r="B8" s="419">
        <v>13305</v>
      </c>
      <c r="C8" s="419">
        <v>1998</v>
      </c>
      <c r="D8" s="419">
        <v>-4206</v>
      </c>
      <c r="E8" s="419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8">
        <v>2</v>
      </c>
      <c r="B9" s="419">
        <v>1426</v>
      </c>
      <c r="C9" s="419">
        <v>1998</v>
      </c>
      <c r="D9" s="419">
        <v>-1924</v>
      </c>
      <c r="E9" s="419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8">
        <v>3</v>
      </c>
      <c r="B10" s="419">
        <v>1</v>
      </c>
      <c r="C10" s="419">
        <v>1333</v>
      </c>
      <c r="D10" s="419"/>
      <c r="E10" s="419"/>
      <c r="F10" s="310">
        <f t="shared" si="0"/>
        <v>1332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8">
        <v>4</v>
      </c>
      <c r="B11" s="419"/>
      <c r="C11" s="419"/>
      <c r="D11" s="419"/>
      <c r="E11" s="419"/>
      <c r="F11" s="310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8">
        <v>5</v>
      </c>
      <c r="B12" s="419"/>
      <c r="C12" s="419"/>
      <c r="D12" s="419"/>
      <c r="E12" s="419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8">
        <v>6</v>
      </c>
      <c r="B13" s="419"/>
      <c r="C13" s="419"/>
      <c r="D13" s="419"/>
      <c r="E13" s="419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8">
        <v>7</v>
      </c>
      <c r="B14" s="419"/>
      <c r="C14" s="419"/>
      <c r="D14" s="419"/>
      <c r="E14" s="419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8">
        <v>8</v>
      </c>
      <c r="B15" s="419"/>
      <c r="C15" s="419"/>
      <c r="D15" s="419"/>
      <c r="E15" s="419"/>
      <c r="F15" s="310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8">
        <v>9</v>
      </c>
      <c r="B16" s="419"/>
      <c r="C16" s="419"/>
      <c r="D16" s="419"/>
      <c r="E16" s="419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8">
        <v>10</v>
      </c>
      <c r="B17" s="419"/>
      <c r="C17" s="419"/>
      <c r="D17" s="419"/>
      <c r="E17" s="419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8">
        <v>11</v>
      </c>
      <c r="B18" s="419"/>
      <c r="C18" s="419"/>
      <c r="D18" s="419"/>
      <c r="E18" s="419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8">
        <v>12</v>
      </c>
      <c r="B19" s="419"/>
      <c r="C19" s="419"/>
      <c r="D19" s="419"/>
      <c r="E19" s="419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8">
        <v>13</v>
      </c>
      <c r="B20" s="419"/>
      <c r="C20" s="419"/>
      <c r="D20" s="419"/>
      <c r="E20" s="419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8">
        <v>14</v>
      </c>
      <c r="B21" s="419"/>
      <c r="C21" s="419"/>
      <c r="D21" s="419"/>
      <c r="E21" s="419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8">
        <v>15</v>
      </c>
      <c r="B22" s="419"/>
      <c r="C22" s="419"/>
      <c r="D22" s="419"/>
      <c r="E22" s="419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8">
        <v>16</v>
      </c>
      <c r="B23" s="419"/>
      <c r="C23" s="419"/>
      <c r="D23" s="419"/>
      <c r="E23" s="419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8">
        <v>17</v>
      </c>
      <c r="B24" s="419"/>
      <c r="C24" s="419"/>
      <c r="D24" s="419"/>
      <c r="E24" s="419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8">
        <v>18</v>
      </c>
      <c r="B25" s="419"/>
      <c r="C25" s="419"/>
      <c r="D25" s="419"/>
      <c r="E25" s="419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8">
        <v>19</v>
      </c>
      <c r="B26" s="419"/>
      <c r="C26" s="419"/>
      <c r="D26" s="419"/>
      <c r="E26" s="419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8">
        <v>20</v>
      </c>
      <c r="B27" s="445"/>
      <c r="C27" s="419"/>
      <c r="D27" s="419"/>
      <c r="E27" s="419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8">
        <v>21</v>
      </c>
      <c r="B28" s="419"/>
      <c r="C28" s="419"/>
      <c r="D28" s="419"/>
      <c r="E28" s="419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8">
        <v>22</v>
      </c>
      <c r="B29" s="419"/>
      <c r="C29" s="419"/>
      <c r="D29" s="419"/>
      <c r="E29" s="419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8">
        <v>23</v>
      </c>
      <c r="B30" s="419"/>
      <c r="C30" s="419"/>
      <c r="D30" s="419"/>
      <c r="E30" s="419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8">
        <v>24</v>
      </c>
      <c r="B31" s="419"/>
      <c r="C31" s="419"/>
      <c r="D31" s="419"/>
      <c r="E31" s="419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8">
        <v>25</v>
      </c>
      <c r="B32" s="419"/>
      <c r="C32" s="419"/>
      <c r="D32" s="419"/>
      <c r="E32" s="419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8">
        <v>26</v>
      </c>
      <c r="B33" s="419"/>
      <c r="C33" s="419"/>
      <c r="D33" s="419"/>
      <c r="E33" s="419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8">
        <v>27</v>
      </c>
      <c r="B34" s="419"/>
      <c r="C34" s="419"/>
      <c r="D34" s="419"/>
      <c r="E34" s="419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8">
        <v>28</v>
      </c>
      <c r="B35" s="419"/>
      <c r="C35" s="419"/>
      <c r="D35" s="419"/>
      <c r="E35" s="419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8">
        <v>29</v>
      </c>
      <c r="B36" s="419"/>
      <c r="C36" s="419"/>
      <c r="D36" s="419"/>
      <c r="E36" s="419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8">
        <v>30</v>
      </c>
      <c r="B37" s="419"/>
      <c r="C37" s="419"/>
      <c r="D37" s="419"/>
      <c r="E37" s="419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8">
        <v>31</v>
      </c>
      <c r="B38" s="419"/>
      <c r="C38" s="419"/>
      <c r="D38" s="419"/>
      <c r="E38" s="419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8"/>
      <c r="B39" s="419">
        <f>SUM(B8:B38)</f>
        <v>14732</v>
      </c>
      <c r="C39" s="419">
        <f>SUM(C8:C38)</f>
        <v>5329</v>
      </c>
      <c r="D39" s="419">
        <f>SUM(D8:D38)</f>
        <v>-6130</v>
      </c>
      <c r="E39" s="419">
        <f>SUM(E8:E38)</f>
        <v>0</v>
      </c>
      <c r="F39" s="419">
        <f>SUM(F8:F38)</f>
        <v>-3273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9"/>
      <c r="B40" s="285"/>
      <c r="C40" s="440"/>
      <c r="D40" s="440"/>
      <c r="E40" s="440"/>
      <c r="F40" s="441">
        <f>+summary!H4</f>
        <v>2.39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42">
        <f>+F40*F39</f>
        <v>-7822.47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43"/>
      <c r="D42" s="443"/>
      <c r="E42" s="443"/>
      <c r="F42" s="507">
        <v>183895.58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37259</v>
      </c>
      <c r="B43" s="285"/>
      <c r="C43" s="444"/>
      <c r="D43" s="444"/>
      <c r="E43" s="444"/>
      <c r="F43" s="425">
        <f>+F42+F41</f>
        <v>176073.11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06">
        <v>-353272</v>
      </c>
      <c r="E47" s="11"/>
    </row>
    <row r="48" spans="1:26" x14ac:dyDescent="0.2">
      <c r="A48" s="49">
        <f>+A43</f>
        <v>37259</v>
      </c>
      <c r="B48" s="32"/>
      <c r="C48" s="32"/>
      <c r="D48" s="355">
        <f>+F39</f>
        <v>-3273</v>
      </c>
      <c r="E48" s="11"/>
    </row>
    <row r="49" spans="1:5" x14ac:dyDescent="0.2">
      <c r="A49" s="32"/>
      <c r="B49" s="32"/>
      <c r="C49" s="32"/>
      <c r="D49" s="14">
        <f>+D48+D47</f>
        <v>-356545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workbookViewId="0">
      <selection activeCell="B16" sqref="B16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6" width="12.85546875" bestFit="1" customWidth="1"/>
    <col min="8" max="8" width="9.2851562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479" bestFit="1" customWidth="1"/>
    <col min="14" max="14" width="9" style="64" bestFit="1" customWidth="1"/>
  </cols>
  <sheetData>
    <row r="2" spans="1:32" ht="20.100000000000001" customHeight="1" x14ac:dyDescent="0.25">
      <c r="A2" s="346" t="s">
        <v>140</v>
      </c>
      <c r="G2" s="370" t="s">
        <v>78</v>
      </c>
      <c r="H2" s="350"/>
    </row>
    <row r="3" spans="1:32" ht="15" customHeight="1" x14ac:dyDescent="0.2">
      <c r="G3" s="289" t="s">
        <v>29</v>
      </c>
      <c r="H3" s="349">
        <f>+'[3]1001'!$K$39</f>
        <v>2.36</v>
      </c>
      <c r="I3" s="381">
        <f ca="1">NOW()</f>
        <v>37260.837261805558</v>
      </c>
    </row>
    <row r="4" spans="1:32" ht="15" customHeight="1" x14ac:dyDescent="0.2">
      <c r="A4" s="34" t="s">
        <v>145</v>
      </c>
      <c r="C4" s="34" t="s">
        <v>5</v>
      </c>
      <c r="G4" s="290" t="s">
        <v>30</v>
      </c>
      <c r="H4" s="291">
        <f>+'[3]1001'!$M$39</f>
        <v>2.39</v>
      </c>
    </row>
    <row r="5" spans="1:32" ht="15" customHeight="1" x14ac:dyDescent="0.2">
      <c r="B5" s="348"/>
      <c r="G5" s="289" t="s">
        <v>117</v>
      </c>
      <c r="H5" s="349">
        <f>+'[3]1001'!$E$39</f>
        <v>2.41</v>
      </c>
    </row>
    <row r="6" spans="1:32" ht="12" customHeight="1" x14ac:dyDescent="0.2">
      <c r="C6" s="448"/>
    </row>
    <row r="7" spans="1:32" ht="15" customHeight="1" x14ac:dyDescent="0.2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101</v>
      </c>
      <c r="G7" s="338" t="s">
        <v>98</v>
      </c>
    </row>
    <row r="8" spans="1:32" ht="15" customHeight="1" x14ac:dyDescent="0.2">
      <c r="A8" s="539" t="s">
        <v>251</v>
      </c>
      <c r="B8" s="490">
        <f>+Duke!$C$20</f>
        <v>1537446.14</v>
      </c>
      <c r="C8" s="206">
        <f>+B8/$H$5</f>
        <v>637944.45643153519</v>
      </c>
      <c r="D8" s="371">
        <f>+Duke!A7</f>
        <v>37256</v>
      </c>
      <c r="E8" s="204" t="s">
        <v>85</v>
      </c>
      <c r="F8" s="204" t="s">
        <v>100</v>
      </c>
      <c r="G8" s="204" t="s">
        <v>316</v>
      </c>
      <c r="H8" s="70"/>
      <c r="I8" s="47"/>
      <c r="J8" s="32"/>
      <c r="K8" s="32"/>
      <c r="L8" s="32"/>
      <c r="M8" s="38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539" t="s">
        <v>258</v>
      </c>
      <c r="B9" s="490">
        <f>+Duke!$C$54+Duke!$C$53+Duke!$C$48+Duke!$C$33</f>
        <v>1214345.6599999999</v>
      </c>
      <c r="C9" s="206">
        <f>+B9/$H$5</f>
        <v>503877.86721991695</v>
      </c>
      <c r="D9" s="371">
        <f>+DEFS!A40</f>
        <v>36894</v>
      </c>
      <c r="E9" s="204" t="s">
        <v>85</v>
      </c>
      <c r="F9" s="204" t="s">
        <v>100</v>
      </c>
      <c r="G9" s="204" t="s">
        <v>318</v>
      </c>
      <c r="H9" s="32"/>
      <c r="I9" s="47"/>
      <c r="J9" s="32"/>
      <c r="K9" s="32"/>
      <c r="L9" s="32"/>
      <c r="M9" s="38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48" t="s">
        <v>82</v>
      </c>
      <c r="B10" s="490">
        <f>+PNM!$D$23</f>
        <v>733812.83</v>
      </c>
      <c r="C10" s="275">
        <f>+B10/$H$4</f>
        <v>307034.65690376563</v>
      </c>
      <c r="D10" s="372">
        <f>+PNM!A23</f>
        <v>37259</v>
      </c>
      <c r="E10" s="32" t="s">
        <v>85</v>
      </c>
      <c r="F10" s="32" t="s">
        <v>115</v>
      </c>
      <c r="G10" s="32"/>
      <c r="H10" s="32"/>
      <c r="I10" s="32"/>
      <c r="J10" s="32"/>
      <c r="K10" s="32"/>
      <c r="L10" s="32"/>
      <c r="M10" s="38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48" t="s">
        <v>80</v>
      </c>
      <c r="B11" s="490">
        <f>+Conoco!$F$41</f>
        <v>454248.26</v>
      </c>
      <c r="C11" s="275">
        <f>+B11/$H$4</f>
        <v>190062.03347280333</v>
      </c>
      <c r="D11" s="371">
        <f>+Conoco!A41</f>
        <v>37259</v>
      </c>
      <c r="E11" s="32" t="s">
        <v>85</v>
      </c>
      <c r="F11" s="32" t="s">
        <v>113</v>
      </c>
      <c r="G11" s="32" t="s">
        <v>143</v>
      </c>
      <c r="H11" s="32"/>
      <c r="I11" s="32"/>
      <c r="J11" s="32"/>
      <c r="K11" s="32"/>
      <c r="L11" s="32"/>
      <c r="M11" s="38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48" t="s">
        <v>94</v>
      </c>
      <c r="B12" s="490">
        <f>+C12*$H$4</f>
        <v>446636.03</v>
      </c>
      <c r="C12" s="275">
        <f>+Mojave!D40</f>
        <v>186877</v>
      </c>
      <c r="D12" s="372">
        <f>+Mojave!A40</f>
        <v>37259</v>
      </c>
      <c r="E12" s="32" t="s">
        <v>84</v>
      </c>
      <c r="F12" s="32" t="s">
        <v>100</v>
      </c>
      <c r="G12" s="32"/>
      <c r="H12" s="32"/>
      <c r="I12" s="32"/>
      <c r="J12" s="32"/>
      <c r="K12" s="32"/>
      <c r="L12" s="32"/>
      <c r="M12" s="38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48" t="s">
        <v>2</v>
      </c>
      <c r="B13" s="490">
        <f>+mewborne!$J$43</f>
        <v>400901.54</v>
      </c>
      <c r="C13" s="275">
        <f>+B13/$H$4</f>
        <v>167741.230125523</v>
      </c>
      <c r="D13" s="372">
        <f>+mewborne!A43</f>
        <v>37259</v>
      </c>
      <c r="E13" s="32" t="s">
        <v>85</v>
      </c>
      <c r="F13" s="32" t="s">
        <v>99</v>
      </c>
      <c r="G13" s="32"/>
      <c r="H13" s="32"/>
      <c r="I13" s="32"/>
      <c r="J13" s="32"/>
      <c r="K13" s="32"/>
      <c r="L13" s="32"/>
      <c r="M13" s="38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48" t="s">
        <v>107</v>
      </c>
      <c r="B14" s="490">
        <f>+KN_Westar!F41</f>
        <v>385015.89</v>
      </c>
      <c r="C14" s="275">
        <f>+B14/$H$4</f>
        <v>161094.51464435147</v>
      </c>
      <c r="D14" s="372">
        <f>+KN_Westar!A41</f>
        <v>37256</v>
      </c>
      <c r="E14" s="32" t="s">
        <v>85</v>
      </c>
      <c r="F14" s="32" t="s">
        <v>100</v>
      </c>
      <c r="G14" s="32"/>
      <c r="H14" s="32"/>
      <c r="I14" s="32"/>
      <c r="J14" s="32"/>
      <c r="K14" s="32"/>
      <c r="L14" s="32"/>
      <c r="M14" s="38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539" t="s">
        <v>32</v>
      </c>
      <c r="B15" s="490">
        <f>+C15*$H$4</f>
        <v>285927.65000000002</v>
      </c>
      <c r="C15" s="206">
        <f>+SoCal!F40</f>
        <v>119635</v>
      </c>
      <c r="D15" s="371">
        <f>+SoCal!A40</f>
        <v>37259</v>
      </c>
      <c r="E15" s="204" t="s">
        <v>84</v>
      </c>
      <c r="F15" s="204" t="s">
        <v>102</v>
      </c>
      <c r="G15" s="32"/>
      <c r="H15" s="32"/>
      <c r="I15" s="32"/>
      <c r="J15" s="32"/>
      <c r="K15" s="32"/>
      <c r="L15" s="32"/>
      <c r="M15" s="387">
        <f>+B8+B9+B41</f>
        <v>8277.9599999994971</v>
      </c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248" t="s">
        <v>88</v>
      </c>
      <c r="B16" s="490">
        <f>+C16*$H$5</f>
        <v>284452.3</v>
      </c>
      <c r="C16" s="275">
        <f>+NGPL!F38</f>
        <v>118030</v>
      </c>
      <c r="D16" s="372">
        <f>+NGPL!A38</f>
        <v>37259</v>
      </c>
      <c r="E16" s="204" t="s">
        <v>84</v>
      </c>
      <c r="F16" s="32" t="s">
        <v>115</v>
      </c>
      <c r="G16" s="32"/>
      <c r="H16" s="32"/>
      <c r="I16" s="32"/>
      <c r="J16" s="32"/>
      <c r="K16" s="32"/>
      <c r="L16" s="32"/>
      <c r="M16" s="38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48" t="s">
        <v>208</v>
      </c>
      <c r="B17" s="490">
        <f>+Dominion!D41</f>
        <v>179800.64</v>
      </c>
      <c r="C17" s="275">
        <f>+B17/$H$5</f>
        <v>74606.074688796682</v>
      </c>
      <c r="D17" s="372">
        <f>+Dominion!A41</f>
        <v>37259</v>
      </c>
      <c r="E17" s="32" t="s">
        <v>85</v>
      </c>
      <c r="F17" s="32" t="s">
        <v>99</v>
      </c>
      <c r="G17" s="32"/>
      <c r="H17" s="32"/>
      <c r="I17" s="32"/>
      <c r="J17" s="32"/>
      <c r="K17" s="32"/>
      <c r="L17" s="32"/>
      <c r="M17" s="38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539" t="s">
        <v>127</v>
      </c>
      <c r="B18" s="490">
        <f>+Calpine!D41</f>
        <v>178743.41</v>
      </c>
      <c r="C18" s="206">
        <f>+B18/$H$4</f>
        <v>74788.037656903762</v>
      </c>
      <c r="D18" s="371">
        <f>+Calpine!A41</f>
        <v>37259</v>
      </c>
      <c r="E18" s="204" t="s">
        <v>85</v>
      </c>
      <c r="F18" s="204" t="s">
        <v>99</v>
      </c>
      <c r="G18" s="204"/>
      <c r="H18" s="32"/>
      <c r="I18" s="32"/>
      <c r="J18" s="32"/>
      <c r="K18" s="32"/>
      <c r="L18" s="32"/>
      <c r="M18" s="38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48" t="s">
        <v>3</v>
      </c>
      <c r="B19" s="490">
        <f>+'Amoco Abo'!$F$43</f>
        <v>176073.11</v>
      </c>
      <c r="C19" s="275">
        <f>+B19/$H$4</f>
        <v>73670.757322175719</v>
      </c>
      <c r="D19" s="372">
        <f>+'Amoco Abo'!A43</f>
        <v>37259</v>
      </c>
      <c r="E19" s="32" t="s">
        <v>85</v>
      </c>
      <c r="F19" s="32" t="s">
        <v>115</v>
      </c>
      <c r="G19" s="32"/>
      <c r="H19" s="32"/>
      <c r="I19" s="32"/>
      <c r="J19" s="32"/>
      <c r="K19" s="32"/>
      <c r="L19" s="32"/>
      <c r="M19" s="38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48" t="s">
        <v>211</v>
      </c>
      <c r="B20" s="490">
        <f>+Devon!D41</f>
        <v>163700</v>
      </c>
      <c r="C20" s="275">
        <f>+B20/$H$5</f>
        <v>67925.311203319492</v>
      </c>
      <c r="D20" s="372">
        <f>+Devon!A41</f>
        <v>37259</v>
      </c>
      <c r="E20" s="32" t="s">
        <v>85</v>
      </c>
      <c r="F20" s="32" t="s">
        <v>99</v>
      </c>
      <c r="G20" s="32"/>
      <c r="H20" s="32"/>
      <c r="I20" s="32"/>
      <c r="J20" s="32"/>
      <c r="K20" s="32"/>
      <c r="L20" s="32"/>
      <c r="M20" s="38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48" t="s">
        <v>114</v>
      </c>
      <c r="B21" s="490">
        <f>+C21*$H$4</f>
        <v>141289.63</v>
      </c>
      <c r="C21" s="206">
        <f>+'PG&amp;E'!D40</f>
        <v>59117</v>
      </c>
      <c r="D21" s="372">
        <f>+'PG&amp;E'!A40</f>
        <v>36894</v>
      </c>
      <c r="E21" s="32" t="s">
        <v>84</v>
      </c>
      <c r="F21" s="32" t="s">
        <v>102</v>
      </c>
      <c r="G21" s="32"/>
      <c r="H21" s="32"/>
      <c r="I21" s="32"/>
      <c r="J21" s="32"/>
      <c r="K21" s="32"/>
      <c r="L21" s="32" t="s">
        <v>245</v>
      </c>
      <c r="M21" s="387">
        <v>23995</v>
      </c>
      <c r="N21" s="70">
        <v>-1023166</v>
      </c>
      <c r="O21" s="32" t="s">
        <v>247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48" t="s">
        <v>219</v>
      </c>
      <c r="B22" s="490">
        <f>+Amarillo!P41</f>
        <v>114931.95</v>
      </c>
      <c r="C22" s="275">
        <f>+B22/$H$4</f>
        <v>48088.682008368196</v>
      </c>
      <c r="D22" s="372">
        <f>+Amarillo!A41</f>
        <v>37259</v>
      </c>
      <c r="E22" s="32" t="s">
        <v>85</v>
      </c>
      <c r="F22" s="32" t="s">
        <v>113</v>
      </c>
      <c r="G22" s="32"/>
      <c r="H22" s="32"/>
      <c r="I22" s="32"/>
      <c r="J22" s="32"/>
      <c r="K22" s="32"/>
      <c r="L22" s="32" t="s">
        <v>245</v>
      </c>
      <c r="M22" s="387">
        <v>22051</v>
      </c>
      <c r="N22" s="70">
        <v>-527215</v>
      </c>
      <c r="O22" s="32" t="s">
        <v>248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48" t="s">
        <v>129</v>
      </c>
      <c r="B23" s="490">
        <f>+EPFS!D41</f>
        <v>84406.32</v>
      </c>
      <c r="C23" s="206">
        <f>+B23/$H$5</f>
        <v>35023.369294605807</v>
      </c>
      <c r="D23" s="371">
        <f>+EPFS!A41</f>
        <v>37259</v>
      </c>
      <c r="E23" s="32" t="s">
        <v>85</v>
      </c>
      <c r="F23" s="32" t="s">
        <v>102</v>
      </c>
      <c r="G23" s="32"/>
      <c r="H23" s="32"/>
      <c r="I23" s="32"/>
      <c r="J23" s="32"/>
      <c r="K23" s="32"/>
      <c r="L23" s="32" t="s">
        <v>245</v>
      </c>
      <c r="M23" s="387">
        <v>22864</v>
      </c>
      <c r="N23" s="70">
        <v>-58339.66</v>
      </c>
      <c r="O23" s="32" t="s">
        <v>249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5" customHeight="1" x14ac:dyDescent="0.2">
      <c r="A24" s="539" t="s">
        <v>87</v>
      </c>
      <c r="B24" s="490">
        <f>+NNG!$D$24</f>
        <v>80083.19</v>
      </c>
      <c r="C24" s="275">
        <f>+B24/$H$4</f>
        <v>33507.610878661086</v>
      </c>
      <c r="D24" s="371">
        <f>+NNG!A24</f>
        <v>36894</v>
      </c>
      <c r="E24" s="204" t="s">
        <v>85</v>
      </c>
      <c r="F24" s="204" t="s">
        <v>100</v>
      </c>
      <c r="G24" s="32"/>
      <c r="H24" s="15"/>
      <c r="I24" s="32"/>
      <c r="J24" s="32"/>
      <c r="K24" s="32"/>
      <c r="L24" s="32" t="s">
        <v>245</v>
      </c>
      <c r="M24" s="387">
        <v>20379</v>
      </c>
      <c r="N24" s="70">
        <v>-51695.87</v>
      </c>
      <c r="O24" s="32" t="s">
        <v>249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539" t="s">
        <v>33</v>
      </c>
      <c r="B25" s="490">
        <f>+'El Paso'!C39*summary!H4+'El Paso'!E39*summary!H3</f>
        <v>79568.980000000025</v>
      </c>
      <c r="C25" s="275">
        <f>+'El Paso'!H39</f>
        <v>32900</v>
      </c>
      <c r="D25" s="371">
        <f>+'El Paso'!A39</f>
        <v>37259</v>
      </c>
      <c r="E25" s="204" t="s">
        <v>84</v>
      </c>
      <c r="F25" s="204" t="s">
        <v>100</v>
      </c>
      <c r="G25" s="204"/>
      <c r="H25" s="204"/>
      <c r="I25" s="32"/>
      <c r="J25" s="32"/>
      <c r="K25" s="32"/>
      <c r="L25" s="32" t="s">
        <v>245</v>
      </c>
      <c r="M25" s="387">
        <v>26357</v>
      </c>
      <c r="N25" s="70">
        <v>44144.84</v>
      </c>
      <c r="O25" s="32" t="s">
        <v>249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539" t="s">
        <v>139</v>
      </c>
      <c r="B26" s="490">
        <f>+'Citizens-Griffith'!D41</f>
        <v>68698.61</v>
      </c>
      <c r="C26" s="275">
        <f>+B26/$H$4</f>
        <v>28744.188284518827</v>
      </c>
      <c r="D26" s="371">
        <f>+'Citizens-Griffith'!A41</f>
        <v>37259</v>
      </c>
      <c r="E26" s="204" t="s">
        <v>85</v>
      </c>
      <c r="F26" s="204" t="s">
        <v>99</v>
      </c>
      <c r="G26" s="204"/>
      <c r="H26" s="32"/>
      <c r="I26" s="32"/>
      <c r="J26" s="32"/>
      <c r="K26" s="32"/>
      <c r="L26" s="32" t="s">
        <v>245</v>
      </c>
      <c r="M26" s="387">
        <v>21544</v>
      </c>
      <c r="N26" s="70">
        <v>61340.160000000003</v>
      </c>
      <c r="O26" s="32" t="s">
        <v>249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93" customFormat="1" ht="12.95" customHeight="1" x14ac:dyDescent="0.2">
      <c r="A27" s="248" t="s">
        <v>23</v>
      </c>
      <c r="B27" s="490">
        <f>+C27*$H$3</f>
        <v>54471.159999999996</v>
      </c>
      <c r="C27" s="353">
        <f>+'Red C'!$F$45</f>
        <v>23081</v>
      </c>
      <c r="D27" s="371">
        <f>+'Red C'!A45</f>
        <v>37259</v>
      </c>
      <c r="E27" s="204" t="s">
        <v>84</v>
      </c>
      <c r="F27" s="32" t="s">
        <v>115</v>
      </c>
      <c r="G27" s="32"/>
      <c r="H27" s="32"/>
      <c r="I27" s="204"/>
      <c r="J27" s="204"/>
      <c r="K27" s="204"/>
      <c r="L27" s="32" t="s">
        <v>245</v>
      </c>
      <c r="M27" s="480">
        <v>24532</v>
      </c>
      <c r="N27" s="273">
        <v>-956477</v>
      </c>
      <c r="O27" s="273">
        <f>SUM(N21:N27)</f>
        <v>-2511408.5300000003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</row>
    <row r="28" spans="1:32" s="293" customFormat="1" ht="13.5" customHeight="1" x14ac:dyDescent="0.2">
      <c r="A28" s="539" t="s">
        <v>95</v>
      </c>
      <c r="B28" s="490">
        <f>+burlington!D42</f>
        <v>53789.52</v>
      </c>
      <c r="C28" s="275">
        <f>+B28/$H$3</f>
        <v>22792.169491525423</v>
      </c>
      <c r="D28" s="371">
        <f>+burlington!A42</f>
        <v>37259</v>
      </c>
      <c r="E28" s="204" t="s">
        <v>85</v>
      </c>
      <c r="F28" s="32" t="s">
        <v>113</v>
      </c>
      <c r="G28" s="32"/>
      <c r="H28" s="204"/>
      <c r="I28" s="204"/>
      <c r="J28" s="204"/>
      <c r="K28" s="204"/>
      <c r="L28" s="204" t="s">
        <v>244</v>
      </c>
      <c r="M28" s="480">
        <v>24268</v>
      </c>
      <c r="N28" s="273">
        <v>1481856.66</v>
      </c>
      <c r="O28" s="273">
        <f>+N28</f>
        <v>1481856.66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</row>
    <row r="29" spans="1:32" s="293" customFormat="1" ht="13.5" customHeight="1" x14ac:dyDescent="0.2">
      <c r="A29" s="248" t="s">
        <v>110</v>
      </c>
      <c r="B29" s="490">
        <f>+C29*$H$4</f>
        <v>39023.920000000006</v>
      </c>
      <c r="C29" s="275">
        <f>+CIG!D42</f>
        <v>16328</v>
      </c>
      <c r="D29" s="372">
        <f>+CIG!A42</f>
        <v>37256</v>
      </c>
      <c r="E29" s="204" t="s">
        <v>84</v>
      </c>
      <c r="F29" s="32" t="s">
        <v>113</v>
      </c>
      <c r="G29" s="32"/>
      <c r="H29" s="204"/>
      <c r="I29" s="204"/>
      <c r="J29" s="204"/>
      <c r="K29" s="204"/>
      <c r="L29" s="204"/>
      <c r="M29" s="480"/>
      <c r="N29" s="273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</row>
    <row r="30" spans="1:32" s="293" customFormat="1" ht="13.5" customHeight="1" x14ac:dyDescent="0.2">
      <c r="A30" s="248" t="s">
        <v>307</v>
      </c>
      <c r="B30" s="490">
        <f>+'WTG inc'!N43</f>
        <v>34317.57</v>
      </c>
      <c r="C30" s="275">
        <f>+B30/$H$4</f>
        <v>14358.815899581588</v>
      </c>
      <c r="D30" s="372">
        <f>+'WTG inc'!A43</f>
        <v>37259</v>
      </c>
      <c r="E30" s="32" t="s">
        <v>85</v>
      </c>
      <c r="F30" s="32" t="s">
        <v>115</v>
      </c>
      <c r="G30" s="204"/>
      <c r="H30" s="204"/>
      <c r="I30" s="204"/>
      <c r="J30" s="204"/>
      <c r="K30" s="204"/>
      <c r="L30" s="204"/>
      <c r="M30" s="480"/>
      <c r="N30" s="273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</row>
    <row r="31" spans="1:32" ht="15" customHeight="1" x14ac:dyDescent="0.2">
      <c r="A31" s="539" t="s">
        <v>109</v>
      </c>
      <c r="B31" s="490">
        <f>+Continental!F43</f>
        <v>34262</v>
      </c>
      <c r="C31" s="206">
        <f>+B31/$H$4</f>
        <v>14335.564853556485</v>
      </c>
      <c r="D31" s="371">
        <f>+Continental!A43</f>
        <v>37256</v>
      </c>
      <c r="E31" s="204" t="s">
        <v>85</v>
      </c>
      <c r="F31" s="204" t="s">
        <v>115</v>
      </c>
      <c r="G31" s="204"/>
      <c r="H31" s="32"/>
      <c r="I31" s="32"/>
      <c r="J31" s="32"/>
      <c r="K31" s="32"/>
      <c r="L31" s="32"/>
      <c r="M31" s="387"/>
      <c r="N31" s="70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248" t="s">
        <v>131</v>
      </c>
      <c r="B32" s="490">
        <f>+SidR!D41</f>
        <v>32728.29</v>
      </c>
      <c r="C32" s="275">
        <f>+B32/$H$5</f>
        <v>13580.203319502074</v>
      </c>
      <c r="D32" s="372">
        <f>+SidR!A41</f>
        <v>37259</v>
      </c>
      <c r="E32" s="32" t="s">
        <v>85</v>
      </c>
      <c r="F32" s="32" t="s">
        <v>102</v>
      </c>
      <c r="G32" s="32"/>
      <c r="H32" s="32"/>
      <c r="I32" s="32"/>
      <c r="J32" s="32"/>
      <c r="K32" s="32"/>
      <c r="L32" s="32"/>
      <c r="M32" s="387"/>
      <c r="N32" s="70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293" customFormat="1" ht="13.5" customHeight="1" x14ac:dyDescent="0.2">
      <c r="A33" s="540" t="s">
        <v>79</v>
      </c>
      <c r="B33" s="489">
        <f>+Agave!$D$24</f>
        <v>24638.799999999996</v>
      </c>
      <c r="C33" s="472">
        <f>+B33/$H$4</f>
        <v>10309.121338912131</v>
      </c>
      <c r="D33" s="471">
        <f>+Agave!A24</f>
        <v>37259</v>
      </c>
      <c r="E33" s="451" t="s">
        <v>85</v>
      </c>
      <c r="F33" s="451" t="s">
        <v>102</v>
      </c>
      <c r="G33" s="451"/>
      <c r="H33" s="204"/>
      <c r="I33" s="204"/>
      <c r="J33" s="204"/>
      <c r="K33" s="204"/>
      <c r="L33" s="204"/>
      <c r="M33" s="480"/>
      <c r="N33" s="273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</row>
    <row r="34" spans="1:32" s="293" customFormat="1" ht="12.95" customHeight="1" x14ac:dyDescent="0.2">
      <c r="A34" s="248" t="s">
        <v>31</v>
      </c>
      <c r="B34" s="490">
        <f>+C34*H5</f>
        <v>23343.260000000002</v>
      </c>
      <c r="C34" s="275">
        <f>+Lonestar!F43</f>
        <v>9686</v>
      </c>
      <c r="D34" s="371">
        <f>+Lonestar!A43</f>
        <v>37256</v>
      </c>
      <c r="E34" s="32" t="s">
        <v>84</v>
      </c>
      <c r="F34" s="32" t="s">
        <v>102</v>
      </c>
      <c r="G34" s="32" t="s">
        <v>314</v>
      </c>
      <c r="H34" s="204"/>
      <c r="I34" s="204"/>
      <c r="J34" s="204"/>
      <c r="K34" s="204"/>
      <c r="L34" s="204"/>
      <c r="M34" s="480"/>
      <c r="N34" s="273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</row>
    <row r="35" spans="1:32" ht="13.5" customHeight="1" x14ac:dyDescent="0.2">
      <c r="A35" s="539" t="s">
        <v>71</v>
      </c>
      <c r="B35" s="492">
        <f>+transcol!$D$43</f>
        <v>12821</v>
      </c>
      <c r="C35" s="353">
        <f>+B35/$H$4</f>
        <v>5364.435146443514</v>
      </c>
      <c r="D35" s="371">
        <f>+transcol!A43</f>
        <v>37256</v>
      </c>
      <c r="E35" s="204" t="s">
        <v>85</v>
      </c>
      <c r="F35" s="204" t="s">
        <v>115</v>
      </c>
      <c r="G35" s="32"/>
      <c r="H35" s="32"/>
      <c r="I35" s="32"/>
      <c r="J35" s="32"/>
      <c r="K35" s="32"/>
      <c r="L35" s="32"/>
      <c r="M35" s="387"/>
      <c r="N35" s="70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3.5" customHeight="1" x14ac:dyDescent="0.2">
      <c r="A36" s="32" t="s">
        <v>103</v>
      </c>
      <c r="B36" s="490">
        <f>+EOG!$J$41</f>
        <v>4885</v>
      </c>
      <c r="C36" s="275">
        <f>+B36/$H$4</f>
        <v>2043.9330543933054</v>
      </c>
      <c r="D36" s="371">
        <f>+EOG!A41</f>
        <v>37256</v>
      </c>
      <c r="E36" s="32" t="s">
        <v>85</v>
      </c>
      <c r="F36" s="32" t="s">
        <v>102</v>
      </c>
      <c r="G36" s="32"/>
      <c r="H36" s="32"/>
      <c r="I36" s="32"/>
      <c r="J36" s="32"/>
      <c r="K36" s="32"/>
      <c r="L36" s="32"/>
      <c r="M36" s="387"/>
      <c r="N36" s="70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s="293" customFormat="1" ht="13.5" customHeight="1" x14ac:dyDescent="0.2">
      <c r="A37" s="539" t="s">
        <v>28</v>
      </c>
      <c r="B37" s="529">
        <f>+C37*$H$3</f>
        <v>16.52</v>
      </c>
      <c r="C37" s="71">
        <f>+williams!J40</f>
        <v>7</v>
      </c>
      <c r="D37" s="371">
        <f>+williams!A40</f>
        <v>37259</v>
      </c>
      <c r="E37" s="204" t="s">
        <v>85</v>
      </c>
      <c r="F37" s="204" t="s">
        <v>321</v>
      </c>
      <c r="G37" s="2"/>
      <c r="H37" s="204"/>
      <c r="I37" s="204"/>
      <c r="J37" s="204"/>
      <c r="K37" s="204"/>
      <c r="L37" s="32" t="s">
        <v>246</v>
      </c>
      <c r="M37" s="387">
        <v>24361</v>
      </c>
      <c r="N37" s="70">
        <v>811179.69</v>
      </c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</row>
    <row r="38" spans="1:32" ht="18" customHeight="1" x14ac:dyDescent="0.2">
      <c r="A38" s="32" t="s">
        <v>96</v>
      </c>
      <c r="B38" s="47">
        <f>SUM(B8:B37)</f>
        <v>7324379.1800000006</v>
      </c>
      <c r="C38" s="69">
        <f>SUM(C8:C37)</f>
        <v>3052554.0332391602</v>
      </c>
      <c r="D38" s="203"/>
      <c r="E38" s="32"/>
      <c r="F38" s="32"/>
      <c r="G38" s="32"/>
      <c r="H38" s="32"/>
      <c r="I38" s="32"/>
      <c r="J38" s="32"/>
      <c r="K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32"/>
      <c r="B39" s="47"/>
      <c r="C39" s="69"/>
      <c r="D39" s="203"/>
      <c r="E39" s="32"/>
      <c r="F39" s="356"/>
      <c r="G39" s="32"/>
      <c r="H39" s="32"/>
      <c r="I39" s="32"/>
      <c r="J39" s="32"/>
      <c r="K39" s="32"/>
      <c r="L39" s="32"/>
      <c r="M39" s="38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338" t="s">
        <v>89</v>
      </c>
      <c r="B40" s="339" t="s">
        <v>16</v>
      </c>
      <c r="C40" s="340" t="s">
        <v>0</v>
      </c>
      <c r="D40" s="347" t="s">
        <v>146</v>
      </c>
      <c r="E40" s="338" t="s">
        <v>90</v>
      </c>
      <c r="F40" s="341" t="s">
        <v>101</v>
      </c>
      <c r="G40" s="338" t="s">
        <v>98</v>
      </c>
      <c r="H40" s="32"/>
      <c r="I40" s="32"/>
      <c r="J40" s="32"/>
      <c r="K40" s="32"/>
      <c r="L40" s="32"/>
      <c r="M40" s="38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">
      <c r="A41" s="539" t="s">
        <v>250</v>
      </c>
      <c r="B41" s="492">
        <f>+DEFS!$C$40+DEFS!$E$40+DEFS!$F$44+DEFS!$F$45+DEFS!$F$46+DEFS!$F$47+DEFS!$F$48</f>
        <v>-2743513.8400000003</v>
      </c>
      <c r="C41" s="353">
        <f>+B41/$H$5</f>
        <v>-1138387.4854771786</v>
      </c>
      <c r="D41" s="371">
        <f>+DEFS!A40</f>
        <v>36894</v>
      </c>
      <c r="E41" s="204" t="s">
        <v>85</v>
      </c>
      <c r="F41" s="32" t="s">
        <v>100</v>
      </c>
      <c r="G41" s="32" t="s">
        <v>317</v>
      </c>
      <c r="H41" s="32"/>
      <c r="I41" s="32"/>
      <c r="J41" s="32"/>
      <c r="K41" s="32"/>
      <c r="L41" s="32"/>
      <c r="M41" s="38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539" t="s">
        <v>135</v>
      </c>
      <c r="B42" s="490">
        <f>+Citizens!D18</f>
        <v>-542387.86</v>
      </c>
      <c r="C42" s="206">
        <f>+B42/$H$4</f>
        <v>-226940.52719665269</v>
      </c>
      <c r="D42" s="371">
        <f>+Citizens!A18</f>
        <v>37259</v>
      </c>
      <c r="E42" s="204" t="s">
        <v>85</v>
      </c>
      <c r="F42" s="204" t="s">
        <v>99</v>
      </c>
      <c r="G42" s="357"/>
      <c r="H42" s="32"/>
      <c r="I42" s="32"/>
      <c r="J42" s="32"/>
      <c r="K42" s="32"/>
      <c r="L42" s="32"/>
      <c r="M42" s="387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5" customHeight="1" x14ac:dyDescent="0.2">
      <c r="A43" s="248" t="s">
        <v>133</v>
      </c>
      <c r="B43" s="490">
        <f>+'NS Steel'!D41</f>
        <v>-355805</v>
      </c>
      <c r="C43" s="206">
        <f>+B43/$H$4</f>
        <v>-148872.38493723847</v>
      </c>
      <c r="D43" s="372">
        <f>+'NS Steel'!A41</f>
        <v>37256</v>
      </c>
      <c r="E43" s="32" t="s">
        <v>85</v>
      </c>
      <c r="F43" s="32" t="s">
        <v>100</v>
      </c>
      <c r="G43" s="357"/>
      <c r="H43" s="32"/>
      <c r="I43" s="32"/>
      <c r="J43" s="32"/>
      <c r="K43" s="32"/>
      <c r="L43" s="32"/>
      <c r="M43" s="387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539" t="s">
        <v>262</v>
      </c>
      <c r="B44" s="490">
        <f>+MiVida_Rich!D41</f>
        <v>-195699.5</v>
      </c>
      <c r="C44" s="206">
        <f>+B44/$H$5</f>
        <v>-81203.112033195022</v>
      </c>
      <c r="D44" s="371">
        <f>+MiVida_Rich!A41</f>
        <v>37225</v>
      </c>
      <c r="E44" s="204" t="s">
        <v>85</v>
      </c>
      <c r="F44" s="204" t="s">
        <v>102</v>
      </c>
      <c r="G44" s="357"/>
      <c r="H44" s="32"/>
      <c r="I44" s="32"/>
      <c r="J44" s="32"/>
      <c r="K44" s="32"/>
      <c r="L44" s="32"/>
      <c r="M44" s="387"/>
      <c r="N44" s="70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2.95" customHeight="1" x14ac:dyDescent="0.2">
      <c r="A45" s="248" t="s">
        <v>217</v>
      </c>
      <c r="B45" s="490">
        <f>+crosstex!F41</f>
        <v>-128374.66</v>
      </c>
      <c r="C45" s="206">
        <f>+B45/$H$4</f>
        <v>-53713.246861924687</v>
      </c>
      <c r="D45" s="372">
        <f>+crosstex!A41</f>
        <v>37259</v>
      </c>
      <c r="E45" s="32" t="s">
        <v>85</v>
      </c>
      <c r="F45" s="32" t="s">
        <v>100</v>
      </c>
      <c r="G45" s="357"/>
      <c r="H45" s="32"/>
      <c r="I45" s="32"/>
      <c r="J45" s="32"/>
      <c r="K45" s="32"/>
      <c r="L45" s="32"/>
      <c r="M45" s="387"/>
      <c r="N45" s="70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s="293" customFormat="1" ht="13.5" customHeight="1" x14ac:dyDescent="0.2">
      <c r="A46" s="248" t="s">
        <v>319</v>
      </c>
      <c r="B46" s="490">
        <f>+C46*$H$3</f>
        <v>-83418.92</v>
      </c>
      <c r="C46" s="275">
        <f>+Amoco!D40</f>
        <v>-35347</v>
      </c>
      <c r="D46" s="372">
        <f>+Amoco!A40</f>
        <v>37259</v>
      </c>
      <c r="E46" s="32" t="s">
        <v>84</v>
      </c>
      <c r="F46" s="32" t="s">
        <v>115</v>
      </c>
      <c r="G46" s="32"/>
      <c r="H46" s="204"/>
      <c r="I46" s="204"/>
      <c r="J46" s="204"/>
      <c r="K46" s="204"/>
      <c r="L46" s="204"/>
      <c r="M46" s="480"/>
      <c r="N46" s="273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</row>
    <row r="47" spans="1:32" s="246" customFormat="1" ht="13.5" customHeight="1" x14ac:dyDescent="0.2">
      <c r="A47" s="248" t="s">
        <v>147</v>
      </c>
      <c r="B47" s="490">
        <f>+PGETX!$H$39</f>
        <v>-68258</v>
      </c>
      <c r="C47" s="275">
        <f>+B47/$H$4</f>
        <v>-28559.832635983261</v>
      </c>
      <c r="D47" s="372">
        <f>+PGETX!E39</f>
        <v>37256</v>
      </c>
      <c r="E47" s="32" t="s">
        <v>85</v>
      </c>
      <c r="F47" s="32" t="s">
        <v>102</v>
      </c>
      <c r="G47" s="32"/>
      <c r="H47" s="249"/>
      <c r="I47" s="249"/>
      <c r="J47" s="249"/>
      <c r="K47" s="249"/>
      <c r="L47" s="32"/>
      <c r="M47" s="480"/>
      <c r="N47" s="273"/>
      <c r="O47" s="249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</row>
    <row r="48" spans="1:32" s="293" customFormat="1" ht="13.5" customHeight="1" x14ac:dyDescent="0.2">
      <c r="A48" s="248" t="s">
        <v>1</v>
      </c>
      <c r="B48" s="490">
        <f>+C48*$H$3</f>
        <v>-57090.759999999995</v>
      </c>
      <c r="C48" s="206">
        <f>+NW!$F$41</f>
        <v>-24191</v>
      </c>
      <c r="D48" s="371">
        <f>+NW!B41</f>
        <v>37259</v>
      </c>
      <c r="E48" s="32" t="s">
        <v>84</v>
      </c>
      <c r="F48" s="32" t="s">
        <v>115</v>
      </c>
      <c r="G48" s="357"/>
      <c r="H48" s="204"/>
      <c r="I48" s="204"/>
      <c r="J48" s="204">
        <f>135710*1.98</f>
        <v>268705.8</v>
      </c>
      <c r="K48" s="204"/>
      <c r="L48" s="204"/>
      <c r="M48" s="480"/>
      <c r="N48" s="273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</row>
    <row r="49" spans="1:32" ht="13.5" customHeight="1" x14ac:dyDescent="0.2">
      <c r="A49" s="248" t="s">
        <v>6</v>
      </c>
      <c r="B49" s="490">
        <f>+Oasis!$D$40</f>
        <v>-32679.61</v>
      </c>
      <c r="C49" s="206">
        <f>+B49/$H$5</f>
        <v>-13560.004149377593</v>
      </c>
      <c r="D49" s="372">
        <f>+Oasis!A40</f>
        <v>37259</v>
      </c>
      <c r="E49" s="32" t="s">
        <v>85</v>
      </c>
      <c r="F49" s="32" t="s">
        <v>102</v>
      </c>
      <c r="G49" s="32"/>
      <c r="H49" s="32"/>
      <c r="I49" s="32"/>
      <c r="J49" s="32"/>
      <c r="K49" s="32"/>
      <c r="L49" s="32"/>
      <c r="M49" s="387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3.5" customHeight="1" x14ac:dyDescent="0.2">
      <c r="A50" s="539" t="s">
        <v>205</v>
      </c>
      <c r="B50" s="492">
        <f>+WTGmktg!J43</f>
        <v>-31978.880000000001</v>
      </c>
      <c r="C50" s="206">
        <f>+B50/$H$4</f>
        <v>-13380.284518828452</v>
      </c>
      <c r="D50" s="371">
        <f>+WTGmktg!A43</f>
        <v>37259</v>
      </c>
      <c r="E50" s="32" t="s">
        <v>85</v>
      </c>
      <c r="F50" s="204" t="s">
        <v>115</v>
      </c>
      <c r="G50" s="204"/>
      <c r="H50" s="32"/>
      <c r="I50" s="32"/>
      <c r="J50" s="32"/>
      <c r="K50" s="32"/>
      <c r="L50" s="32"/>
      <c r="M50" s="387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293" customFormat="1" ht="13.5" customHeight="1" x14ac:dyDescent="0.2">
      <c r="A51" s="539" t="s">
        <v>142</v>
      </c>
      <c r="B51" s="492">
        <f>+C51*$H$4</f>
        <v>-24086.420000000002</v>
      </c>
      <c r="C51" s="353">
        <f>+PEPL!D41</f>
        <v>-10078</v>
      </c>
      <c r="D51" s="371">
        <f>+PEPL!A41</f>
        <v>37259</v>
      </c>
      <c r="E51" s="204" t="s">
        <v>84</v>
      </c>
      <c r="F51" s="204" t="s">
        <v>100</v>
      </c>
      <c r="G51" s="32"/>
      <c r="H51" s="204"/>
      <c r="I51" s="204"/>
      <c r="J51" s="204"/>
      <c r="K51" s="204"/>
      <c r="L51" s="32" t="s">
        <v>246</v>
      </c>
      <c r="M51" s="387">
        <v>21665</v>
      </c>
      <c r="N51" s="70">
        <v>73449</v>
      </c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</row>
    <row r="52" spans="1:32" s="293" customFormat="1" ht="13.5" customHeight="1" x14ac:dyDescent="0.2">
      <c r="A52" s="248" t="s">
        <v>302</v>
      </c>
      <c r="B52" s="529">
        <f>+SWGasTrans!$D$41</f>
        <v>-19711.260000000002</v>
      </c>
      <c r="C52" s="71">
        <f>+B52/$H$4</f>
        <v>-8247.3891213389124</v>
      </c>
      <c r="D52" s="371">
        <f>+SWGasTrans!A41</f>
        <v>36894</v>
      </c>
      <c r="E52" s="32" t="s">
        <v>85</v>
      </c>
      <c r="F52" s="32" t="s">
        <v>99</v>
      </c>
      <c r="G52" s="32"/>
      <c r="H52" s="204"/>
      <c r="I52" s="204"/>
      <c r="J52" s="204"/>
      <c r="K52" s="204"/>
      <c r="L52" s="32"/>
      <c r="M52" s="387"/>
      <c r="N52" s="70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</row>
    <row r="53" spans="1:32" ht="15" customHeight="1" x14ac:dyDescent="0.2">
      <c r="A53" s="32" t="s">
        <v>97</v>
      </c>
      <c r="B53" s="351">
        <f>SUM(B41:B52)</f>
        <v>-4283004.71</v>
      </c>
      <c r="C53" s="206">
        <f>SUM(C41:C52)</f>
        <v>-1782480.2669317177</v>
      </c>
      <c r="D53" s="358"/>
      <c r="E53" s="32"/>
      <c r="F53" s="32"/>
      <c r="G53" s="32"/>
      <c r="H53" s="32"/>
      <c r="I53" s="32"/>
      <c r="J53" s="32"/>
      <c r="K53" s="32"/>
      <c r="L53" s="32"/>
      <c r="M53" s="38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5" customHeight="1" x14ac:dyDescent="0.2">
      <c r="A54" s="32"/>
      <c r="B54" s="354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8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5" thickBot="1" x14ac:dyDescent="0.25">
      <c r="A55" s="2" t="s">
        <v>91</v>
      </c>
      <c r="B55" s="359">
        <f>+B53+B38</f>
        <v>3041374.4700000007</v>
      </c>
      <c r="C55" s="360">
        <f>+C53+C38</f>
        <v>1270073.7663074424</v>
      </c>
      <c r="D55" s="203"/>
      <c r="E55" s="32"/>
      <c r="F55" s="32"/>
      <c r="G55" s="32"/>
      <c r="H55" s="32"/>
      <c r="I55" s="32"/>
      <c r="J55" s="32"/>
      <c r="K55" s="32"/>
      <c r="L55" s="32"/>
      <c r="M55" s="38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5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8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2" t="s">
        <v>92</v>
      </c>
      <c r="B57" s="47"/>
      <c r="C57" s="294"/>
      <c r="D57" s="203"/>
      <c r="E57" s="32"/>
      <c r="F57" s="32"/>
      <c r="G57" s="32"/>
      <c r="H57" s="32"/>
      <c r="I57" s="32"/>
      <c r="J57" s="32"/>
      <c r="K57" s="32"/>
      <c r="L57" s="32"/>
      <c r="M57" s="38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8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8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8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8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8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B63" s="47"/>
      <c r="C63" s="14"/>
      <c r="D63" s="203"/>
      <c r="E63" s="136"/>
      <c r="F63" s="32"/>
      <c r="G63" s="32"/>
      <c r="H63" s="32"/>
      <c r="I63" s="32"/>
      <c r="J63" s="32"/>
      <c r="K63" s="32"/>
      <c r="L63" s="32"/>
      <c r="M63" s="38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8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8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8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H67" s="32"/>
      <c r="I67" s="32"/>
      <c r="J67" s="32"/>
      <c r="K67" s="32"/>
      <c r="L67" s="32"/>
      <c r="M67" s="38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H68" s="32"/>
      <c r="I68" s="32"/>
      <c r="J68" s="32"/>
      <c r="K68" s="32"/>
      <c r="L68" s="32"/>
      <c r="M68" s="38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H69" s="32"/>
      <c r="I69" s="32"/>
      <c r="J69" s="32"/>
      <c r="K69" s="32"/>
      <c r="L69" s="32"/>
      <c r="M69" s="38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H70" s="32"/>
      <c r="I70" s="32"/>
      <c r="J70" s="32"/>
      <c r="K70" s="32"/>
      <c r="L70" s="32"/>
      <c r="M70" s="38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H71" s="32"/>
      <c r="I71" s="32"/>
      <c r="J71" s="32"/>
      <c r="K71" s="32"/>
      <c r="L71" s="32"/>
      <c r="M71" s="38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H72" s="32"/>
      <c r="I72" s="32"/>
      <c r="J72" s="32"/>
      <c r="K72" s="32"/>
      <c r="L72" s="32"/>
      <c r="M72" s="38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H73" s="32"/>
      <c r="I73" s="32"/>
      <c r="J73" s="32"/>
      <c r="K73" s="32"/>
      <c r="L73" s="32"/>
      <c r="M73" s="38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H74" s="32"/>
      <c r="I74" s="32"/>
      <c r="J74" s="32"/>
      <c r="K74" s="32"/>
      <c r="L74" s="32"/>
      <c r="M74" s="38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H75" s="32"/>
      <c r="I75" s="32"/>
      <c r="J75" s="32"/>
      <c r="K75" s="32"/>
      <c r="L75" s="32"/>
      <c r="M75" s="38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H76" s="32"/>
      <c r="I76" s="32"/>
      <c r="J76" s="32"/>
      <c r="K76" s="32"/>
      <c r="L76" s="32"/>
      <c r="M76" s="38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H77" s="32"/>
      <c r="I77" s="32"/>
      <c r="J77" s="32"/>
      <c r="K77" s="32"/>
      <c r="L77" s="32"/>
      <c r="M77" s="38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H78" s="32"/>
      <c r="I78" s="32"/>
      <c r="J78" s="32"/>
      <c r="K78" s="32"/>
      <c r="L78" s="32"/>
      <c r="M78" s="38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H79" s="32"/>
      <c r="I79" s="32"/>
      <c r="J79" s="32"/>
      <c r="K79" s="32"/>
      <c r="L79" s="32"/>
      <c r="M79" s="38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H80" s="32"/>
      <c r="I80" s="32"/>
      <c r="J80" s="32"/>
      <c r="K80" s="32"/>
      <c r="L80" s="32"/>
      <c r="M80" s="38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">
      <c r="H81" s="32"/>
      <c r="I81" s="32"/>
      <c r="J81" s="32"/>
      <c r="K81" s="32"/>
      <c r="L81" s="32"/>
      <c r="M81" s="38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">
      <c r="H82" s="32"/>
      <c r="I82" s="32"/>
      <c r="J82" s="32"/>
      <c r="K82" s="32"/>
      <c r="L82" s="32"/>
      <c r="M82" s="38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">
      <c r="H83" s="32"/>
      <c r="I83" s="32"/>
      <c r="J83" s="32"/>
      <c r="K83" s="32"/>
      <c r="L83" s="32"/>
      <c r="M83" s="38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">
      <c r="H84" s="32"/>
      <c r="I84" s="32"/>
      <c r="J84" s="32"/>
      <c r="K84" s="32"/>
      <c r="L84" s="32"/>
      <c r="M84" s="38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">
      <c r="H85" s="32"/>
      <c r="I85" s="32"/>
      <c r="J85" s="32"/>
      <c r="K85" s="32"/>
      <c r="L85" s="32"/>
      <c r="M85" s="38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">
      <c r="H86" s="32"/>
      <c r="I86" s="32"/>
      <c r="J86" s="32"/>
      <c r="K86" s="32"/>
      <c r="L86" s="32"/>
      <c r="M86" s="38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">
      <c r="H87" s="32"/>
      <c r="I87" s="32"/>
      <c r="J87" s="32"/>
      <c r="K87" s="32"/>
      <c r="L87" s="32"/>
      <c r="M87" s="38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">
      <c r="H88" s="32"/>
      <c r="I88" s="32"/>
      <c r="J88" s="32"/>
      <c r="K88" s="32"/>
      <c r="L88" s="32"/>
      <c r="M88" s="38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">
      <c r="H89" s="32"/>
      <c r="I89" s="32"/>
      <c r="J89" s="32"/>
      <c r="K89" s="32"/>
      <c r="L89" s="32"/>
      <c r="M89" s="38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">
      <c r="H90" s="32"/>
      <c r="I90" s="32"/>
      <c r="J90" s="32"/>
      <c r="K90" s="32"/>
      <c r="L90" s="32"/>
      <c r="M90" s="38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">
      <c r="H91" s="32"/>
      <c r="I91" s="32"/>
      <c r="J91" s="32"/>
      <c r="K91" s="32"/>
      <c r="L91" s="32"/>
      <c r="M91" s="38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">
      <c r="H92" s="32"/>
      <c r="I92" s="32"/>
      <c r="J92" s="32"/>
      <c r="K92" s="32"/>
      <c r="L92" s="32"/>
      <c r="M92" s="38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">
      <c r="H93" s="32"/>
      <c r="I93" s="32"/>
      <c r="J93" s="32"/>
      <c r="K93" s="32"/>
      <c r="L93" s="32"/>
      <c r="M93" s="38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">
      <c r="H94" s="32"/>
      <c r="I94" s="32"/>
      <c r="J94" s="32"/>
      <c r="K94" s="32"/>
      <c r="L94" s="32"/>
      <c r="M94" s="38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">
      <c r="H95" s="32"/>
      <c r="I95" s="32"/>
      <c r="J95" s="32"/>
      <c r="K95" s="32"/>
      <c r="L95" s="32"/>
      <c r="M95" s="38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">
      <c r="H96" s="32"/>
      <c r="I96" s="32"/>
      <c r="J96" s="32"/>
      <c r="K96" s="32"/>
      <c r="L96" s="32"/>
      <c r="M96" s="38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H97" s="32"/>
      <c r="I97" s="32"/>
      <c r="J97" s="32"/>
      <c r="K97" s="32"/>
      <c r="L97" s="32"/>
      <c r="M97" s="38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H98" s="32"/>
      <c r="I98" s="32"/>
      <c r="J98" s="32"/>
      <c r="K98" s="32"/>
      <c r="L98" s="32"/>
      <c r="M98" s="38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H99" s="32"/>
      <c r="I99" s="32"/>
      <c r="J99" s="32"/>
      <c r="K99" s="32"/>
      <c r="L99" s="32"/>
      <c r="M99" s="38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2" t="s">
        <v>265</v>
      </c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8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 t="s">
        <v>263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8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8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361"/>
      <c r="C103" s="362"/>
      <c r="D103" s="203"/>
      <c r="E103" s="32"/>
      <c r="F103" s="32"/>
      <c r="G103" s="32"/>
      <c r="H103" s="32"/>
      <c r="I103" s="32"/>
      <c r="J103" s="32"/>
      <c r="K103" s="32"/>
      <c r="L103" s="32"/>
      <c r="M103" s="38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 t="s">
        <v>266</v>
      </c>
      <c r="B104" s="75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8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 t="s">
        <v>267</v>
      </c>
      <c r="B105" s="75">
        <v>16841.21</v>
      </c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8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 t="s">
        <v>269</v>
      </c>
      <c r="B106" s="75">
        <v>-8065.83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8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 t="s">
        <v>270</v>
      </c>
      <c r="B107" s="75">
        <v>8689.86</v>
      </c>
      <c r="C107" s="69" t="s">
        <v>271</v>
      </c>
      <c r="D107" s="363"/>
      <c r="E107" s="32"/>
      <c r="F107" s="32"/>
      <c r="G107" s="32"/>
      <c r="H107" s="32"/>
      <c r="I107" s="32"/>
      <c r="J107" s="32"/>
      <c r="K107" s="32"/>
      <c r="L107" s="32"/>
      <c r="M107" s="38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 t="s">
        <v>272</v>
      </c>
      <c r="B108" s="75">
        <v>75737.570000000007</v>
      </c>
      <c r="C108" s="294"/>
      <c r="D108" s="203"/>
      <c r="E108" s="32"/>
      <c r="F108" s="32"/>
      <c r="G108" s="32"/>
      <c r="H108" s="32"/>
      <c r="I108" s="32"/>
      <c r="J108" s="32"/>
      <c r="K108" s="32"/>
      <c r="L108" s="32"/>
      <c r="M108" s="38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 t="s">
        <v>273</v>
      </c>
      <c r="B109" s="525" t="s">
        <v>275</v>
      </c>
      <c r="C109" s="294"/>
      <c r="D109" s="364"/>
      <c r="E109" s="365"/>
      <c r="F109" s="32"/>
      <c r="G109" s="32"/>
      <c r="H109" s="32"/>
      <c r="I109" s="32"/>
      <c r="J109" s="32"/>
      <c r="K109" s="32"/>
      <c r="L109" s="32"/>
      <c r="M109" s="38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 t="s">
        <v>274</v>
      </c>
      <c r="B110" s="525" t="s">
        <v>276</v>
      </c>
      <c r="C110" s="294"/>
      <c r="D110" s="366"/>
      <c r="E110" s="32"/>
      <c r="F110" s="32"/>
      <c r="G110" s="32"/>
      <c r="H110" s="32"/>
      <c r="I110" s="32"/>
      <c r="J110" s="32"/>
      <c r="K110" s="32"/>
      <c r="L110" s="32"/>
      <c r="M110" s="38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 t="s">
        <v>279</v>
      </c>
      <c r="B111" s="15">
        <v>97267.53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8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 t="s">
        <v>277</v>
      </c>
      <c r="B112" s="75">
        <v>-1590.44</v>
      </c>
      <c r="C112" s="294"/>
      <c r="D112" s="367"/>
      <c r="E112" s="32"/>
      <c r="F112" s="32"/>
      <c r="G112" s="32"/>
      <c r="H112" s="32"/>
      <c r="I112" s="32"/>
      <c r="J112" s="32"/>
      <c r="K112" s="32"/>
      <c r="L112" s="32"/>
      <c r="M112" s="38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 t="s">
        <v>280</v>
      </c>
      <c r="B113" s="75">
        <v>4290.5</v>
      </c>
      <c r="C113" s="294"/>
      <c r="D113" s="368"/>
      <c r="E113" s="32"/>
      <c r="F113" s="32"/>
      <c r="G113" s="32"/>
      <c r="H113" s="32"/>
      <c r="I113" s="32"/>
      <c r="J113" s="32"/>
      <c r="K113" s="32"/>
      <c r="L113" s="32"/>
      <c r="M113" s="38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 t="s">
        <v>284</v>
      </c>
      <c r="B114" s="75">
        <v>9780.35</v>
      </c>
      <c r="C114" s="521"/>
      <c r="D114" s="203"/>
      <c r="E114" s="32"/>
      <c r="F114" s="32"/>
      <c r="G114" s="32"/>
      <c r="H114" s="32"/>
      <c r="I114" s="32"/>
      <c r="J114" s="32"/>
      <c r="K114" s="32"/>
      <c r="L114" s="32"/>
      <c r="M114" s="38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 t="s">
        <v>287</v>
      </c>
      <c r="B115" s="75">
        <v>47610.18</v>
      </c>
      <c r="C115" s="521"/>
      <c r="D115" s="363"/>
      <c r="E115" s="32"/>
      <c r="F115" s="32"/>
      <c r="G115" s="32"/>
      <c r="H115" s="32"/>
      <c r="I115" s="32"/>
      <c r="J115" s="32"/>
      <c r="K115" s="32"/>
      <c r="L115" s="32"/>
      <c r="M115" s="38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 t="s">
        <v>291</v>
      </c>
      <c r="B116" s="15">
        <v>-1548.84</v>
      </c>
      <c r="C116" s="521"/>
      <c r="D116" s="203"/>
      <c r="E116" s="32"/>
      <c r="F116" s="32"/>
      <c r="G116" s="32"/>
      <c r="H116" s="32"/>
      <c r="I116" s="32"/>
      <c r="J116" s="32"/>
      <c r="K116" s="32"/>
      <c r="L116" s="32"/>
      <c r="M116" s="38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 t="s">
        <v>295</v>
      </c>
      <c r="B117" s="15">
        <v>-10776.55</v>
      </c>
      <c r="C117" s="521"/>
      <c r="D117" s="203"/>
      <c r="E117" s="32"/>
      <c r="F117" s="32"/>
      <c r="G117" s="32"/>
      <c r="H117" s="32"/>
      <c r="I117" s="32"/>
      <c r="J117" s="32"/>
      <c r="K117" s="32"/>
      <c r="L117" s="32"/>
      <c r="M117" s="38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 t="s">
        <v>296</v>
      </c>
      <c r="B118" s="15">
        <v>9125.5499999999993</v>
      </c>
      <c r="C118" s="522"/>
      <c r="D118" s="363"/>
      <c r="E118" s="32"/>
      <c r="F118" s="32"/>
      <c r="G118" s="32"/>
      <c r="H118" s="32"/>
      <c r="I118" s="32"/>
      <c r="J118" s="32"/>
      <c r="K118" s="32"/>
      <c r="L118" s="32"/>
      <c r="M118" s="38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 t="s">
        <v>298</v>
      </c>
      <c r="B119" s="527" t="s">
        <v>299</v>
      </c>
      <c r="C119" s="522"/>
      <c r="D119" s="363"/>
      <c r="E119" s="32"/>
      <c r="F119" s="32"/>
      <c r="G119" s="32"/>
      <c r="H119" s="32"/>
      <c r="I119" s="32"/>
      <c r="J119" s="32"/>
      <c r="K119" s="32"/>
      <c r="L119" s="32"/>
      <c r="M119" s="38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 t="s">
        <v>303</v>
      </c>
      <c r="B120" s="15">
        <v>1357.88</v>
      </c>
      <c r="C120" s="522"/>
      <c r="D120" s="363"/>
      <c r="E120" s="32"/>
      <c r="F120" s="32"/>
      <c r="G120" s="32"/>
      <c r="H120" s="32"/>
      <c r="I120" s="32"/>
      <c r="J120" s="32"/>
      <c r="K120" s="32"/>
      <c r="L120" s="32"/>
      <c r="M120" s="38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 t="s">
        <v>294</v>
      </c>
      <c r="B121" s="15">
        <f>44144.84-58339.66</f>
        <v>-14194.820000000007</v>
      </c>
      <c r="C121" s="522">
        <v>26357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8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 t="s">
        <v>294</v>
      </c>
      <c r="B122" s="15">
        <v>-51695.87</v>
      </c>
      <c r="C122" s="522">
        <v>20379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8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 t="s">
        <v>294</v>
      </c>
      <c r="B123" s="15">
        <v>61340.160000000003</v>
      </c>
      <c r="C123" s="522">
        <v>21544</v>
      </c>
      <c r="D123" s="203"/>
      <c r="E123" s="32"/>
      <c r="F123" s="32"/>
      <c r="G123" s="32"/>
      <c r="H123" s="32"/>
      <c r="I123" s="32"/>
      <c r="J123" s="32"/>
      <c r="K123" s="32"/>
      <c r="L123" s="32"/>
      <c r="M123" s="38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 t="s">
        <v>294</v>
      </c>
      <c r="B124" s="259"/>
      <c r="C124" s="522"/>
      <c r="D124" s="203"/>
      <c r="E124" s="32"/>
      <c r="F124" s="32"/>
      <c r="G124" s="32"/>
      <c r="H124" s="32"/>
      <c r="I124" s="32"/>
      <c r="J124" s="32"/>
      <c r="K124" s="32"/>
      <c r="L124" s="32"/>
      <c r="M124" s="38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 t="s">
        <v>304</v>
      </c>
      <c r="B125" s="259">
        <v>828.64</v>
      </c>
      <c r="C125" s="522"/>
      <c r="D125" s="203"/>
      <c r="E125" s="32"/>
      <c r="F125" s="32"/>
      <c r="G125" s="32"/>
      <c r="H125" s="32"/>
      <c r="I125" s="32"/>
      <c r="J125" s="32"/>
      <c r="K125" s="32"/>
      <c r="L125" s="32"/>
      <c r="M125" s="38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 t="s">
        <v>305</v>
      </c>
      <c r="B126" s="259">
        <v>8282.6</v>
      </c>
      <c r="C126" s="522"/>
      <c r="D126" s="203"/>
      <c r="E126" s="32"/>
      <c r="F126" s="32"/>
      <c r="G126" s="32"/>
      <c r="H126" s="32"/>
      <c r="I126" s="32"/>
      <c r="J126" s="32"/>
      <c r="K126" s="32"/>
      <c r="L126" s="32"/>
      <c r="M126" s="38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 t="s">
        <v>297</v>
      </c>
      <c r="B127" s="259">
        <v>17432.3</v>
      </c>
      <c r="C127" s="522"/>
      <c r="D127" s="203"/>
      <c r="E127" s="32"/>
      <c r="F127" s="32"/>
      <c r="G127" s="32"/>
      <c r="H127" s="32"/>
      <c r="I127" s="32"/>
      <c r="J127" s="32"/>
      <c r="K127" s="32"/>
      <c r="L127" s="32"/>
      <c r="M127" s="38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 t="s">
        <v>290</v>
      </c>
      <c r="B128" s="259">
        <v>-7228.77</v>
      </c>
      <c r="C128" s="521"/>
      <c r="D128" s="203"/>
      <c r="E128" s="32"/>
      <c r="F128" s="32"/>
      <c r="G128" s="32"/>
      <c r="H128" s="32"/>
      <c r="I128" s="32"/>
      <c r="J128" s="32"/>
      <c r="K128" s="32"/>
      <c r="L128" s="32"/>
      <c r="M128" s="38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285" t="s">
        <v>289</v>
      </c>
      <c r="B129" s="15">
        <v>249009.74</v>
      </c>
      <c r="C129" s="521"/>
      <c r="D129" s="203"/>
      <c r="E129" s="32"/>
      <c r="F129" s="32"/>
      <c r="G129" s="32"/>
      <c r="H129" s="32"/>
      <c r="I129" s="32"/>
      <c r="J129" s="32"/>
      <c r="K129" s="32"/>
      <c r="L129" s="32"/>
      <c r="M129" s="38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 t="s">
        <v>283</v>
      </c>
      <c r="B130" s="15">
        <v>1974.11</v>
      </c>
      <c r="C130" s="521"/>
      <c r="D130" s="203"/>
      <c r="E130" s="32"/>
      <c r="F130" s="32"/>
      <c r="G130" s="32"/>
      <c r="H130" s="32"/>
      <c r="I130" s="32"/>
      <c r="J130" s="32"/>
      <c r="K130" s="32"/>
      <c r="L130" s="32"/>
      <c r="M130" s="38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 t="s">
        <v>268</v>
      </c>
      <c r="B131" s="75">
        <v>-35893</v>
      </c>
      <c r="C131" s="521"/>
      <c r="D131" s="203"/>
      <c r="E131" s="32"/>
      <c r="F131" s="32"/>
      <c r="G131" s="32"/>
      <c r="H131" s="32"/>
      <c r="I131" s="32"/>
      <c r="J131" s="32"/>
      <c r="K131" s="32"/>
      <c r="L131" s="32"/>
      <c r="M131" s="38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 t="s">
        <v>278</v>
      </c>
      <c r="B132" s="75">
        <v>27281.87</v>
      </c>
      <c r="C132" s="521"/>
      <c r="D132" s="203"/>
      <c r="E132" s="32"/>
      <c r="F132" s="32"/>
      <c r="G132" s="32"/>
      <c r="H132" s="32"/>
      <c r="I132" s="32"/>
      <c r="J132" s="32"/>
      <c r="K132" s="32"/>
      <c r="L132" s="32"/>
      <c r="M132" s="38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 t="s">
        <v>281</v>
      </c>
      <c r="B133" s="75">
        <v>-2614.58</v>
      </c>
      <c r="C133" s="521"/>
      <c r="D133" s="203"/>
      <c r="E133" s="32"/>
      <c r="F133" s="32"/>
      <c r="G133" s="32"/>
      <c r="H133" s="32"/>
      <c r="I133" s="32"/>
      <c r="J133" s="32"/>
      <c r="K133" s="32"/>
      <c r="L133" s="32"/>
      <c r="M133" s="38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 t="s">
        <v>282</v>
      </c>
      <c r="B134" s="75">
        <v>-177733.88</v>
      </c>
      <c r="C134" s="521"/>
      <c r="D134" s="203"/>
      <c r="E134" s="32"/>
      <c r="F134" s="32"/>
      <c r="G134" s="32"/>
      <c r="H134" s="32"/>
      <c r="I134" s="32"/>
      <c r="J134" s="32"/>
      <c r="K134" s="32"/>
      <c r="L134" s="32"/>
      <c r="M134" s="38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 t="s">
        <v>285</v>
      </c>
      <c r="B135" s="15">
        <v>3338.45</v>
      </c>
      <c r="C135" s="521"/>
      <c r="D135" s="203"/>
      <c r="E135" s="32"/>
      <c r="F135" s="32"/>
      <c r="G135" s="32"/>
      <c r="H135" s="32"/>
      <c r="I135" s="32"/>
      <c r="J135" s="32"/>
      <c r="K135" s="32"/>
      <c r="L135" s="32"/>
      <c r="M135" s="38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 t="s">
        <v>286</v>
      </c>
      <c r="B136" s="15">
        <v>15325.21</v>
      </c>
      <c r="C136" s="521"/>
      <c r="D136" s="203"/>
      <c r="E136" s="32"/>
      <c r="F136" s="32"/>
      <c r="G136" s="32"/>
      <c r="H136" s="32"/>
      <c r="I136" s="32"/>
      <c r="J136" s="32"/>
      <c r="K136" s="32"/>
      <c r="L136" s="32"/>
      <c r="M136" s="38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 t="s">
        <v>288</v>
      </c>
      <c r="B137" s="15">
        <v>-33878.81</v>
      </c>
      <c r="C137" s="521"/>
      <c r="D137" s="203"/>
      <c r="E137" s="32"/>
      <c r="F137" s="32"/>
      <c r="G137" s="32"/>
      <c r="H137" s="32"/>
      <c r="I137" s="32"/>
      <c r="J137" s="32"/>
      <c r="K137" s="32"/>
      <c r="L137" s="32"/>
      <c r="M137" s="38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 t="s">
        <v>292</v>
      </c>
      <c r="B138" s="15">
        <v>-726.96</v>
      </c>
      <c r="C138" s="521"/>
      <c r="D138" s="203"/>
      <c r="E138" s="32"/>
      <c r="F138" s="32"/>
      <c r="G138" s="32"/>
      <c r="H138" s="32"/>
      <c r="I138" s="32"/>
      <c r="J138" s="32"/>
      <c r="K138" s="32"/>
      <c r="L138" s="32"/>
      <c r="M138" s="38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 t="s">
        <v>293</v>
      </c>
      <c r="B139" s="47">
        <v>-4405.4799999999996</v>
      </c>
      <c r="C139" s="521"/>
      <c r="D139" s="203"/>
      <c r="E139" s="32"/>
      <c r="F139" s="32"/>
      <c r="G139" s="32"/>
      <c r="H139" s="32"/>
      <c r="I139" s="32"/>
      <c r="J139" s="32"/>
      <c r="K139" s="32"/>
      <c r="L139" s="32"/>
      <c r="M139" s="38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521"/>
      <c r="D140" s="203"/>
      <c r="E140" s="32"/>
      <c r="F140" s="32"/>
      <c r="G140" s="32"/>
      <c r="H140" s="32"/>
      <c r="I140" s="32"/>
      <c r="J140" s="32"/>
      <c r="K140" s="32"/>
      <c r="L140" s="32"/>
      <c r="M140" s="38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521"/>
      <c r="D141" s="203"/>
      <c r="E141" s="32"/>
      <c r="F141" s="32"/>
      <c r="G141" s="32"/>
      <c r="H141" s="32"/>
      <c r="I141" s="32"/>
      <c r="J141" s="32"/>
      <c r="K141" s="32"/>
      <c r="L141" s="32"/>
      <c r="M141" s="38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521"/>
      <c r="D142" s="203"/>
      <c r="E142" s="32"/>
      <c r="F142" s="32"/>
      <c r="G142" s="32"/>
      <c r="H142" s="32"/>
      <c r="I142" s="32"/>
      <c r="J142" s="32"/>
      <c r="K142" s="32"/>
      <c r="L142" s="32"/>
      <c r="M142" s="38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8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16">
        <f>SUM(B105:B143)</f>
        <v>305159.88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8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8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8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8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8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8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8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8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8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8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8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8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8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8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8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8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8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8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8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8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8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8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8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8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8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8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8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8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8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8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8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8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8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8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8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8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8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8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8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8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8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8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8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8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8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8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8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8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8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8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8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8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8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8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8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8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8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8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8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8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8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8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8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8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8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8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8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8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8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8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8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8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8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8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8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8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8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8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8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8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8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8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8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8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8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8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8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8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8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8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8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8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8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8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8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8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8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8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8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8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8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8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8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8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8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8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8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8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8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8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8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8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8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8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8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8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8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8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8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8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8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8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8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8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8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8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8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8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8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8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8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8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8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8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8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8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8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8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8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8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8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8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8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8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8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8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8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8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8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8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8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8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8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8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8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8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8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8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8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8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8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8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8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8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8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8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8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8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8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8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8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8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8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8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8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8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8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8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8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8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8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8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8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8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8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8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8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8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8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8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8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8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8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8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8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8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8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8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8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8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8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8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8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8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8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8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8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8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8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8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8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8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8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8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8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8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8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8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8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8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8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8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8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8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">
      <c r="A368" s="32"/>
      <c r="B368" s="47"/>
      <c r="C368" s="69"/>
      <c r="D368" s="203"/>
      <c r="E368" s="32"/>
      <c r="F368" s="32"/>
      <c r="G368" s="32"/>
      <c r="H368" s="32"/>
      <c r="I368" s="32"/>
      <c r="J368" s="32"/>
      <c r="K368" s="32"/>
      <c r="L368" s="32"/>
      <c r="M368" s="38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">
      <c r="A369" s="32"/>
      <c r="B369" s="47"/>
      <c r="C369" s="69"/>
      <c r="D369" s="203"/>
      <c r="E369" s="32"/>
      <c r="F369" s="32"/>
      <c r="G369" s="32"/>
      <c r="H369" s="32"/>
      <c r="I369" s="32"/>
      <c r="J369" s="32"/>
      <c r="K369" s="32"/>
      <c r="L369" s="32"/>
      <c r="M369" s="38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">
      <c r="A370" s="32"/>
      <c r="B370" s="47"/>
      <c r="C370" s="69"/>
      <c r="D370" s="203"/>
      <c r="E370" s="32"/>
      <c r="F370" s="32"/>
      <c r="G370" s="32"/>
      <c r="H370" s="32"/>
      <c r="I370" s="32"/>
      <c r="J370" s="32"/>
      <c r="K370" s="32"/>
      <c r="L370" s="32"/>
      <c r="M370" s="387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11" sqref="B11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f>-134360-8380</f>
        <v>-142740</v>
      </c>
      <c r="C6" s="80"/>
      <c r="D6" s="80">
        <f t="shared" ref="D6:D14" si="0">+C6-B6</f>
        <v>142740</v>
      </c>
    </row>
    <row r="7" spans="1:4" x14ac:dyDescent="0.2">
      <c r="A7" s="32">
        <v>3531</v>
      </c>
      <c r="B7" s="312">
        <f>-56978-27236</f>
        <v>-84214</v>
      </c>
      <c r="C7" s="80">
        <v>-35396</v>
      </c>
      <c r="D7" s="80">
        <f t="shared" si="0"/>
        <v>48818</v>
      </c>
    </row>
    <row r="8" spans="1:4" x14ac:dyDescent="0.2">
      <c r="A8" s="32">
        <v>60667</v>
      </c>
      <c r="B8" s="312">
        <f>-36658-64102</f>
        <v>-100760</v>
      </c>
      <c r="C8" s="80">
        <v>-282408</v>
      </c>
      <c r="D8" s="80">
        <f t="shared" si="0"/>
        <v>-181648</v>
      </c>
    </row>
    <row r="9" spans="1:4" x14ac:dyDescent="0.2">
      <c r="A9" s="32">
        <v>60749</v>
      </c>
      <c r="B9" s="312">
        <v>23121</v>
      </c>
      <c r="C9" s="80">
        <v>22232</v>
      </c>
      <c r="D9" s="80">
        <f t="shared" si="0"/>
        <v>-889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/>
      <c r="C11" s="80"/>
      <c r="D11" s="80">
        <f t="shared" si="0"/>
        <v>0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9021</v>
      </c>
    </row>
    <row r="19" spans="1:5" x14ac:dyDescent="0.2">
      <c r="A19" s="32" t="s">
        <v>81</v>
      </c>
      <c r="B19" s="69"/>
      <c r="C19" s="69"/>
      <c r="D19" s="73">
        <f>+summary!H4</f>
        <v>2.39</v>
      </c>
    </row>
    <row r="20" spans="1:5" x14ac:dyDescent="0.2">
      <c r="B20" s="69"/>
      <c r="C20" s="69"/>
      <c r="D20" s="75">
        <f>+D19*D18</f>
        <v>21560.190000000002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496">
        <v>58523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36894</v>
      </c>
      <c r="B24" s="69"/>
      <c r="C24" s="69"/>
      <c r="D24" s="335">
        <f>+D22+D20</f>
        <v>80083.19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497">
        <v>26010</v>
      </c>
    </row>
    <row r="33" spans="1:4" x14ac:dyDescent="0.2">
      <c r="A33" s="49">
        <f>+A24</f>
        <v>36894</v>
      </c>
      <c r="D33" s="355">
        <f>+D18</f>
        <v>9021</v>
      </c>
    </row>
    <row r="34" spans="1:4" x14ac:dyDescent="0.2">
      <c r="D34" s="14">
        <f>+D33+D32</f>
        <v>35031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7" sqref="C7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-16924</v>
      </c>
      <c r="C5" s="90">
        <v>-5328</v>
      </c>
      <c r="D5" s="90">
        <f t="shared" ref="D5:D13" si="0">+C5-B5</f>
        <v>11596</v>
      </c>
      <c r="E5" s="69"/>
      <c r="F5" s="201"/>
    </row>
    <row r="6" spans="1:13" x14ac:dyDescent="0.2">
      <c r="A6" s="87">
        <v>9238</v>
      </c>
      <c r="B6" s="90">
        <v>-1929</v>
      </c>
      <c r="C6" s="90">
        <v>-3000</v>
      </c>
      <c r="D6" s="90">
        <f t="shared" si="0"/>
        <v>-1071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-335098</v>
      </c>
      <c r="C7" s="90">
        <v>-370246</v>
      </c>
      <c r="D7" s="90">
        <f t="shared" si="0"/>
        <v>-35148</v>
      </c>
      <c r="E7" s="275"/>
      <c r="F7" s="201"/>
    </row>
    <row r="8" spans="1:13" x14ac:dyDescent="0.2">
      <c r="A8" s="87">
        <v>58710</v>
      </c>
      <c r="B8" s="90">
        <v>-66770</v>
      </c>
      <c r="C8" s="90">
        <v>-49260</v>
      </c>
      <c r="D8" s="90">
        <f t="shared" si="0"/>
        <v>17510</v>
      </c>
      <c r="E8" s="275"/>
      <c r="F8" s="201"/>
    </row>
    <row r="9" spans="1:13" x14ac:dyDescent="0.2">
      <c r="A9" s="87">
        <v>60921</v>
      </c>
      <c r="B9" s="90">
        <v>-151823</v>
      </c>
      <c r="C9" s="90">
        <v>-136234</v>
      </c>
      <c r="D9" s="90">
        <f t="shared" si="0"/>
        <v>15589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5"/>
    </row>
    <row r="11" spans="1:13" x14ac:dyDescent="0.2">
      <c r="A11" s="87">
        <v>500084</v>
      </c>
      <c r="B11" s="90">
        <f>-4517-2296</f>
        <v>-6813</v>
      </c>
      <c r="C11" s="90">
        <v>-9000</v>
      </c>
      <c r="D11" s="90">
        <f t="shared" si="0"/>
        <v>-2187</v>
      </c>
      <c r="E11" s="276"/>
      <c r="F11" s="475"/>
    </row>
    <row r="12" spans="1:13" x14ac:dyDescent="0.2">
      <c r="A12" s="320">
        <v>500085</v>
      </c>
      <c r="B12" s="90">
        <v>-1</v>
      </c>
      <c r="C12" s="90"/>
      <c r="D12" s="90">
        <f t="shared" si="0"/>
        <v>1</v>
      </c>
      <c r="E12" s="275"/>
      <c r="F12" s="475"/>
    </row>
    <row r="13" spans="1:13" x14ac:dyDescent="0.2">
      <c r="A13" s="87">
        <v>500097</v>
      </c>
      <c r="B13" s="90">
        <v>-14119</v>
      </c>
      <c r="C13" s="90">
        <v>-12000</v>
      </c>
      <c r="D13" s="90">
        <f t="shared" si="0"/>
        <v>2119</v>
      </c>
      <c r="E13" s="275"/>
      <c r="F13" s="475"/>
    </row>
    <row r="14" spans="1:13" x14ac:dyDescent="0.2">
      <c r="A14" s="87"/>
      <c r="B14" s="90"/>
      <c r="C14" s="90"/>
      <c r="D14" s="90"/>
      <c r="E14" s="275"/>
      <c r="F14" s="475"/>
    </row>
    <row r="15" spans="1:13" x14ac:dyDescent="0.2">
      <c r="A15" s="87"/>
      <c r="B15" s="90"/>
      <c r="C15" s="90"/>
      <c r="D15" s="90"/>
      <c r="E15" s="275"/>
      <c r="F15" s="475"/>
    </row>
    <row r="16" spans="1:13" x14ac:dyDescent="0.2">
      <c r="A16" s="87"/>
      <c r="B16" s="88"/>
      <c r="C16" s="88"/>
      <c r="D16" s="94"/>
      <c r="E16" s="275"/>
      <c r="F16" s="475"/>
    </row>
    <row r="17" spans="1:7" x14ac:dyDescent="0.2">
      <c r="A17" s="87"/>
      <c r="B17" s="88"/>
      <c r="C17" s="88"/>
      <c r="D17" s="88">
        <f>SUM(D5:D16)</f>
        <v>8409</v>
      </c>
      <c r="E17" s="275"/>
      <c r="F17" s="475"/>
    </row>
    <row r="18" spans="1:7" x14ac:dyDescent="0.2">
      <c r="A18" s="87" t="s">
        <v>81</v>
      </c>
      <c r="B18" s="88"/>
      <c r="C18" s="88"/>
      <c r="D18" s="95">
        <f>+summary!H4</f>
        <v>2.39</v>
      </c>
      <c r="E18" s="277"/>
      <c r="F18" s="475"/>
    </row>
    <row r="19" spans="1:7" x14ac:dyDescent="0.2">
      <c r="A19" s="87"/>
      <c r="B19" s="88"/>
      <c r="C19" s="88"/>
      <c r="D19" s="96">
        <f>+D18*D17</f>
        <v>20097.510000000002</v>
      </c>
      <c r="E19" s="207"/>
      <c r="F19" s="47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13">
        <v>713715.32</v>
      </c>
      <c r="E21" s="207"/>
      <c r="F21" s="476"/>
    </row>
    <row r="22" spans="1:7" x14ac:dyDescent="0.2">
      <c r="A22" s="87"/>
      <c r="B22" s="88"/>
      <c r="C22" s="88"/>
      <c r="D22" s="311"/>
      <c r="E22" s="207"/>
      <c r="F22" s="476"/>
    </row>
    <row r="23" spans="1:7" ht="13.5" thickBot="1" x14ac:dyDescent="0.25">
      <c r="A23" s="99">
        <v>37259</v>
      </c>
      <c r="B23" s="88"/>
      <c r="C23" s="88"/>
      <c r="D23" s="321">
        <f>+D21+D19</f>
        <v>733812.83</v>
      </c>
      <c r="E23" s="207"/>
      <c r="F23" s="476"/>
    </row>
    <row r="24" spans="1:7" ht="13.5" thickTop="1" x14ac:dyDescent="0.2">
      <c r="E24" s="278"/>
    </row>
    <row r="25" spans="1:7" x14ac:dyDescent="0.2">
      <c r="E25" s="538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06">
        <v>283678</v>
      </c>
    </row>
    <row r="29" spans="1:7" x14ac:dyDescent="0.2">
      <c r="A29" s="49">
        <f>+A23</f>
        <v>37259</v>
      </c>
      <c r="B29" s="32"/>
      <c r="C29" s="32"/>
      <c r="D29" s="355">
        <f>+D17</f>
        <v>8409</v>
      </c>
    </row>
    <row r="30" spans="1:7" x14ac:dyDescent="0.2">
      <c r="A30" s="32"/>
      <c r="B30" s="32"/>
      <c r="C30" s="32"/>
      <c r="D30" s="14">
        <f>+D29+D28</f>
        <v>292087</v>
      </c>
      <c r="E30" s="34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5"/>
      <c r="G44" s="204"/>
    </row>
    <row r="45" spans="1:7" x14ac:dyDescent="0.2">
      <c r="B45" s="69"/>
      <c r="C45" s="69"/>
      <c r="D45" s="295"/>
      <c r="E45" s="275"/>
      <c r="F45" s="475"/>
      <c r="G45" s="204"/>
    </row>
    <row r="46" spans="1:7" x14ac:dyDescent="0.2">
      <c r="A46" s="32"/>
      <c r="B46" s="69"/>
      <c r="C46" s="69"/>
      <c r="D46" s="275"/>
      <c r="E46" s="275"/>
      <c r="F46" s="475"/>
      <c r="G46" s="204"/>
    </row>
    <row r="47" spans="1:7" x14ac:dyDescent="0.2">
      <c r="A47" s="32"/>
      <c r="B47" s="69"/>
      <c r="C47" s="69"/>
      <c r="D47" s="277"/>
      <c r="E47" s="277"/>
      <c r="F47" s="475"/>
      <c r="G47" s="204"/>
    </row>
    <row r="48" spans="1:7" x14ac:dyDescent="0.2">
      <c r="B48" s="69"/>
      <c r="C48" s="69"/>
      <c r="D48" s="275"/>
      <c r="E48" s="275"/>
      <c r="F48" s="475"/>
      <c r="G48" s="204"/>
    </row>
    <row r="49" spans="1:7" x14ac:dyDescent="0.2">
      <c r="B49" s="69"/>
      <c r="C49" s="69"/>
      <c r="D49" s="275"/>
      <c r="E49" s="275"/>
      <c r="F49" s="475"/>
      <c r="G49" s="204"/>
    </row>
    <row r="50" spans="1:7" x14ac:dyDescent="0.2">
      <c r="C50" s="292"/>
      <c r="D50" s="292"/>
      <c r="E50" s="292"/>
      <c r="F50" s="477"/>
      <c r="G50" s="293"/>
    </row>
    <row r="51" spans="1:7" x14ac:dyDescent="0.2">
      <c r="A51" s="32"/>
      <c r="C51" s="292"/>
      <c r="D51" s="292"/>
      <c r="E51" s="292"/>
      <c r="F51" s="477"/>
    </row>
    <row r="52" spans="1:7" x14ac:dyDescent="0.2">
      <c r="A52" s="32"/>
      <c r="C52" s="292"/>
      <c r="D52" s="292"/>
      <c r="E52" s="292"/>
      <c r="F52" s="477"/>
    </row>
    <row r="53" spans="1:7" x14ac:dyDescent="0.2">
      <c r="A53" s="32"/>
      <c r="C53" s="292"/>
      <c r="D53" s="292"/>
      <c r="E53" s="292"/>
      <c r="F53" s="477"/>
    </row>
    <row r="54" spans="1:7" x14ac:dyDescent="0.2">
      <c r="A54" s="32"/>
      <c r="C54" s="292"/>
      <c r="D54" s="292"/>
      <c r="E54" s="292"/>
      <c r="F54" s="477"/>
    </row>
    <row r="55" spans="1:7" x14ac:dyDescent="0.2">
      <c r="A55" s="32"/>
      <c r="C55" s="292"/>
      <c r="D55" s="292"/>
      <c r="E55" s="278"/>
      <c r="F55" s="430"/>
    </row>
    <row r="56" spans="1:7" x14ac:dyDescent="0.2">
      <c r="C56" s="292"/>
      <c r="D56" s="292"/>
      <c r="E56" s="278"/>
      <c r="F56" s="430"/>
    </row>
    <row r="57" spans="1:7" x14ac:dyDescent="0.2">
      <c r="C57" s="292"/>
      <c r="D57" s="292"/>
      <c r="E57" s="278"/>
      <c r="F57" s="430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6"/>
    </row>
    <row r="101" spans="1:6" x14ac:dyDescent="0.2">
      <c r="A101" s="32"/>
      <c r="E101" s="63"/>
      <c r="F101" s="476"/>
    </row>
    <row r="102" spans="1:6" ht="13.5" thickBot="1" x14ac:dyDescent="0.25">
      <c r="A102" s="32"/>
      <c r="D102" s="68"/>
      <c r="E102" s="68"/>
      <c r="F102" s="47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6"/>
    </row>
    <row r="127" spans="1:6" x14ac:dyDescent="0.2">
      <c r="A127" s="32"/>
      <c r="D127" s="75"/>
      <c r="E127" s="75"/>
      <c r="F127" s="476"/>
    </row>
    <row r="128" spans="1:6" ht="13.5" thickBot="1" x14ac:dyDescent="0.25">
      <c r="A128" s="32"/>
      <c r="D128" s="77"/>
      <c r="E128" s="77"/>
      <c r="F128" s="47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6"/>
    </row>
    <row r="152" spans="1:6" x14ac:dyDescent="0.2">
      <c r="A152" s="32"/>
      <c r="D152" s="75"/>
      <c r="E152" s="75"/>
      <c r="F152" s="476"/>
    </row>
    <row r="153" spans="1:6" ht="13.5" thickBot="1" x14ac:dyDescent="0.25">
      <c r="A153" s="32"/>
      <c r="D153" s="77"/>
      <c r="E153" s="77"/>
      <c r="F153" s="47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6"/>
    </row>
    <row r="177" spans="1:6" x14ac:dyDescent="0.2">
      <c r="A177" s="32"/>
      <c r="D177" s="75"/>
      <c r="E177" s="75"/>
      <c r="F177" s="476"/>
    </row>
    <row r="178" spans="1:6" ht="13.5" thickBot="1" x14ac:dyDescent="0.25">
      <c r="A178" s="32"/>
      <c r="D178" s="77"/>
      <c r="E178" s="77"/>
      <c r="F178" s="47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6"/>
    </row>
    <row r="201" spans="1:6" x14ac:dyDescent="0.2">
      <c r="A201" s="32"/>
      <c r="D201" s="75"/>
      <c r="E201" s="75"/>
      <c r="F201" s="476"/>
    </row>
    <row r="202" spans="1:6" ht="13.5" thickBot="1" x14ac:dyDescent="0.25">
      <c r="A202" s="32"/>
      <c r="D202" s="83"/>
      <c r="E202" s="77"/>
      <c r="F202" s="47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6"/>
    </row>
    <row r="227" spans="1:6" x14ac:dyDescent="0.2">
      <c r="A227" s="32"/>
      <c r="D227" s="75"/>
      <c r="E227" s="75"/>
      <c r="F227" s="476"/>
    </row>
    <row r="228" spans="1:6" ht="13.5" thickBot="1" x14ac:dyDescent="0.25">
      <c r="A228" s="32"/>
      <c r="D228" s="83"/>
      <c r="E228" s="77"/>
      <c r="F228" s="47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6"/>
    </row>
    <row r="251" spans="1:6" x14ac:dyDescent="0.2">
      <c r="A251" s="32"/>
      <c r="D251" s="75"/>
      <c r="E251" s="75"/>
      <c r="F251" s="476"/>
    </row>
    <row r="252" spans="1:6" ht="13.5" thickBot="1" x14ac:dyDescent="0.25">
      <c r="A252" s="32"/>
      <c r="D252" s="86"/>
      <c r="E252" s="77"/>
      <c r="F252" s="47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6"/>
    </row>
    <row r="275" spans="1:6" x14ac:dyDescent="0.2">
      <c r="A275" s="87"/>
      <c r="B275" s="88"/>
      <c r="C275" s="88"/>
      <c r="D275" s="96"/>
      <c r="E275" s="75"/>
      <c r="F275" s="476"/>
    </row>
    <row r="276" spans="1:6" ht="13.5" thickBot="1" x14ac:dyDescent="0.25">
      <c r="A276" s="87"/>
      <c r="B276" s="88"/>
      <c r="C276" s="88"/>
      <c r="D276" s="98"/>
      <c r="E276" s="77"/>
      <c r="F276" s="47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6"/>
    </row>
    <row r="300" spans="1:6" x14ac:dyDescent="0.2">
      <c r="A300" s="87"/>
      <c r="B300" s="88"/>
      <c r="C300" s="88"/>
      <c r="D300" s="96"/>
      <c r="E300" s="75"/>
      <c r="F300" s="476"/>
    </row>
    <row r="301" spans="1:6" ht="13.5" thickBot="1" x14ac:dyDescent="0.25">
      <c r="A301" s="87"/>
      <c r="B301" s="88"/>
      <c r="C301" s="88"/>
      <c r="D301" s="98"/>
      <c r="E301" s="77"/>
      <c r="F301" s="47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6"/>
    </row>
    <row r="327" spans="1:6" x14ac:dyDescent="0.2">
      <c r="A327" s="87"/>
      <c r="B327" s="88"/>
      <c r="C327" s="88"/>
      <c r="D327" s="96"/>
      <c r="E327" s="75"/>
      <c r="F327" s="476"/>
    </row>
    <row r="328" spans="1:6" ht="13.5" thickBot="1" x14ac:dyDescent="0.25">
      <c r="A328" s="87"/>
      <c r="B328" s="88"/>
      <c r="C328" s="88"/>
      <c r="D328" s="98"/>
      <c r="E328" s="77"/>
      <c r="F328" s="47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C29" sqref="C2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>+E5-D5+C5-B5</f>
        <v>-59</v>
      </c>
    </row>
    <row r="6" spans="1:24" x14ac:dyDescent="0.2">
      <c r="A6">
        <v>4</v>
      </c>
      <c r="B6" s="90"/>
      <c r="C6" s="90"/>
      <c r="D6" s="90"/>
      <c r="E6" s="90"/>
      <c r="F6" s="90">
        <f t="shared" ref="F6:F33" si="0">+E6-D6+C6-B6</f>
        <v>0</v>
      </c>
      <c r="I6" t="s">
        <v>236</v>
      </c>
      <c r="P6" t="s">
        <v>237</v>
      </c>
    </row>
    <row r="7" spans="1:24" x14ac:dyDescent="0.2">
      <c r="A7">
        <v>5</v>
      </c>
      <c r="B7" s="90"/>
      <c r="C7" s="90"/>
      <c r="D7" s="90"/>
      <c r="E7" s="90"/>
      <c r="F7" s="90">
        <f t="shared" si="0"/>
        <v>0</v>
      </c>
    </row>
    <row r="8" spans="1:24" x14ac:dyDescent="0.2">
      <c r="A8">
        <v>6</v>
      </c>
      <c r="B8" s="90"/>
      <c r="C8" s="90"/>
      <c r="D8" s="90"/>
      <c r="E8" s="90"/>
      <c r="F8" s="90">
        <f t="shared" si="0"/>
        <v>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/>
      <c r="C9" s="90"/>
      <c r="D9" s="90"/>
      <c r="E9" s="90"/>
      <c r="F9" s="90">
        <f t="shared" si="0"/>
        <v>0</v>
      </c>
      <c r="I9" s="455"/>
      <c r="J9" s="330"/>
      <c r="K9" s="330"/>
      <c r="L9" s="330"/>
      <c r="M9" s="454"/>
      <c r="N9" s="454"/>
      <c r="O9" s="454"/>
      <c r="P9" s="455"/>
      <c r="Q9" s="330"/>
      <c r="R9" s="330"/>
      <c r="S9" s="330"/>
      <c r="T9" s="454"/>
      <c r="U9" s="454"/>
    </row>
    <row r="10" spans="1:24" x14ac:dyDescent="0.2">
      <c r="A10">
        <v>8</v>
      </c>
      <c r="B10" s="90"/>
      <c r="C10" s="90"/>
      <c r="D10" s="90"/>
      <c r="E10" s="90"/>
      <c r="F10" s="90">
        <f t="shared" si="0"/>
        <v>0</v>
      </c>
      <c r="I10" s="455">
        <v>37012</v>
      </c>
      <c r="J10" s="330">
        <v>1103057</v>
      </c>
      <c r="K10" s="330">
        <v>1120793</v>
      </c>
      <c r="L10" s="330">
        <f>+K10-J10</f>
        <v>17736</v>
      </c>
      <c r="M10" s="454">
        <v>4.01</v>
      </c>
      <c r="N10" s="454">
        <f>+L10*M10</f>
        <v>71121.36</v>
      </c>
      <c r="O10" s="454"/>
      <c r="P10" s="455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4">
        <v>4.01</v>
      </c>
      <c r="U10" s="454">
        <f>+S10*T10</f>
        <v>71081.259999999995</v>
      </c>
      <c r="W10" s="456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455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4">
        <v>3.51</v>
      </c>
      <c r="N11" s="454">
        <f>+L11*M11</f>
        <v>96809.31</v>
      </c>
      <c r="O11" s="454"/>
      <c r="P11" s="455">
        <v>37043</v>
      </c>
      <c r="Q11" s="330">
        <v>-153623</v>
      </c>
      <c r="R11" s="330">
        <v>-88473</v>
      </c>
      <c r="S11" s="330">
        <f t="shared" si="1"/>
        <v>65150</v>
      </c>
      <c r="T11" s="454">
        <v>3.51</v>
      </c>
      <c r="U11" s="454">
        <f>+S11*T11</f>
        <v>228676.5</v>
      </c>
      <c r="W11" s="456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455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4">
        <v>2.94</v>
      </c>
      <c r="N12" s="454">
        <f>+L12*M12</f>
        <v>-114736.44</v>
      </c>
      <c r="O12" s="454"/>
      <c r="P12" s="455">
        <v>37104</v>
      </c>
      <c r="Q12" s="330">
        <v>-34269</v>
      </c>
      <c r="R12" s="330">
        <v>-27046</v>
      </c>
      <c r="S12" s="330">
        <f t="shared" si="1"/>
        <v>7223</v>
      </c>
      <c r="T12" s="454">
        <v>2.85</v>
      </c>
      <c r="U12" s="454">
        <f>+S12*T12</f>
        <v>20585.55</v>
      </c>
      <c r="W12" s="456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455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4">
        <v>2.85</v>
      </c>
      <c r="N13" s="454">
        <f>+L13*M13</f>
        <v>-55210.200000000004</v>
      </c>
      <c r="O13" s="454"/>
      <c r="P13" s="455">
        <v>37135</v>
      </c>
      <c r="Q13" s="330">
        <v>-1191628</v>
      </c>
      <c r="R13" s="330">
        <v>-1210937</v>
      </c>
      <c r="S13" s="330">
        <f t="shared" si="1"/>
        <v>-19309</v>
      </c>
      <c r="T13" s="454">
        <v>1.96</v>
      </c>
      <c r="U13" s="454">
        <f>+S13*T13</f>
        <v>-37845.64</v>
      </c>
      <c r="W13" s="456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455">
        <v>37135</v>
      </c>
      <c r="J14" s="330">
        <v>1109912</v>
      </c>
      <c r="K14" s="330">
        <v>1111335</v>
      </c>
      <c r="L14" s="330">
        <f>+K14-J14</f>
        <v>1423</v>
      </c>
      <c r="M14" s="454">
        <v>1.96</v>
      </c>
      <c r="N14" s="457">
        <f>+L14*M14</f>
        <v>2789.08</v>
      </c>
      <c r="O14" s="454"/>
      <c r="P14" s="455"/>
      <c r="Q14" s="330"/>
      <c r="R14" s="330"/>
      <c r="S14" s="330">
        <f t="shared" si="1"/>
        <v>0</v>
      </c>
      <c r="T14" s="454"/>
      <c r="U14" s="454"/>
      <c r="W14" s="456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55"/>
      <c r="J15" s="330"/>
      <c r="K15" s="330"/>
      <c r="L15" s="330"/>
      <c r="M15" s="454"/>
      <c r="N15" s="454"/>
      <c r="O15" s="454"/>
      <c r="P15" s="455"/>
      <c r="Q15" s="330"/>
      <c r="R15" s="330"/>
      <c r="S15" s="330">
        <f t="shared" si="1"/>
        <v>0</v>
      </c>
      <c r="T15" s="454"/>
      <c r="U15" s="454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55" t="s">
        <v>238</v>
      </c>
      <c r="J16" s="330"/>
      <c r="K16" s="330"/>
      <c r="L16" s="330">
        <f>SUM(L10:L15)</f>
        <v>-11658</v>
      </c>
      <c r="M16" s="454"/>
      <c r="N16" s="454">
        <f>SUM(N9:N15)</f>
        <v>773.10999999997694</v>
      </c>
      <c r="O16" s="454"/>
      <c r="P16" s="455" t="s">
        <v>238</v>
      </c>
      <c r="Q16" s="330"/>
      <c r="R16" s="330"/>
      <c r="S16" s="330">
        <f>SUM(S9:S15)</f>
        <v>70790</v>
      </c>
      <c r="T16" s="454"/>
      <c r="U16" s="454">
        <f>SUM(U9:U15)</f>
        <v>282497.67</v>
      </c>
    </row>
    <row r="17" spans="1:21" x14ac:dyDescent="0.2">
      <c r="A17">
        <v>15</v>
      </c>
      <c r="B17" s="88"/>
      <c r="C17" s="88"/>
      <c r="D17" s="330"/>
      <c r="E17" s="330"/>
      <c r="F17" s="90">
        <f t="shared" si="0"/>
        <v>0</v>
      </c>
    </row>
    <row r="18" spans="1:21" x14ac:dyDescent="0.2">
      <c r="A18">
        <v>16</v>
      </c>
      <c r="B18" s="88"/>
      <c r="C18" s="88"/>
      <c r="D18" s="330"/>
      <c r="E18" s="330"/>
      <c r="F18" s="90">
        <f t="shared" si="0"/>
        <v>0</v>
      </c>
      <c r="I18" s="455" t="s">
        <v>239</v>
      </c>
      <c r="J18" s="330"/>
      <c r="K18" s="330"/>
      <c r="L18" s="330">
        <v>19880</v>
      </c>
      <c r="M18" s="454"/>
      <c r="N18" s="454"/>
      <c r="O18" s="454"/>
      <c r="P18" s="455" t="s">
        <v>239</v>
      </c>
      <c r="Q18" s="330"/>
      <c r="R18" s="330"/>
      <c r="S18" s="330">
        <v>37185</v>
      </c>
      <c r="T18" s="454"/>
      <c r="U18" s="454"/>
    </row>
    <row r="19" spans="1:21" x14ac:dyDescent="0.2">
      <c r="A19">
        <v>17</v>
      </c>
      <c r="B19" s="88"/>
      <c r="C19" s="88"/>
      <c r="D19" s="330"/>
      <c r="E19" s="330"/>
      <c r="F19" s="90">
        <f t="shared" si="0"/>
        <v>0</v>
      </c>
      <c r="I19" s="455"/>
      <c r="J19" s="330"/>
      <c r="K19" s="330"/>
      <c r="L19" s="330"/>
      <c r="M19" s="454"/>
      <c r="N19" s="454"/>
      <c r="O19" s="454"/>
      <c r="P19" s="455"/>
      <c r="Q19" s="330"/>
      <c r="R19" s="330"/>
      <c r="S19" s="330"/>
      <c r="T19" s="454"/>
      <c r="U19" s="454"/>
    </row>
    <row r="20" spans="1:21" x14ac:dyDescent="0.2">
      <c r="A20">
        <v>18</v>
      </c>
      <c r="B20" s="330"/>
      <c r="C20" s="330"/>
      <c r="D20" s="330"/>
      <c r="E20" s="330"/>
      <c r="F20" s="90">
        <f t="shared" si="0"/>
        <v>0</v>
      </c>
      <c r="I20" s="455"/>
      <c r="J20" s="330"/>
      <c r="K20" s="330"/>
      <c r="L20" s="330"/>
      <c r="M20" s="454"/>
      <c r="N20" s="454"/>
      <c r="O20" s="454"/>
      <c r="P20" s="455"/>
      <c r="Q20" s="330"/>
      <c r="R20" s="330"/>
      <c r="S20" s="330"/>
      <c r="T20" s="454"/>
      <c r="U20" s="454"/>
    </row>
    <row r="21" spans="1:21" x14ac:dyDescent="0.2">
      <c r="A21">
        <v>19</v>
      </c>
      <c r="B21" s="330"/>
      <c r="C21" s="330"/>
      <c r="D21" s="330"/>
      <c r="E21" s="330"/>
      <c r="F21" s="90">
        <f t="shared" si="0"/>
        <v>0</v>
      </c>
      <c r="I21" s="455"/>
      <c r="J21" s="330"/>
      <c r="K21" s="330"/>
      <c r="L21" s="330"/>
      <c r="M21" s="454"/>
      <c r="N21" s="454"/>
      <c r="O21" s="454"/>
      <c r="P21" s="455"/>
      <c r="Q21" s="330"/>
      <c r="R21" s="330"/>
      <c r="S21" s="330"/>
      <c r="T21" s="454"/>
      <c r="U21" s="454"/>
    </row>
    <row r="22" spans="1:21" x14ac:dyDescent="0.2">
      <c r="A22">
        <v>20</v>
      </c>
      <c r="B22" s="436"/>
      <c r="C22" s="330"/>
      <c r="D22" s="330"/>
      <c r="E22" s="330"/>
      <c r="F22" s="90">
        <f t="shared" si="0"/>
        <v>0</v>
      </c>
      <c r="I22" s="455"/>
      <c r="J22" s="330"/>
      <c r="K22" s="330"/>
      <c r="L22" s="330"/>
      <c r="M22" s="454"/>
      <c r="N22" s="454"/>
      <c r="O22" s="454"/>
      <c r="P22" s="455"/>
      <c r="Q22" s="330"/>
      <c r="R22" s="330"/>
      <c r="S22" s="330"/>
      <c r="T22" s="454"/>
      <c r="U22" s="454"/>
    </row>
    <row r="23" spans="1:21" x14ac:dyDescent="0.2">
      <c r="A23">
        <v>21</v>
      </c>
      <c r="B23" s="330"/>
      <c r="C23" s="330"/>
      <c r="D23" s="330"/>
      <c r="E23" s="330"/>
      <c r="F23" s="90">
        <f t="shared" si="0"/>
        <v>0</v>
      </c>
      <c r="I23" s="455"/>
      <c r="J23" s="330"/>
      <c r="K23" s="330"/>
      <c r="L23" s="330"/>
      <c r="M23" s="454"/>
      <c r="N23" s="454"/>
      <c r="O23" s="454"/>
      <c r="P23" s="455"/>
      <c r="Q23" s="330"/>
      <c r="R23" s="330"/>
      <c r="S23" s="330"/>
      <c r="T23" s="454"/>
      <c r="U23" s="454"/>
    </row>
    <row r="24" spans="1:21" x14ac:dyDescent="0.2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4"/>
      <c r="N24" s="454"/>
      <c r="O24" s="454"/>
      <c r="P24" s="87"/>
      <c r="Q24" s="87"/>
      <c r="R24" s="87"/>
      <c r="S24" s="330"/>
      <c r="T24" s="454"/>
      <c r="U24" s="454"/>
    </row>
    <row r="25" spans="1:21" x14ac:dyDescent="0.2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4"/>
      <c r="N25" s="454"/>
      <c r="O25" s="454"/>
      <c r="P25" s="87"/>
      <c r="Q25" s="87"/>
      <c r="R25" s="87"/>
      <c r="S25" s="330"/>
      <c r="T25" s="454"/>
      <c r="U25" s="454"/>
    </row>
    <row r="26" spans="1:21" x14ac:dyDescent="0.2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4"/>
      <c r="N26" s="454"/>
      <c r="O26" s="454"/>
      <c r="P26" s="87"/>
      <c r="Q26" s="87"/>
      <c r="R26" s="87"/>
      <c r="S26" s="330"/>
      <c r="T26" s="454"/>
      <c r="U26" s="454"/>
    </row>
    <row r="27" spans="1:21" x14ac:dyDescent="0.2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4"/>
      <c r="N27" s="454"/>
      <c r="O27" s="454"/>
      <c r="P27" s="87"/>
      <c r="Q27" s="87"/>
      <c r="R27" s="87"/>
      <c r="S27" s="330"/>
      <c r="T27" s="454"/>
      <c r="U27" s="454"/>
    </row>
    <row r="28" spans="1:21" x14ac:dyDescent="0.2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4"/>
      <c r="N28" s="454"/>
      <c r="O28" s="454"/>
      <c r="P28" s="87"/>
      <c r="Q28" s="87"/>
      <c r="R28" s="87"/>
      <c r="S28" s="87"/>
      <c r="T28" s="454"/>
      <c r="U28" s="454"/>
    </row>
    <row r="29" spans="1:21" x14ac:dyDescent="0.2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4"/>
      <c r="N29" s="454"/>
      <c r="O29" s="454"/>
      <c r="P29" s="87"/>
      <c r="Q29" s="87"/>
      <c r="R29" s="87"/>
      <c r="S29" s="87"/>
      <c r="T29" s="454"/>
      <c r="U29" s="454"/>
    </row>
    <row r="30" spans="1:21" x14ac:dyDescent="0.2">
      <c r="A30">
        <v>28</v>
      </c>
      <c r="B30" s="436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4"/>
      <c r="N30" s="454"/>
      <c r="O30" s="454"/>
      <c r="P30" s="87"/>
      <c r="Q30" s="87"/>
      <c r="R30" s="87"/>
      <c r="S30" s="87"/>
      <c r="T30" s="454"/>
      <c r="U30" s="454"/>
    </row>
    <row r="31" spans="1:21" x14ac:dyDescent="0.2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4"/>
      <c r="N31" s="454"/>
      <c r="O31" s="454"/>
      <c r="P31" s="87"/>
      <c r="Q31" s="87"/>
      <c r="R31" s="87"/>
      <c r="S31" s="87"/>
      <c r="T31" s="454"/>
      <c r="U31" s="454"/>
    </row>
    <row r="32" spans="1:21" x14ac:dyDescent="0.2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">
      <c r="B34" s="287">
        <f>SUM(B3:B33)</f>
        <v>123094</v>
      </c>
      <c r="C34" s="287">
        <f>SUM(C3:C33)</f>
        <v>125014</v>
      </c>
      <c r="D34" s="14">
        <f>SUM(D3:D33)</f>
        <v>0</v>
      </c>
      <c r="E34" s="14">
        <f>SUM(E3:E33)</f>
        <v>0</v>
      </c>
      <c r="F34" s="14">
        <f>SUM(F3:F33)</f>
        <v>1920</v>
      </c>
      <c r="M34" s="259"/>
      <c r="N34" s="259"/>
      <c r="O34" s="259"/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98">
        <v>116110</v>
      </c>
      <c r="M37" s="259"/>
      <c r="N37" s="259"/>
      <c r="O37" s="259"/>
      <c r="T37" s="259"/>
      <c r="U37" s="259"/>
    </row>
    <row r="38" spans="1:21" x14ac:dyDescent="0.2">
      <c r="A38" s="256">
        <v>37259</v>
      </c>
      <c r="B38" s="14"/>
      <c r="C38" s="14"/>
      <c r="D38" s="14"/>
      <c r="E38" s="14"/>
      <c r="F38" s="150">
        <f>+F37+F34</f>
        <v>118030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505">
        <v>296376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37259</v>
      </c>
      <c r="B44" s="32"/>
      <c r="C44" s="32"/>
      <c r="D44" s="382">
        <f>+F34*'by type_area'!J4</f>
        <v>4588.8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300964.8</v>
      </c>
      <c r="F45" s="293"/>
      <c r="I45" s="535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>
      <selection activeCell="C30" sqref="C30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/>
      <c r="C7" s="11"/>
      <c r="D7" s="25">
        <f t="shared" si="0"/>
        <v>0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29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-40954</v>
      </c>
      <c r="C35" s="11">
        <f>SUM(C4:C34)</f>
        <v>-40900</v>
      </c>
      <c r="D35" s="11">
        <f>SUM(D4:D34)</f>
        <v>54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511">
        <v>186823</v>
      </c>
    </row>
    <row r="39" spans="1:4" x14ac:dyDescent="0.2">
      <c r="A39" s="2"/>
      <c r="D39" s="24"/>
    </row>
    <row r="40" spans="1:4" x14ac:dyDescent="0.2">
      <c r="A40" s="57">
        <v>37259</v>
      </c>
      <c r="D40" s="51">
        <f>+D38+D35</f>
        <v>186877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509">
        <v>199813</v>
      </c>
    </row>
    <row r="46" spans="1:4" x14ac:dyDescent="0.2">
      <c r="A46" s="49">
        <f>+A40</f>
        <v>37259</v>
      </c>
      <c r="B46" s="32"/>
      <c r="C46" s="32"/>
      <c r="D46" s="382">
        <f>+D35*'by type_area'!J4</f>
        <v>129.06</v>
      </c>
    </row>
    <row r="47" spans="1:4" x14ac:dyDescent="0.2">
      <c r="A47" s="32"/>
      <c r="B47" s="32"/>
      <c r="C47" s="32"/>
      <c r="D47" s="200">
        <f>+D46+D45</f>
        <v>199942.06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B27" sqref="B2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243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/>
      <c r="C4" s="11"/>
      <c r="D4" s="11"/>
      <c r="E4" s="11"/>
      <c r="F4" s="11"/>
      <c r="G4" s="11"/>
      <c r="H4" s="11"/>
      <c r="I4" s="11"/>
      <c r="J4" s="11">
        <f t="shared" ref="J4:J34" si="0">+C4+E4+G4+I4-H4-F4-D4-B4</f>
        <v>0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/>
      <c r="C5" s="11"/>
      <c r="D5" s="11"/>
      <c r="E5" s="11"/>
      <c r="F5" s="11"/>
      <c r="G5" s="11"/>
      <c r="H5" s="11"/>
      <c r="I5" s="11"/>
      <c r="J5" s="11">
        <f t="shared" si="0"/>
        <v>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/>
      <c r="C6" s="11"/>
      <c r="D6" s="11"/>
      <c r="E6" s="11"/>
      <c r="F6" s="11"/>
      <c r="G6" s="11"/>
      <c r="H6" s="11"/>
      <c r="I6" s="11"/>
      <c r="J6" s="11">
        <f t="shared" si="0"/>
        <v>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0</v>
      </c>
      <c r="C35" s="11">
        <f t="shared" ref="C35:I35" si="1">SUM(C4:C34)</f>
        <v>0</v>
      </c>
      <c r="D35" s="11">
        <f t="shared" si="1"/>
        <v>0</v>
      </c>
      <c r="E35" s="11">
        <f t="shared" si="1"/>
        <v>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0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2.39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0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05">
        <v>4885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37256</v>
      </c>
      <c r="J41" s="322">
        <f>+J39+J37</f>
        <v>4885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06">
        <v>-125383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37256</v>
      </c>
      <c r="B47" s="32"/>
      <c r="C47" s="32"/>
      <c r="D47" s="355">
        <f>+J35</f>
        <v>0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-125383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B41" sqref="B4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-33275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-32525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-32436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-8093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-791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-38245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-30926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-22893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-31770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-20252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-21892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-20839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-29544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-22158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-15402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-30336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-28076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-27998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-28157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-27306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-9140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-22101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-3824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-38277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-37396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-5579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2.39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E40" s="14"/>
      <c r="F40" s="514">
        <v>385015.89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37256</v>
      </c>
      <c r="E41" s="14"/>
      <c r="F41" s="104">
        <f>+F40+F39</f>
        <v>385015.89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6">
        <v>-9522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37256</v>
      </c>
      <c r="B47" s="32"/>
      <c r="C47" s="32"/>
      <c r="D47" s="355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-9522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B8" sqref="B8:E3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53">
        <f>+summary!H4</f>
        <v>2.39</v>
      </c>
    </row>
    <row r="41" spans="1:6" x14ac:dyDescent="0.2">
      <c r="F41" s="138">
        <f>+F40*F39</f>
        <v>0</v>
      </c>
    </row>
    <row r="42" spans="1:6" x14ac:dyDescent="0.2">
      <c r="A42" s="57">
        <v>37256</v>
      </c>
      <c r="C42" s="15"/>
      <c r="F42" s="516">
        <v>34262</v>
      </c>
    </row>
    <row r="43" spans="1:6" x14ac:dyDescent="0.2">
      <c r="A43" s="57">
        <v>37256</v>
      </c>
      <c r="C43" s="48"/>
      <c r="F43" s="138">
        <f>+F42+F41</f>
        <v>34262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506">
        <v>748</v>
      </c>
    </row>
    <row r="49" spans="1:4" x14ac:dyDescent="0.2">
      <c r="A49" s="49">
        <f>+A43</f>
        <v>37256</v>
      </c>
      <c r="B49" s="32"/>
      <c r="C49" s="32"/>
      <c r="D49" s="355">
        <f>+F39</f>
        <v>0</v>
      </c>
    </row>
    <row r="50" spans="1:4" x14ac:dyDescent="0.2">
      <c r="A50" s="32"/>
      <c r="B50" s="32"/>
      <c r="C50" s="32"/>
      <c r="D50" s="14">
        <f>+D49+D48</f>
        <v>748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7" workbookViewId="0">
      <selection activeCell="B25" sqref="B25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58"/>
    </row>
    <row r="41" spans="1:4" x14ac:dyDescent="0.2">
      <c r="A41" s="57">
        <v>37256</v>
      </c>
      <c r="C41" s="15"/>
      <c r="D41" s="465">
        <v>16328</v>
      </c>
    </row>
    <row r="42" spans="1:4" x14ac:dyDescent="0.2">
      <c r="A42" s="57">
        <v>37256</v>
      </c>
      <c r="C42" s="48"/>
      <c r="D42" s="24">
        <f>+D41+D39</f>
        <v>16328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9">
        <v>383278</v>
      </c>
    </row>
    <row r="48" spans="1:4" x14ac:dyDescent="0.2">
      <c r="A48" s="49">
        <f>+A42</f>
        <v>37256</v>
      </c>
      <c r="B48" s="32"/>
      <c r="C48" s="32"/>
      <c r="D48" s="382">
        <f>+D39*summary!H4</f>
        <v>0</v>
      </c>
    </row>
    <row r="49" spans="1:4" x14ac:dyDescent="0.2">
      <c r="A49" s="32"/>
      <c r="B49" s="32"/>
      <c r="C49" s="32"/>
      <c r="D49" s="200">
        <f>+D48+D47</f>
        <v>383278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3" workbookViewId="0">
      <selection activeCell="B40" sqref="B40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20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21" t="s">
        <v>19</v>
      </c>
      <c r="I7" s="421" t="s">
        <v>20</v>
      </c>
      <c r="J7" s="422" t="s">
        <v>49</v>
      </c>
      <c r="K7" s="420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-84088</v>
      </c>
      <c r="C8" s="11">
        <v>-90299</v>
      </c>
      <c r="D8" s="25">
        <f t="shared" si="0"/>
        <v>-6211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0">
        <v>5.62</v>
      </c>
      <c r="L8" s="42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0">
        <v>4.9800000000000004</v>
      </c>
      <c r="L9" s="42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0">
        <v>4.87</v>
      </c>
      <c r="L10" s="42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0">
        <v>3.82</v>
      </c>
      <c r="L11" s="42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0">
        <v>3.2</v>
      </c>
      <c r="L12" s="42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0">
        <v>2.77</v>
      </c>
      <c r="L13" s="42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0">
        <v>2.77</v>
      </c>
      <c r="L14" s="42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46"/>
      <c r="H15" s="119"/>
      <c r="I15" s="119"/>
      <c r="J15" s="119"/>
      <c r="K15" s="420"/>
      <c r="L15" s="425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47"/>
      <c r="H16" s="34"/>
      <c r="I16" s="34"/>
      <c r="J16" s="189"/>
      <c r="K16" s="420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47"/>
      <c r="H17" s="34"/>
      <c r="I17" s="34"/>
      <c r="J17" s="310">
        <f>SUM(J8:J16)</f>
        <v>130492</v>
      </c>
      <c r="K17" s="42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20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185</v>
      </c>
      <c r="H19" s="119">
        <f>+B37</f>
        <v>-249604</v>
      </c>
      <c r="I19" s="119">
        <f>+C37</f>
        <v>-250885</v>
      </c>
      <c r="J19" s="119">
        <f>+I19-H19</f>
        <v>-1281</v>
      </c>
      <c r="K19" s="420">
        <f>+D38</f>
        <v>2.39</v>
      </c>
      <c r="L19" s="425">
        <f>+K19*J19</f>
        <v>-3061.59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20"/>
      <c r="L20" s="425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6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186</v>
      </c>
      <c r="H24" s="24"/>
      <c r="I24" s="24"/>
      <c r="J24" s="24">
        <f>+J19+J17</f>
        <v>129211</v>
      </c>
      <c r="K24" s="416"/>
      <c r="L24" s="110">
        <f>+L19+L17</f>
        <v>78623.509999999835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6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187</v>
      </c>
      <c r="H26" s="24"/>
      <c r="I26" s="24"/>
      <c r="J26" s="110"/>
      <c r="K26" s="416"/>
      <c r="L26" s="24">
        <f>+L24/K19</f>
        <v>32896.86610878654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6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6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-249604</v>
      </c>
      <c r="C37" s="11">
        <f>SUM(C6:C36)</f>
        <v>-250885</v>
      </c>
      <c r="D37" s="25">
        <f>SUM(D6:D36)</f>
        <v>-1281</v>
      </c>
    </row>
    <row r="38" spans="1:4" x14ac:dyDescent="0.2">
      <c r="A38" s="26"/>
      <c r="C38" s="14"/>
      <c r="D38" s="329">
        <f>+summary!H4</f>
        <v>2.39</v>
      </c>
    </row>
    <row r="39" spans="1:4" x14ac:dyDescent="0.2">
      <c r="D39" s="138">
        <f>+D38*D37</f>
        <v>-3061.59</v>
      </c>
    </row>
    <row r="40" spans="1:4" x14ac:dyDescent="0.2">
      <c r="A40" s="57">
        <v>37256</v>
      </c>
      <c r="C40" s="15"/>
      <c r="D40" s="516">
        <v>181805</v>
      </c>
    </row>
    <row r="41" spans="1:4" x14ac:dyDescent="0.2">
      <c r="A41" s="57">
        <v>37259</v>
      </c>
      <c r="C41" s="48"/>
      <c r="D41" s="138">
        <f>+D40+D39</f>
        <v>178743.41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06">
        <v>174403</v>
      </c>
    </row>
    <row r="46" spans="1:4" x14ac:dyDescent="0.2">
      <c r="A46" s="49">
        <f>+A41</f>
        <v>37259</v>
      </c>
      <c r="B46" s="32"/>
      <c r="C46" s="32"/>
      <c r="D46" s="355">
        <f>+D37</f>
        <v>-1281</v>
      </c>
    </row>
    <row r="47" spans="1:4" x14ac:dyDescent="0.2">
      <c r="A47" s="32"/>
      <c r="B47" s="32"/>
      <c r="C47" s="32"/>
      <c r="D47" s="14">
        <f>+D46+D45</f>
        <v>173122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workbookViewId="0">
      <selection activeCell="C9" sqref="C9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/>
      <c r="C9" s="11"/>
      <c r="D9" s="25">
        <f t="shared" si="0"/>
        <v>0</v>
      </c>
    </row>
    <row r="10" spans="1:5" x14ac:dyDescent="0.2">
      <c r="A10" s="10">
        <v>5</v>
      </c>
      <c r="B10" s="11"/>
      <c r="C10" s="11"/>
      <c r="D10" s="25">
        <f t="shared" si="0"/>
        <v>0</v>
      </c>
    </row>
    <row r="11" spans="1:5" x14ac:dyDescent="0.2">
      <c r="A11" s="10">
        <v>6</v>
      </c>
      <c r="B11" s="129"/>
      <c r="C11" s="11"/>
      <c r="D11" s="25">
        <f t="shared" si="0"/>
        <v>0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90287</v>
      </c>
      <c r="C37" s="11">
        <f>SUM(C6:C36)</f>
        <v>90039</v>
      </c>
      <c r="D37" s="25">
        <f>SUM(D6:D36)</f>
        <v>-248</v>
      </c>
    </row>
    <row r="38" spans="1:4" x14ac:dyDescent="0.2">
      <c r="A38" s="26"/>
      <c r="B38" s="31"/>
      <c r="C38" s="14"/>
      <c r="D38" s="329">
        <f>+summary!H5</f>
        <v>2.41</v>
      </c>
    </row>
    <row r="39" spans="1:4" x14ac:dyDescent="0.2">
      <c r="D39" s="138">
        <f>+D38*D37</f>
        <v>-597.68000000000006</v>
      </c>
    </row>
    <row r="40" spans="1:4" x14ac:dyDescent="0.2">
      <c r="A40" s="57">
        <v>37256</v>
      </c>
      <c r="C40" s="15"/>
      <c r="D40" s="516">
        <v>85004</v>
      </c>
    </row>
    <row r="41" spans="1:4" x14ac:dyDescent="0.2">
      <c r="A41" s="57">
        <v>37259</v>
      </c>
      <c r="C41" s="48"/>
      <c r="D41" s="138">
        <f>+D40+D39</f>
        <v>84406.32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06">
        <v>54582</v>
      </c>
    </row>
    <row r="46" spans="1:4" x14ac:dyDescent="0.2">
      <c r="A46" s="49">
        <f>+A41</f>
        <v>37259</v>
      </c>
      <c r="B46" s="32"/>
      <c r="C46" s="32"/>
      <c r="D46" s="355">
        <f>+D37</f>
        <v>-248</v>
      </c>
    </row>
    <row r="47" spans="1:4" x14ac:dyDescent="0.2">
      <c r="A47" s="32"/>
      <c r="B47" s="32"/>
      <c r="C47" s="32"/>
      <c r="D47" s="14">
        <f>+D46+D45</f>
        <v>54334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7" workbookViewId="0">
      <selection activeCell="A42" sqref="A42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5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6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4" t="s">
        <v>39</v>
      </c>
      <c r="N4" s="4" t="s">
        <v>19</v>
      </c>
      <c r="O4" s="4" t="s">
        <v>20</v>
      </c>
      <c r="P4" s="41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252</v>
      </c>
      <c r="N5" s="14"/>
      <c r="O5" s="14"/>
      <c r="P5" s="14">
        <v>-34361</v>
      </c>
      <c r="Q5" s="366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38098</v>
      </c>
      <c r="E6" s="11">
        <v>38046</v>
      </c>
      <c r="F6" s="11">
        <v>47669</v>
      </c>
      <c r="G6" s="11">
        <v>45711</v>
      </c>
      <c r="H6" s="11">
        <v>136447</v>
      </c>
      <c r="I6" s="11">
        <v>129393</v>
      </c>
      <c r="J6" s="11">
        <f t="shared" si="0"/>
        <v>-1157</v>
      </c>
      <c r="M6" s="41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6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M7" s="414">
        <v>36892</v>
      </c>
      <c r="N7" s="24">
        <v>18949781</v>
      </c>
      <c r="O7" s="14">
        <v>18975457</v>
      </c>
      <c r="P7" s="14">
        <f t="shared" si="1"/>
        <v>25676</v>
      </c>
      <c r="Q7" s="366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14">
        <v>36923</v>
      </c>
      <c r="N8" s="24">
        <v>15256233</v>
      </c>
      <c r="O8" s="14">
        <v>15290953</v>
      </c>
      <c r="P8" s="14">
        <f t="shared" si="1"/>
        <v>34720</v>
      </c>
      <c r="Q8" s="366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14">
        <v>36951</v>
      </c>
      <c r="N9" s="24">
        <v>17049350</v>
      </c>
      <c r="O9" s="14">
        <v>17089226</v>
      </c>
      <c r="P9" s="14">
        <f t="shared" si="1"/>
        <v>39876</v>
      </c>
      <c r="Q9" s="366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14">
        <v>36982</v>
      </c>
      <c r="N10" s="24">
        <v>17652369</v>
      </c>
      <c r="O10" s="14">
        <v>17743987</v>
      </c>
      <c r="P10" s="14">
        <f t="shared" si="1"/>
        <v>91618</v>
      </c>
      <c r="Q10" s="366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14">
        <v>37012</v>
      </c>
      <c r="N11" s="24">
        <v>16124989</v>
      </c>
      <c r="O11" s="14">
        <v>16282021</v>
      </c>
      <c r="P11" s="14">
        <f t="shared" si="1"/>
        <v>157032</v>
      </c>
      <c r="Q11" s="366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14">
        <v>37043</v>
      </c>
      <c r="N12" s="24">
        <v>15928675</v>
      </c>
      <c r="O12" s="14">
        <v>15936227</v>
      </c>
      <c r="P12" s="14">
        <f t="shared" si="1"/>
        <v>7552</v>
      </c>
      <c r="Q12" s="366">
        <v>2.58</v>
      </c>
      <c r="R12" s="200">
        <f t="shared" si="2"/>
        <v>19484.16</v>
      </c>
      <c r="S12" s="493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14">
        <v>37073</v>
      </c>
      <c r="N13" s="24">
        <v>16669639</v>
      </c>
      <c r="O13" s="14">
        <v>16693576</v>
      </c>
      <c r="P13" s="14">
        <f t="shared" si="1"/>
        <v>23937</v>
      </c>
      <c r="Q13" s="366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14">
        <v>37104</v>
      </c>
      <c r="N14" s="24">
        <v>17850737</v>
      </c>
      <c r="O14" s="14">
        <v>17815859</v>
      </c>
      <c r="P14" s="14">
        <f>+O14-N14</f>
        <v>-34878</v>
      </c>
      <c r="Q14" s="366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14">
        <v>37135</v>
      </c>
      <c r="N15" s="24">
        <v>16552948</v>
      </c>
      <c r="O15" s="14">
        <v>16508018</v>
      </c>
      <c r="P15" s="14">
        <f>+O15-N15</f>
        <v>-44930</v>
      </c>
      <c r="Q15" s="366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14">
        <v>37165</v>
      </c>
      <c r="N16" s="24">
        <v>17924814</v>
      </c>
      <c r="O16" s="14">
        <v>17872479</v>
      </c>
      <c r="P16" s="14">
        <f>+O16-N16</f>
        <v>-52335</v>
      </c>
      <c r="Q16" s="366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1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6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14">
        <v>37229</v>
      </c>
      <c r="N18" s="24"/>
      <c r="O18" s="14"/>
      <c r="P18" s="14">
        <f>+O18-N18</f>
        <v>0</v>
      </c>
      <c r="Q18" s="366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4"/>
      <c r="N21" s="24"/>
      <c r="O21" s="14"/>
      <c r="P21" s="14">
        <f>SUM(P5:P20)</f>
        <v>135708</v>
      </c>
      <c r="Q21" s="366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4"/>
      <c r="N22" s="24"/>
      <c r="O22" s="14"/>
      <c r="P22" s="201">
        <v>1.98</v>
      </c>
      <c r="Q22" s="366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4"/>
      <c r="N23" s="14">
        <v>1378106</v>
      </c>
      <c r="O23" s="14">
        <v>1316146</v>
      </c>
      <c r="P23" s="201">
        <f>+P22*P21</f>
        <v>268701.84000000003</v>
      </c>
      <c r="Q23" s="366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4"/>
      <c r="N24" s="14">
        <v>9216070</v>
      </c>
      <c r="O24" s="14">
        <v>9272400</v>
      </c>
      <c r="P24" s="15"/>
      <c r="Q24" s="366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4"/>
      <c r="N25" s="24">
        <v>3546065</v>
      </c>
      <c r="O25" s="24">
        <v>3512740</v>
      </c>
      <c r="P25" s="110"/>
      <c r="Q25" s="41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6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6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6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850592</v>
      </c>
      <c r="C35" s="11">
        <f t="shared" ref="C35:I35" si="3">SUM(C4:C34)</f>
        <v>859902</v>
      </c>
      <c r="D35" s="11">
        <f t="shared" si="3"/>
        <v>119048</v>
      </c>
      <c r="E35" s="11">
        <f t="shared" si="3"/>
        <v>116700</v>
      </c>
      <c r="F35" s="11">
        <f t="shared" si="3"/>
        <v>118298</v>
      </c>
      <c r="G35" s="11">
        <f t="shared" si="3"/>
        <v>145037</v>
      </c>
      <c r="H35" s="11">
        <f t="shared" si="3"/>
        <v>333560</v>
      </c>
      <c r="I35" s="11">
        <f t="shared" si="3"/>
        <v>299866</v>
      </c>
      <c r="J35" s="11">
        <f>SUM(J4:J34)</f>
        <v>7</v>
      </c>
      <c r="M35" s="32"/>
      <c r="N35" s="24"/>
      <c r="O35" s="32"/>
      <c r="P35" s="15"/>
      <c r="Q35" s="366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6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6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504">
        <v>0</v>
      </c>
      <c r="M38" s="32"/>
      <c r="N38" s="24"/>
      <c r="O38" s="32"/>
      <c r="P38" s="15"/>
      <c r="Q38" s="366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6"/>
      <c r="R39" s="110"/>
      <c r="S39" s="19"/>
      <c r="T39" s="104"/>
      <c r="U39" s="16"/>
      <c r="V39" s="15"/>
      <c r="W39" s="13"/>
    </row>
    <row r="40" spans="1:23" x14ac:dyDescent="0.2">
      <c r="A40" s="33">
        <v>37259</v>
      </c>
      <c r="J40" s="51">
        <f>+J38+J35</f>
        <v>7</v>
      </c>
      <c r="M40" s="32"/>
      <c r="N40" s="24"/>
      <c r="O40" s="32"/>
      <c r="P40" s="15"/>
      <c r="Q40" s="366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6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6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6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6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6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99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6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37259</v>
      </c>
      <c r="B47" s="32"/>
      <c r="C47" s="32"/>
      <c r="D47" s="382">
        <f>+J35*'by type_area'!J3</f>
        <v>16.52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6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16.52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6"/>
      <c r="R48" s="15"/>
      <c r="S48" s="19"/>
      <c r="T48" s="32"/>
    </row>
    <row r="49" spans="1:20" x14ac:dyDescent="0.2">
      <c r="A49" s="139"/>
      <c r="B49" s="119"/>
      <c r="C49" s="140"/>
      <c r="D49" s="38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6"/>
      <c r="R49" s="15"/>
      <c r="S49" s="32"/>
      <c r="T49" s="32"/>
    </row>
    <row r="50" spans="1:20" x14ac:dyDescent="0.2">
      <c r="A50" s="10"/>
      <c r="B50" s="11"/>
      <c r="C50" s="11"/>
      <c r="D50" s="38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6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6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6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6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6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6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6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6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6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6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6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6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6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6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6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6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6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6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6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6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6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6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6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6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6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6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6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6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6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6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6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6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6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6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6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6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6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6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6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6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12"/>
      <c r="Q255" s="143"/>
      <c r="R255" s="41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3"/>
      <c r="Q256" s="418"/>
      <c r="R256" s="41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7"/>
      <c r="S295" s="1"/>
    </row>
    <row r="296" spans="9:21" x14ac:dyDescent="0.2">
      <c r="K296" s="2"/>
      <c r="M296" s="30"/>
      <c r="N296" s="4"/>
      <c r="O296" s="4"/>
      <c r="P296" s="412"/>
      <c r="Q296" s="143"/>
      <c r="R296" s="41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3"/>
      <c r="Q297" s="418"/>
      <c r="R297" s="41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7"/>
      <c r="S337" s="1"/>
    </row>
    <row r="338" spans="11:21" x14ac:dyDescent="0.2">
      <c r="K338" s="2"/>
      <c r="M338" s="30"/>
      <c r="N338" s="4"/>
      <c r="O338" s="4"/>
      <c r="P338" s="412"/>
      <c r="Q338" s="143"/>
      <c r="R338" s="41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3"/>
      <c r="Q339" s="418"/>
      <c r="R339" s="41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7"/>
      <c r="S379" s="1"/>
    </row>
    <row r="380" spans="11:21" x14ac:dyDescent="0.2">
      <c r="K380" s="2"/>
      <c r="M380" s="30"/>
      <c r="N380" s="4"/>
      <c r="O380" s="4"/>
      <c r="P380" s="412"/>
      <c r="Q380" s="143"/>
      <c r="R380" s="41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3"/>
      <c r="Q381" s="418"/>
      <c r="R381" s="41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7"/>
      <c r="S423" s="1"/>
    </row>
    <row r="424" spans="11:21" x14ac:dyDescent="0.2">
      <c r="K424" s="2"/>
      <c r="M424" s="30"/>
      <c r="N424" s="4"/>
      <c r="O424" s="4"/>
      <c r="P424" s="412"/>
      <c r="Q424" s="143"/>
      <c r="R424" s="41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3"/>
      <c r="Q425" s="418"/>
      <c r="R425" s="41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12"/>
      <c r="Q466" s="143"/>
      <c r="R466" s="41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3"/>
      <c r="Q467" s="418"/>
      <c r="R467" s="41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4" workbookViewId="0">
      <selection activeCell="C32" sqref="C32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140627</v>
      </c>
      <c r="C37" s="11">
        <f>SUM(C6:C36)</f>
        <v>135296</v>
      </c>
      <c r="D37" s="25">
        <f>SUM(D6:D36)</f>
        <v>-5331</v>
      </c>
    </row>
    <row r="38" spans="1:4" x14ac:dyDescent="0.2">
      <c r="A38" s="26"/>
      <c r="C38" s="14"/>
      <c r="D38" s="329">
        <f>+summary!H5</f>
        <v>2.41</v>
      </c>
    </row>
    <row r="39" spans="1:4" x14ac:dyDescent="0.2">
      <c r="D39" s="138">
        <f>+D38*D37</f>
        <v>-12847.710000000001</v>
      </c>
    </row>
    <row r="40" spans="1:4" x14ac:dyDescent="0.2">
      <c r="A40" s="57">
        <v>37256</v>
      </c>
      <c r="C40" s="15"/>
      <c r="D40" s="515">
        <v>45576</v>
      </c>
    </row>
    <row r="41" spans="1:4" x14ac:dyDescent="0.2">
      <c r="A41" s="57">
        <v>37259</v>
      </c>
      <c r="C41" s="48"/>
      <c r="D41" s="138">
        <f>+D40+D39</f>
        <v>32728.29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6">
        <v>21398</v>
      </c>
    </row>
    <row r="47" spans="1:4" x14ac:dyDescent="0.2">
      <c r="A47" s="49">
        <f>+A41</f>
        <v>37259</v>
      </c>
      <c r="B47" s="32"/>
      <c r="C47" s="32"/>
      <c r="D47" s="355">
        <f>+D37</f>
        <v>-5331</v>
      </c>
    </row>
    <row r="48" spans="1:4" x14ac:dyDescent="0.2">
      <c r="A48" s="32"/>
      <c r="B48" s="32"/>
      <c r="C48" s="32"/>
      <c r="D48" s="14">
        <f>+D47+D46</f>
        <v>16067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B29" sqref="B29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31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/>
      <c r="C6" s="11"/>
      <c r="D6" s="25">
        <f>+C6-B6</f>
        <v>0</v>
      </c>
    </row>
    <row r="7" spans="1:13" x14ac:dyDescent="0.2">
      <c r="A7" s="10">
        <v>2</v>
      </c>
      <c r="B7" s="11"/>
      <c r="C7" s="11"/>
      <c r="D7" s="25">
        <f t="shared" ref="D7:D36" si="0">+C7-B7</f>
        <v>0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/>
      <c r="C10" s="11"/>
      <c r="D10" s="25">
        <f t="shared" si="0"/>
        <v>0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20" t="s">
        <v>174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39</v>
      </c>
      <c r="I14" s="421" t="s">
        <v>19</v>
      </c>
      <c r="J14" s="421" t="s">
        <v>20</v>
      </c>
      <c r="K14" s="422" t="s">
        <v>49</v>
      </c>
      <c r="L14" s="420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0">
        <v>8.2100000000000009</v>
      </c>
      <c r="M16" s="425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0">
        <v>5.62</v>
      </c>
      <c r="M17" s="425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0">
        <v>4.9800000000000004</v>
      </c>
      <c r="M18" s="425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0">
        <v>4.87</v>
      </c>
      <c r="M19" s="425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0">
        <v>3.82</v>
      </c>
      <c r="M20" s="425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0">
        <v>3.2</v>
      </c>
      <c r="M21" s="425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0">
        <v>2.77</v>
      </c>
      <c r="M22" s="426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3"/>
      <c r="M23" s="424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+summary!H4</f>
        <v>2.39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16">
        <v>-355805</v>
      </c>
    </row>
    <row r="41" spans="1:4" x14ac:dyDescent="0.2">
      <c r="A41" s="57">
        <v>37256</v>
      </c>
      <c r="C41" s="48"/>
      <c r="D41" s="138">
        <f>+D40+D39</f>
        <v>-355805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06">
        <v>-44621</v>
      </c>
    </row>
    <row r="49" spans="1:4" x14ac:dyDescent="0.2">
      <c r="A49" s="49">
        <f>+A41</f>
        <v>37256</v>
      </c>
      <c r="B49" s="32"/>
      <c r="C49" s="32"/>
      <c r="D49" s="355">
        <f>+D37</f>
        <v>0</v>
      </c>
    </row>
    <row r="50" spans="1:4" x14ac:dyDescent="0.2">
      <c r="A50" s="32"/>
      <c r="B50" s="32"/>
      <c r="C50" s="32"/>
      <c r="D50" s="14">
        <f>+D49+D48</f>
        <v>-44621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31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>
        <v>-399</v>
      </c>
      <c r="C36" s="11"/>
      <c r="D36" s="25">
        <f t="shared" si="0"/>
        <v>399</v>
      </c>
    </row>
    <row r="37" spans="1:4" x14ac:dyDescent="0.2">
      <c r="A37" s="10"/>
      <c r="B37" s="11">
        <f>SUM(B6:B36)</f>
        <v>-399</v>
      </c>
      <c r="C37" s="11">
        <f>SUM(C6:C36)</f>
        <v>0</v>
      </c>
      <c r="D37" s="25">
        <f>SUM(D6:D36)</f>
        <v>399</v>
      </c>
    </row>
    <row r="38" spans="1:4" x14ac:dyDescent="0.2">
      <c r="A38" s="26"/>
      <c r="C38" s="14"/>
      <c r="D38" s="329">
        <f>+summary!H4</f>
        <v>2.39</v>
      </c>
    </row>
    <row r="39" spans="1:4" x14ac:dyDescent="0.2">
      <c r="D39" s="138">
        <f>+D38*D37</f>
        <v>953.61</v>
      </c>
    </row>
    <row r="40" spans="1:4" x14ac:dyDescent="0.2">
      <c r="A40" s="57">
        <v>37256</v>
      </c>
      <c r="C40" s="15"/>
      <c r="D40" s="516">
        <v>67745</v>
      </c>
    </row>
    <row r="41" spans="1:4" x14ac:dyDescent="0.2">
      <c r="A41" s="57">
        <v>37259</v>
      </c>
      <c r="C41" s="48"/>
      <c r="D41" s="138">
        <f>+D40+D39</f>
        <v>68698.61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6">
        <v>36152</v>
      </c>
    </row>
    <row r="47" spans="1:4" x14ac:dyDescent="0.2">
      <c r="A47" s="49">
        <f>+A41</f>
        <v>37259</v>
      </c>
      <c r="B47" s="32"/>
      <c r="C47" s="32"/>
      <c r="D47" s="355">
        <f>+D37</f>
        <v>399</v>
      </c>
    </row>
    <row r="48" spans="1:4" x14ac:dyDescent="0.2">
      <c r="A48" s="32"/>
      <c r="B48" s="32"/>
      <c r="C48" s="32"/>
      <c r="D48" s="14">
        <f>+D47+D46</f>
        <v>36551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6"/>
      <c r="C5" s="90">
        <v>-378</v>
      </c>
      <c r="D5" s="90">
        <f>+C5-B5</f>
        <v>-378</v>
      </c>
      <c r="E5" s="275"/>
      <c r="F5" s="273"/>
    </row>
    <row r="6" spans="1:13" x14ac:dyDescent="0.2">
      <c r="A6" s="87">
        <v>500046</v>
      </c>
      <c r="B6" s="90">
        <v>-945</v>
      </c>
      <c r="C6" s="90"/>
      <c r="D6" s="90">
        <f t="shared" ref="D6:D11" si="0">+C6-B6</f>
        <v>945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-3031</v>
      </c>
      <c r="C8" s="90">
        <v>-5136</v>
      </c>
      <c r="D8" s="90">
        <f t="shared" si="0"/>
        <v>-2105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-1538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+summary!H4</f>
        <v>2.39</v>
      </c>
      <c r="E13" s="277"/>
      <c r="F13" s="273"/>
    </row>
    <row r="14" spans="1:13" x14ac:dyDescent="0.2">
      <c r="A14" s="87"/>
      <c r="B14" s="88"/>
      <c r="C14" s="88"/>
      <c r="D14" s="96">
        <f>+D13*D12</f>
        <v>-3675.82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13">
        <v>-538712.04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37259</v>
      </c>
      <c r="B18" s="88"/>
      <c r="C18" s="88"/>
      <c r="D18" s="321">
        <f>+D16+D14</f>
        <v>-542387.86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06">
        <v>-37276</v>
      </c>
    </row>
    <row r="23" spans="1:7" x14ac:dyDescent="0.2">
      <c r="A23" s="49">
        <f>+A18</f>
        <v>37259</v>
      </c>
      <c r="B23" s="32"/>
      <c r="C23" s="32"/>
      <c r="D23" s="355">
        <f>+D12</f>
        <v>-1538</v>
      </c>
    </row>
    <row r="24" spans="1:7" x14ac:dyDescent="0.2">
      <c r="A24" s="32"/>
      <c r="B24" s="32"/>
      <c r="C24" s="32"/>
      <c r="D24" s="14">
        <f>+D23+D22</f>
        <v>-38814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A42" sqref="A4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-175</v>
      </c>
      <c r="C37" s="11">
        <f>SUM(C6:C36)</f>
        <v>-2000</v>
      </c>
      <c r="D37" s="25">
        <f>SUM(D6:D36)</f>
        <v>-1825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37256</v>
      </c>
      <c r="C40" s="15"/>
      <c r="D40" s="504">
        <v>-8253</v>
      </c>
    </row>
    <row r="41" spans="1:4" x14ac:dyDescent="0.2">
      <c r="A41" s="57">
        <v>37259</v>
      </c>
      <c r="C41" s="48"/>
      <c r="D41" s="25">
        <f>+D40+D37</f>
        <v>-10078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99">
        <v>163235</v>
      </c>
    </row>
    <row r="46" spans="1:4" x14ac:dyDescent="0.2">
      <c r="A46" s="49">
        <f>+A41</f>
        <v>37259</v>
      </c>
      <c r="B46" s="32"/>
      <c r="C46" s="32"/>
      <c r="D46" s="382">
        <f>+D37*'by type_area'!J4</f>
        <v>-4361.75</v>
      </c>
    </row>
    <row r="47" spans="1:4" x14ac:dyDescent="0.2">
      <c r="A47" s="32"/>
      <c r="B47" s="32"/>
      <c r="C47" s="32"/>
      <c r="D47" s="200">
        <f>+D46+D45</f>
        <v>158873.25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241</v>
      </c>
      <c r="C3" s="87"/>
      <c r="D3" s="87"/>
    </row>
    <row r="4" spans="1:4" x14ac:dyDescent="0.2">
      <c r="A4" s="3"/>
      <c r="B4" s="331" t="s">
        <v>240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+summary!H5</f>
        <v>2.41</v>
      </c>
    </row>
    <row r="39" spans="1:4" x14ac:dyDescent="0.2">
      <c r="D39" s="138">
        <f>+D38*D37</f>
        <v>0</v>
      </c>
    </row>
    <row r="40" spans="1:4" x14ac:dyDescent="0.2">
      <c r="A40" s="57">
        <v>37225</v>
      </c>
      <c r="C40" s="15"/>
      <c r="D40" s="516">
        <v>-195699.5</v>
      </c>
    </row>
    <row r="41" spans="1:4" x14ac:dyDescent="0.2">
      <c r="A41" s="57">
        <v>37225</v>
      </c>
      <c r="C41" s="48"/>
      <c r="D41" s="138">
        <f>+D40+D39</f>
        <v>-195699.5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6">
        <v>-47898</v>
      </c>
    </row>
    <row r="47" spans="1:4" x14ac:dyDescent="0.2">
      <c r="A47" s="49">
        <f>+A41</f>
        <v>37225</v>
      </c>
      <c r="B47" s="32"/>
      <c r="C47" s="32"/>
      <c r="D47" s="467">
        <f>+D37</f>
        <v>0</v>
      </c>
    </row>
    <row r="48" spans="1:4" x14ac:dyDescent="0.2">
      <c r="A48" s="32"/>
      <c r="B48" s="32"/>
      <c r="C48" s="32"/>
      <c r="D48" s="14">
        <f>+D47+D46</f>
        <v>-47898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2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8" t="s">
        <v>242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201</v>
      </c>
      <c r="C4" s="4"/>
      <c r="D4" s="38" t="s">
        <v>202</v>
      </c>
      <c r="E4" s="4"/>
      <c r="F4" s="38" t="s">
        <v>203</v>
      </c>
      <c r="G4" s="4"/>
      <c r="H4" s="38" t="s">
        <v>204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-196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382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-583</v>
      </c>
      <c r="C37" s="11">
        <f t="shared" ref="C37:I37" si="1">SUM(C6:C36)</f>
        <v>-510</v>
      </c>
      <c r="D37" s="11">
        <f t="shared" si="1"/>
        <v>0</v>
      </c>
      <c r="E37" s="11">
        <f t="shared" si="1"/>
        <v>0</v>
      </c>
      <c r="F37" s="11">
        <f t="shared" si="1"/>
        <v>-4585</v>
      </c>
      <c r="G37" s="11">
        <f t="shared" si="1"/>
        <v>-3150</v>
      </c>
      <c r="H37" s="11">
        <f t="shared" si="1"/>
        <v>0</v>
      </c>
      <c r="I37" s="11">
        <f t="shared" si="1"/>
        <v>0</v>
      </c>
      <c r="J37" s="11">
        <f>SUM(J6:J36)</f>
        <v>1508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+summary!H4</f>
        <v>2.39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3604.1200000000003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05">
        <v>-35583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37259</v>
      </c>
      <c r="J43" s="322">
        <f>+J41+J39</f>
        <v>-31978.880000000001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06">
        <v>-3453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37259</v>
      </c>
      <c r="B49" s="32"/>
      <c r="C49" s="32"/>
      <c r="D49" s="355">
        <f>+J37</f>
        <v>1508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-1945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306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308</v>
      </c>
      <c r="C4" s="4"/>
      <c r="D4" s="38" t="s">
        <v>309</v>
      </c>
      <c r="E4" s="4"/>
      <c r="F4" s="38" t="s">
        <v>310</v>
      </c>
      <c r="G4" s="4"/>
      <c r="H4" s="38" t="s">
        <v>311</v>
      </c>
      <c r="I4" s="4"/>
      <c r="J4" s="38" t="s">
        <v>312</v>
      </c>
      <c r="K4" s="4"/>
      <c r="L4" s="38" t="s">
        <v>313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30"/>
      <c r="C6" s="11"/>
      <c r="D6" s="530"/>
      <c r="E6" s="11"/>
      <c r="F6" s="530"/>
      <c r="G6" s="11"/>
      <c r="H6" s="530"/>
      <c r="I6" s="11"/>
      <c r="J6" s="530"/>
      <c r="K6" s="11"/>
      <c r="L6" s="11">
        <v>-675</v>
      </c>
      <c r="M6" s="11">
        <v>-581</v>
      </c>
      <c r="N6" s="11">
        <f>+M6+K6+I6+G6+E6+C6-L6-J6-H6-F6-D6-B6</f>
        <v>94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30"/>
      <c r="C7" s="11"/>
      <c r="D7" s="530"/>
      <c r="E7" s="11"/>
      <c r="F7" s="530"/>
      <c r="G7" s="11"/>
      <c r="H7" s="530"/>
      <c r="I7" s="11"/>
      <c r="J7" s="530"/>
      <c r="K7" s="11"/>
      <c r="L7" s="11">
        <v>-926</v>
      </c>
      <c r="M7" s="11">
        <v>-581</v>
      </c>
      <c r="N7" s="11">
        <f t="shared" ref="N7:N36" si="0">+M7+K7+I7+G7+E7+C7-L7-J7-H7-F7-D7-B7</f>
        <v>345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30"/>
      <c r="C8" s="11"/>
      <c r="D8" s="530"/>
      <c r="E8" s="11"/>
      <c r="F8" s="530"/>
      <c r="G8" s="11"/>
      <c r="H8" s="530"/>
      <c r="I8" s="11"/>
      <c r="J8" s="530"/>
      <c r="K8" s="11"/>
      <c r="L8" s="11">
        <v>-905</v>
      </c>
      <c r="M8" s="11">
        <v>-581</v>
      </c>
      <c r="N8" s="11">
        <f t="shared" si="0"/>
        <v>324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30"/>
      <c r="C9" s="11"/>
      <c r="D9" s="530"/>
      <c r="E9" s="11"/>
      <c r="F9" s="530"/>
      <c r="G9" s="11"/>
      <c r="H9" s="530"/>
      <c r="I9" s="11"/>
      <c r="J9" s="530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30"/>
      <c r="C10" s="11"/>
      <c r="D10" s="530"/>
      <c r="E10" s="11"/>
      <c r="F10" s="530"/>
      <c r="G10" s="11"/>
      <c r="H10" s="530"/>
      <c r="I10" s="11"/>
      <c r="J10" s="530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30"/>
      <c r="C11" s="11"/>
      <c r="D11" s="530"/>
      <c r="E11" s="11"/>
      <c r="F11" s="530"/>
      <c r="G11" s="11"/>
      <c r="H11" s="530"/>
      <c r="I11" s="11"/>
      <c r="J11" s="530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30"/>
      <c r="C12" s="11"/>
      <c r="D12" s="530"/>
      <c r="E12" s="11"/>
      <c r="F12" s="530"/>
      <c r="G12" s="11"/>
      <c r="H12" s="530"/>
      <c r="I12" s="11"/>
      <c r="J12" s="530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30"/>
      <c r="C13" s="11"/>
      <c r="D13" s="530"/>
      <c r="E13" s="11"/>
      <c r="F13" s="530"/>
      <c r="G13" s="11"/>
      <c r="H13" s="530"/>
      <c r="I13" s="11"/>
      <c r="J13" s="530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30"/>
      <c r="C14" s="11"/>
      <c r="D14" s="530"/>
      <c r="E14" s="11"/>
      <c r="F14" s="530"/>
      <c r="G14" s="11"/>
      <c r="H14" s="530"/>
      <c r="I14" s="11"/>
      <c r="J14" s="530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30"/>
      <c r="C15" s="11"/>
      <c r="D15" s="530"/>
      <c r="E15" s="11"/>
      <c r="F15" s="530"/>
      <c r="G15" s="11"/>
      <c r="H15" s="530"/>
      <c r="I15" s="11"/>
      <c r="J15" s="530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30"/>
      <c r="C16" s="11"/>
      <c r="D16" s="530"/>
      <c r="E16" s="11"/>
      <c r="F16" s="530"/>
      <c r="G16" s="11"/>
      <c r="H16" s="530"/>
      <c r="I16" s="11"/>
      <c r="J16" s="530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30"/>
      <c r="C17" s="11"/>
      <c r="D17" s="530"/>
      <c r="E17" s="11"/>
      <c r="F17" s="530"/>
      <c r="G17" s="11"/>
      <c r="H17" s="530"/>
      <c r="I17" s="11"/>
      <c r="J17" s="530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30"/>
      <c r="C18" s="11"/>
      <c r="D18" s="530"/>
      <c r="E18" s="11"/>
      <c r="F18" s="530"/>
      <c r="G18" s="11"/>
      <c r="H18" s="530"/>
      <c r="I18" s="11"/>
      <c r="J18" s="530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30"/>
      <c r="C19" s="11"/>
      <c r="D19" s="530"/>
      <c r="E19" s="11"/>
      <c r="F19" s="530"/>
      <c r="G19" s="11"/>
      <c r="H19" s="530"/>
      <c r="I19" s="11"/>
      <c r="J19" s="530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30"/>
      <c r="C20" s="11"/>
      <c r="D20" s="530"/>
      <c r="E20" s="11"/>
      <c r="F20" s="530"/>
      <c r="G20" s="11"/>
      <c r="H20" s="530"/>
      <c r="I20" s="11"/>
      <c r="J20" s="530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30"/>
      <c r="C21" s="11"/>
      <c r="D21" s="530"/>
      <c r="E21" s="11"/>
      <c r="F21" s="530"/>
      <c r="G21" s="11"/>
      <c r="H21" s="530"/>
      <c r="I21" s="11"/>
      <c r="J21" s="530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30"/>
      <c r="C22" s="11"/>
      <c r="D22" s="530"/>
      <c r="E22" s="11"/>
      <c r="F22" s="530"/>
      <c r="G22" s="11"/>
      <c r="H22" s="530"/>
      <c r="I22" s="11"/>
      <c r="J22" s="530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30"/>
      <c r="C23" s="11"/>
      <c r="D23" s="530"/>
      <c r="E23" s="11"/>
      <c r="F23" s="530"/>
      <c r="G23" s="11"/>
      <c r="H23" s="530"/>
      <c r="I23" s="11"/>
      <c r="J23" s="530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30"/>
      <c r="C24" s="11"/>
      <c r="D24" s="530"/>
      <c r="E24" s="11"/>
      <c r="F24" s="530"/>
      <c r="G24" s="11"/>
      <c r="H24" s="530"/>
      <c r="I24" s="11"/>
      <c r="J24" s="530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30"/>
      <c r="C25" s="11"/>
      <c r="D25" s="530"/>
      <c r="E25" s="11"/>
      <c r="F25" s="530"/>
      <c r="G25" s="11"/>
      <c r="H25" s="530"/>
      <c r="I25" s="11"/>
      <c r="J25" s="530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30"/>
      <c r="C26" s="11"/>
      <c r="D26" s="530"/>
      <c r="E26" s="11"/>
      <c r="F26" s="530"/>
      <c r="G26" s="11"/>
      <c r="H26" s="530"/>
      <c r="I26" s="11"/>
      <c r="J26" s="530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30"/>
      <c r="C27" s="11"/>
      <c r="D27" s="530"/>
      <c r="E27" s="11"/>
      <c r="F27" s="530"/>
      <c r="G27" s="11"/>
      <c r="H27" s="530"/>
      <c r="I27" s="11"/>
      <c r="J27" s="530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30"/>
      <c r="C28" s="11"/>
      <c r="D28" s="530"/>
      <c r="E28" s="11"/>
      <c r="F28" s="530"/>
      <c r="G28" s="11"/>
      <c r="H28" s="530"/>
      <c r="I28" s="11"/>
      <c r="J28" s="530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30"/>
      <c r="C29" s="11"/>
      <c r="D29" s="530"/>
      <c r="E29" s="11"/>
      <c r="F29" s="530"/>
      <c r="G29" s="11"/>
      <c r="H29" s="530"/>
      <c r="I29" s="11"/>
      <c r="J29" s="530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30"/>
      <c r="C30" s="11"/>
      <c r="D30" s="530"/>
      <c r="E30" s="11"/>
      <c r="F30" s="530"/>
      <c r="G30" s="11"/>
      <c r="H30" s="530"/>
      <c r="I30" s="11"/>
      <c r="J30" s="530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-2506</v>
      </c>
      <c r="M37" s="11">
        <f>SUM(M6:M36)</f>
        <v>-1743</v>
      </c>
      <c r="N37" s="11">
        <f t="shared" si="1"/>
        <v>763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+summary!H4</f>
        <v>2.39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1823.5700000000002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05">
        <v>32494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37259</v>
      </c>
      <c r="N43" s="322">
        <f>+N41+N39</f>
        <v>34317.57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06">
        <v>12039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37259</v>
      </c>
      <c r="B49" s="32"/>
      <c r="C49" s="32"/>
      <c r="D49" s="355">
        <f>+N37</f>
        <v>763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12802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206</v>
      </c>
      <c r="C3" s="87"/>
      <c r="D3" s="87"/>
    </row>
    <row r="4" spans="1:4" x14ac:dyDescent="0.2">
      <c r="A4" s="3"/>
      <c r="B4" s="331" t="s">
        <v>207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546</v>
      </c>
      <c r="C37" s="11">
        <f>SUM(C6:C36)</f>
        <v>450</v>
      </c>
      <c r="D37" s="25">
        <f>SUM(D6:D36)</f>
        <v>-96</v>
      </c>
    </row>
    <row r="38" spans="1:4" x14ac:dyDescent="0.2">
      <c r="A38" s="26"/>
      <c r="C38" s="14"/>
      <c r="D38" s="329">
        <f>+summary!H5</f>
        <v>2.41</v>
      </c>
    </row>
    <row r="39" spans="1:4" x14ac:dyDescent="0.2">
      <c r="D39" s="138">
        <f>+D38*D37</f>
        <v>-231.36</v>
      </c>
    </row>
    <row r="40" spans="1:4" x14ac:dyDescent="0.2">
      <c r="A40" s="57">
        <v>37256</v>
      </c>
      <c r="C40" s="15"/>
      <c r="D40" s="516">
        <v>180032</v>
      </c>
    </row>
    <row r="41" spans="1:4" x14ac:dyDescent="0.2">
      <c r="A41" s="57">
        <v>37259</v>
      </c>
      <c r="C41" s="48"/>
      <c r="D41" s="138">
        <f>+D40+D39</f>
        <v>179800.64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6">
        <v>78993</v>
      </c>
    </row>
    <row r="47" spans="1:4" x14ac:dyDescent="0.2">
      <c r="A47" s="49">
        <f>+A41</f>
        <v>37259</v>
      </c>
      <c r="B47" s="32"/>
      <c r="C47" s="32"/>
      <c r="D47" s="355">
        <f>+D37</f>
        <v>-96</v>
      </c>
    </row>
    <row r="48" spans="1:4" x14ac:dyDescent="0.2">
      <c r="A48" s="32"/>
      <c r="B48" s="32"/>
      <c r="C48" s="32"/>
      <c r="D48" s="14">
        <f>+D47+D46</f>
        <v>78897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209</v>
      </c>
      <c r="C3" s="87"/>
      <c r="D3" s="87"/>
    </row>
    <row r="4" spans="1:4" x14ac:dyDescent="0.2">
      <c r="A4" s="3"/>
      <c r="B4" s="331" t="s">
        <v>210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79</v>
      </c>
      <c r="C8" s="11">
        <v>441</v>
      </c>
      <c r="D8" s="25">
        <f t="shared" si="0"/>
        <v>362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323</v>
      </c>
      <c r="C37" s="11">
        <f>SUM(C6:C36)</f>
        <v>1323</v>
      </c>
      <c r="D37" s="25">
        <f>SUM(D6:D36)</f>
        <v>1000</v>
      </c>
    </row>
    <row r="38" spans="1:4" x14ac:dyDescent="0.2">
      <c r="A38" s="26"/>
      <c r="C38" s="14"/>
      <c r="D38" s="329">
        <f>+summary!H5</f>
        <v>2.41</v>
      </c>
    </row>
    <row r="39" spans="1:4" x14ac:dyDescent="0.2">
      <c r="D39" s="138">
        <f>+D38*D37</f>
        <v>2410</v>
      </c>
    </row>
    <row r="40" spans="1:4" x14ac:dyDescent="0.2">
      <c r="A40" s="57">
        <v>37256</v>
      </c>
      <c r="C40" s="15"/>
      <c r="D40" s="516">
        <v>161290</v>
      </c>
    </row>
    <row r="41" spans="1:4" x14ac:dyDescent="0.2">
      <c r="A41" s="57">
        <v>37259</v>
      </c>
      <c r="C41" s="48"/>
      <c r="D41" s="138">
        <f>+D40+D39</f>
        <v>163700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6">
        <v>33970</v>
      </c>
    </row>
    <row r="47" spans="1:4" x14ac:dyDescent="0.2">
      <c r="A47" s="49">
        <f>+A41</f>
        <v>37259</v>
      </c>
      <c r="B47" s="32"/>
      <c r="C47" s="32"/>
      <c r="D47" s="355">
        <f>+D37</f>
        <v>1000</v>
      </c>
    </row>
    <row r="48" spans="1:4" x14ac:dyDescent="0.2">
      <c r="A48" s="32"/>
      <c r="B48" s="32"/>
      <c r="C48" s="32"/>
      <c r="D48" s="14">
        <f>+D47+D46</f>
        <v>34970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30" workbookViewId="0">
      <selection activeCell="D46" sqref="D46:D51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/>
      <c r="C5" s="11"/>
      <c r="D5" s="11"/>
      <c r="E5" s="11"/>
      <c r="F5" s="11">
        <f>+C5-B5+E5-D5</f>
        <v>0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/>
      <c r="E6" s="11"/>
      <c r="F6" s="11">
        <f t="shared" ref="F6:F35" si="0">+C6-B6+E6-D6</f>
        <v>0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/>
      <c r="C7" s="11"/>
      <c r="D7" s="11"/>
      <c r="E7" s="11"/>
      <c r="F7" s="11">
        <f t="shared" si="0"/>
        <v>0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/>
      <c r="C8" s="11"/>
      <c r="D8" s="11"/>
      <c r="E8" s="11"/>
      <c r="F8" s="11">
        <f t="shared" si="0"/>
        <v>0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0</v>
      </c>
      <c r="C36" s="44">
        <f>SUM(C5:C35)</f>
        <v>0</v>
      </c>
      <c r="D36" s="43">
        <f>SUM(D5:D35)</f>
        <v>0</v>
      </c>
      <c r="E36" s="43">
        <f>SUM(E5:E35)</f>
        <v>0</v>
      </c>
      <c r="F36" s="11">
        <f>SUM(F5:F35)</f>
        <v>0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9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12">
        <f>+summary!H5</f>
        <v>2.41</v>
      </c>
      <c r="G39" s="32"/>
      <c r="H39" s="204"/>
      <c r="I39" s="150"/>
      <c r="J39" s="351"/>
      <c r="K39" s="460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0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61"/>
      <c r="I41" s="206"/>
      <c r="J41" s="462"/>
      <c r="K41" s="462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37256</v>
      </c>
      <c r="B42" s="32"/>
      <c r="C42" s="470"/>
      <c r="D42" s="111"/>
      <c r="E42" s="470"/>
      <c r="F42" s="511">
        <v>9686</v>
      </c>
      <c r="G42" s="32"/>
      <c r="H42" s="461"/>
      <c r="I42" s="206"/>
      <c r="J42" s="462"/>
      <c r="K42" s="462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37256</v>
      </c>
      <c r="B43" s="32"/>
      <c r="C43" s="106"/>
      <c r="D43" s="106"/>
      <c r="E43" s="106"/>
      <c r="F43" s="24">
        <f>+F40+F42</f>
        <v>9686</v>
      </c>
      <c r="H43" s="293"/>
      <c r="I43" s="293"/>
      <c r="J43" s="293"/>
      <c r="K43" s="293"/>
      <c r="L43" s="46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322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37256</v>
      </c>
      <c r="B48" s="32"/>
      <c r="C48" s="32"/>
      <c r="D48" s="541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37256</v>
      </c>
      <c r="B49" s="32"/>
      <c r="C49" s="32"/>
      <c r="D49" s="76">
        <f>+F36</f>
        <v>0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75">
        <f>+D49+D48</f>
        <v>19943.240000000002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212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3" t="s">
        <v>214</v>
      </c>
      <c r="C3" s="208"/>
      <c r="D3" s="453" t="s">
        <v>215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213</v>
      </c>
      <c r="C4" s="32"/>
      <c r="D4" s="231" t="s">
        <v>216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-2108</v>
      </c>
      <c r="C8" s="24">
        <v>-1613</v>
      </c>
      <c r="D8" s="24">
        <v>-2614</v>
      </c>
      <c r="E8" s="24">
        <v>-2000</v>
      </c>
      <c r="F8" s="24">
        <f t="shared" si="0"/>
        <v>1109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-6757</v>
      </c>
      <c r="C37" s="24">
        <f>SUM(C6:C36)</f>
        <v>-4839</v>
      </c>
      <c r="D37" s="24">
        <f>SUM(D6:D36)</f>
        <v>-6063</v>
      </c>
      <c r="E37" s="24">
        <f>SUM(E6:E36)</f>
        <v>-6000</v>
      </c>
      <c r="F37" s="24">
        <f>SUM(F6:F36)</f>
        <v>1981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2.39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4734.59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C40" s="322"/>
      <c r="D40" s="262"/>
      <c r="E40" s="262"/>
      <c r="F40" s="514">
        <v>-133109.25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37259</v>
      </c>
      <c r="C41" s="322"/>
      <c r="D41" s="262"/>
      <c r="E41" s="262"/>
      <c r="F41" s="104">
        <f>+F40+F39</f>
        <v>-128374.66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6">
        <v>-40794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37259</v>
      </c>
      <c r="B47" s="32"/>
      <c r="C47" s="32"/>
      <c r="D47" s="355">
        <f>+F37</f>
        <v>1981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-38813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220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221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3" t="s">
        <v>222</v>
      </c>
      <c r="C3" s="208"/>
      <c r="D3" s="453" t="s">
        <v>224</v>
      </c>
      <c r="E3" s="207"/>
      <c r="F3" s="453" t="s">
        <v>226</v>
      </c>
      <c r="G3" s="207"/>
      <c r="H3" s="453" t="s">
        <v>228</v>
      </c>
      <c r="I3" s="207"/>
      <c r="J3" s="453" t="s">
        <v>230</v>
      </c>
      <c r="K3" s="207"/>
      <c r="L3" s="453" t="s">
        <v>232</v>
      </c>
      <c r="M3" s="207"/>
      <c r="N3" s="453" t="s">
        <v>234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223</v>
      </c>
      <c r="C4" s="32"/>
      <c r="D4" s="231" t="s">
        <v>225</v>
      </c>
      <c r="E4" s="24"/>
      <c r="F4" s="231" t="s">
        <v>227</v>
      </c>
      <c r="G4" s="24"/>
      <c r="H4" s="231" t="s">
        <v>229</v>
      </c>
      <c r="I4" s="24"/>
      <c r="J4" s="231" t="s">
        <v>231</v>
      </c>
      <c r="K4" s="24"/>
      <c r="L4" s="231" t="s">
        <v>233</v>
      </c>
      <c r="M4" s="24"/>
      <c r="N4" s="231" t="s">
        <v>235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-2223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63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-2302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146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-2221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61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-6746</v>
      </c>
      <c r="C37" s="24">
        <f t="shared" si="1"/>
        <v>-6405</v>
      </c>
      <c r="D37" s="24">
        <f t="shared" si="1"/>
        <v>-4</v>
      </c>
      <c r="E37" s="24">
        <f t="shared" si="1"/>
        <v>-75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270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+summary!H4</f>
        <v>2.39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50"/>
      <c r="P39" s="104">
        <f>+P38*P37</f>
        <v>645.30000000000007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0">
        <v>37256</v>
      </c>
      <c r="E40" s="14"/>
      <c r="O40" s="450"/>
      <c r="P40" s="514">
        <v>114286.65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400">
        <v>37259</v>
      </c>
      <c r="E41" s="14"/>
      <c r="O41" s="450"/>
      <c r="P41" s="104">
        <f>+P40+P39</f>
        <v>114931.95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06">
        <v>48091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37259</v>
      </c>
      <c r="B47" s="32"/>
      <c r="C47" s="32"/>
      <c r="D47" s="355">
        <f>+P37</f>
        <v>270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48361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32" sqref="C3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301</v>
      </c>
      <c r="C3" s="87"/>
      <c r="D3" s="87"/>
    </row>
    <row r="4" spans="1:4" x14ac:dyDescent="0.2">
      <c r="A4" s="3"/>
      <c r="B4" s="331" t="s">
        <v>300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-40966</v>
      </c>
      <c r="C37" s="11">
        <f>SUM(C6:C36)</f>
        <v>-42000</v>
      </c>
      <c r="D37" s="25">
        <f>SUM(D6:D36)</f>
        <v>-1034</v>
      </c>
    </row>
    <row r="38" spans="1:4" x14ac:dyDescent="0.2">
      <c r="A38" s="26"/>
      <c r="C38" s="14"/>
      <c r="D38" s="329">
        <f>+summary!H4</f>
        <v>2.39</v>
      </c>
    </row>
    <row r="39" spans="1:4" x14ac:dyDescent="0.2">
      <c r="D39" s="138">
        <f>+D38*D37</f>
        <v>-2471.2600000000002</v>
      </c>
    </row>
    <row r="40" spans="1:4" x14ac:dyDescent="0.2">
      <c r="A40" s="57">
        <v>37256</v>
      </c>
      <c r="C40" s="15"/>
      <c r="D40" s="516">
        <v>-17240</v>
      </c>
    </row>
    <row r="41" spans="1:4" x14ac:dyDescent="0.2">
      <c r="A41" s="57">
        <v>36894</v>
      </c>
      <c r="C41" s="48"/>
      <c r="D41" s="138">
        <f>+D40+D39</f>
        <v>-19711.260000000002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06">
        <v>5329</v>
      </c>
    </row>
    <row r="47" spans="1:4" x14ac:dyDescent="0.2">
      <c r="A47" s="49">
        <f>+A41</f>
        <v>36894</v>
      </c>
      <c r="B47" s="32"/>
      <c r="C47" s="32"/>
      <c r="D47" s="355">
        <f>+D37</f>
        <v>-1034</v>
      </c>
    </row>
    <row r="48" spans="1:4" x14ac:dyDescent="0.2">
      <c r="A48" s="32"/>
      <c r="B48" s="32"/>
      <c r="C48" s="32"/>
      <c r="D48" s="14">
        <f>+D47+D46</f>
        <v>4295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10" sqref="C10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470028</v>
      </c>
      <c r="C38" s="11">
        <f>SUM(C7:C37)</f>
        <v>472785</v>
      </c>
      <c r="D38" s="11">
        <f>SUM(D7:D37)</f>
        <v>2757</v>
      </c>
    </row>
    <row r="39" spans="1:8" x14ac:dyDescent="0.2">
      <c r="A39" s="26"/>
      <c r="C39" s="14"/>
      <c r="D39" s="106">
        <f>+summary!H3</f>
        <v>2.36</v>
      </c>
    </row>
    <row r="40" spans="1:8" x14ac:dyDescent="0.2">
      <c r="D40" s="138">
        <f>+D39*D38</f>
        <v>6506.5199999999995</v>
      </c>
      <c r="H40">
        <v>20</v>
      </c>
    </row>
    <row r="41" spans="1:8" x14ac:dyDescent="0.2">
      <c r="A41" s="57">
        <v>37256</v>
      </c>
      <c r="C41" s="15"/>
      <c r="D41" s="537">
        <v>47283</v>
      </c>
      <c r="H41">
        <v>530</v>
      </c>
    </row>
    <row r="42" spans="1:8" x14ac:dyDescent="0.2">
      <c r="A42" s="57">
        <v>37259</v>
      </c>
      <c r="D42" s="322">
        <f>+D41+D40</f>
        <v>53789.52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06">
        <v>20412</v>
      </c>
    </row>
    <row r="48" spans="1:8" x14ac:dyDescent="0.2">
      <c r="A48" s="49">
        <f>+A42</f>
        <v>37259</v>
      </c>
      <c r="B48" s="32"/>
      <c r="C48" s="32"/>
      <c r="D48" s="355">
        <f>+D38</f>
        <v>2757</v>
      </c>
    </row>
    <row r="49" spans="1:4" x14ac:dyDescent="0.2">
      <c r="A49" s="32"/>
      <c r="B49" s="32"/>
      <c r="C49" s="32"/>
      <c r="D49" s="14">
        <f>+D48+D47</f>
        <v>23169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workbookViewId="0">
      <selection activeCell="C7" sqref="C7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/>
      <c r="C7" s="11"/>
      <c r="D7" s="25">
        <f t="shared" si="0"/>
        <v>0</v>
      </c>
    </row>
    <row r="8" spans="1:4" x14ac:dyDescent="0.2">
      <c r="A8" s="10">
        <v>5</v>
      </c>
      <c r="B8" s="129"/>
      <c r="C8" s="11"/>
      <c r="D8" s="25">
        <f t="shared" si="0"/>
        <v>0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-683228</v>
      </c>
      <c r="C35" s="11">
        <f>SUM(C4:C34)</f>
        <v>-683182</v>
      </c>
      <c r="D35" s="11">
        <f>SUM(D4:D34)</f>
        <v>46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28">
        <v>59071</v>
      </c>
    </row>
    <row r="39" spans="1:30" x14ac:dyDescent="0.2">
      <c r="A39" s="12"/>
      <c r="D39" s="51"/>
    </row>
    <row r="40" spans="1:30" x14ac:dyDescent="0.2">
      <c r="A40" s="245">
        <v>36894</v>
      </c>
      <c r="D40" s="51">
        <f>+D38+D35</f>
        <v>59117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82"/>
      <c r="K44"/>
    </row>
    <row r="45" spans="1:30" x14ac:dyDescent="0.2">
      <c r="A45" s="49">
        <f>+A38</f>
        <v>37256</v>
      </c>
      <c r="B45" s="32"/>
      <c r="C45" s="32"/>
      <c r="D45" s="499">
        <v>12453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36894</v>
      </c>
      <c r="B46" s="32"/>
      <c r="C46" s="32"/>
      <c r="D46" s="382">
        <f>+D35*'by type_area'!J4</f>
        <v>109.94000000000001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12562.94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0" sqref="C30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/>
      <c r="C7" s="11"/>
      <c r="D7" s="11"/>
      <c r="E7" s="11"/>
      <c r="F7" s="25">
        <f t="shared" si="0"/>
        <v>0</v>
      </c>
      <c r="H7" s="10"/>
      <c r="I7" s="11"/>
      <c r="K7" s="25"/>
    </row>
    <row r="8" spans="1:11" x14ac:dyDescent="0.2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-1534745</v>
      </c>
      <c r="C35" s="11">
        <f>SUM(C4:C34)</f>
        <v>-1519530</v>
      </c>
      <c r="D35" s="11">
        <f>SUM(D4:D34)</f>
        <v>0</v>
      </c>
      <c r="E35" s="11">
        <f>SUM(E4:E34)</f>
        <v>0</v>
      </c>
      <c r="F35" s="11">
        <f>SUM(F4:F34)</f>
        <v>15215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498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37259</v>
      </c>
      <c r="D40" s="246"/>
      <c r="E40" s="246"/>
      <c r="F40" s="51">
        <f>+F38+F35</f>
        <v>119635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150</v>
      </c>
      <c r="B44" s="32"/>
      <c r="C44" s="32"/>
      <c r="D44" s="482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37256</v>
      </c>
      <c r="B45" s="32"/>
      <c r="C45" s="32"/>
      <c r="D45" s="499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37259</v>
      </c>
      <c r="B46" s="32"/>
      <c r="C46" s="32"/>
      <c r="D46" s="483">
        <f>+F35*'by type_area'!J4</f>
        <v>36363.85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81">
        <f>+D46+D45</f>
        <v>368280.85</v>
      </c>
      <c r="E47" s="246"/>
      <c r="F47" s="484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B24" sqref="B24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4"/>
      <c r="L2" s="38"/>
      <c r="M2" s="4"/>
    </row>
    <row r="3" spans="1:17" x14ac:dyDescent="0.2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/>
      <c r="C4" s="11"/>
      <c r="D4" s="11"/>
      <c r="E4" s="11"/>
      <c r="F4" s="11"/>
      <c r="G4" s="11"/>
      <c r="H4" s="11">
        <f>+G4+E4+C4-F4-D4-B4</f>
        <v>0</v>
      </c>
      <c r="I4" s="11"/>
      <c r="J4" s="102"/>
      <c r="K4" s="419"/>
      <c r="L4" s="419"/>
      <c r="M4" s="419"/>
      <c r="N4" s="419"/>
      <c r="O4" s="285"/>
      <c r="P4" s="285"/>
    </row>
    <row r="5" spans="1:17" ht="12.75" x14ac:dyDescent="0.2">
      <c r="A5" s="41">
        <v>2</v>
      </c>
      <c r="B5" s="11"/>
      <c r="C5" s="11"/>
      <c r="D5" s="129"/>
      <c r="E5" s="11"/>
      <c r="F5" s="11"/>
      <c r="G5" s="11"/>
      <c r="H5" s="11">
        <f t="shared" ref="H5:H34" si="0">+G5+E5+C5-F5-D5-B5</f>
        <v>0</v>
      </c>
      <c r="I5" s="11"/>
      <c r="J5" s="102"/>
      <c r="K5" s="118"/>
      <c r="L5" s="34"/>
      <c r="M5" s="34"/>
      <c r="N5" s="189"/>
      <c r="O5" s="420" t="s">
        <v>174</v>
      </c>
      <c r="P5" s="189"/>
      <c r="Q5" s="2"/>
    </row>
    <row r="6" spans="1:17" ht="12.75" x14ac:dyDescent="0.2">
      <c r="A6" s="41">
        <v>3</v>
      </c>
      <c r="B6" s="11"/>
      <c r="C6" s="11"/>
      <c r="D6" s="11"/>
      <c r="E6" s="11"/>
      <c r="F6" s="11"/>
      <c r="G6" s="11"/>
      <c r="H6" s="11">
        <f t="shared" si="0"/>
        <v>0</v>
      </c>
      <c r="I6" s="11"/>
      <c r="J6" s="102"/>
      <c r="K6" s="118" t="s">
        <v>39</v>
      </c>
      <c r="L6" s="421" t="s">
        <v>19</v>
      </c>
      <c r="M6" s="421" t="s">
        <v>20</v>
      </c>
      <c r="N6" s="422" t="s">
        <v>49</v>
      </c>
      <c r="O6" s="420" t="s">
        <v>15</v>
      </c>
      <c r="P6" s="189" t="s">
        <v>27</v>
      </c>
      <c r="Q6" s="2"/>
    </row>
    <row r="7" spans="1:17" ht="12.75" x14ac:dyDescent="0.2">
      <c r="A7" s="41">
        <v>4</v>
      </c>
      <c r="B7" s="11"/>
      <c r="C7" s="11"/>
      <c r="D7" s="129"/>
      <c r="E7" s="11"/>
      <c r="F7" s="11"/>
      <c r="G7" s="11"/>
      <c r="H7" s="11">
        <f t="shared" si="0"/>
        <v>0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0">
        <v>8.2100000000000009</v>
      </c>
      <c r="P9" s="425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0">
        <v>5.62</v>
      </c>
      <c r="P10" s="425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0">
        <v>4.9800000000000004</v>
      </c>
      <c r="P11" s="425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0">
        <v>4.87</v>
      </c>
      <c r="P12" s="425">
        <f t="shared" si="2"/>
        <v>131246.5</v>
      </c>
      <c r="Q12" s="2"/>
    </row>
    <row r="13" spans="1:17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0">
        <v>3.82</v>
      </c>
      <c r="P13" s="425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0">
        <v>3.2</v>
      </c>
      <c r="P14" s="425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0">
        <v>2.77</v>
      </c>
      <c r="P15" s="426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23"/>
      <c r="P16" s="424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0</v>
      </c>
      <c r="C35" s="44">
        <f t="shared" si="3"/>
        <v>0</v>
      </c>
      <c r="D35" s="11">
        <f t="shared" si="3"/>
        <v>0</v>
      </c>
      <c r="E35" s="44">
        <f t="shared" si="3"/>
        <v>0</v>
      </c>
      <c r="F35" s="11">
        <f t="shared" si="3"/>
        <v>0</v>
      </c>
      <c r="G35" s="11">
        <f t="shared" si="3"/>
        <v>0</v>
      </c>
      <c r="H35" s="11">
        <f t="shared" si="3"/>
        <v>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2.39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0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485">
        <v>37256</v>
      </c>
      <c r="F38" s="482"/>
      <c r="G38" s="265"/>
      <c r="H38" s="516">
        <v>-68258</v>
      </c>
      <c r="I38" s="262"/>
      <c r="J38" s="102"/>
      <c r="K38" s="14"/>
      <c r="L38" s="14"/>
      <c r="M38" s="14"/>
      <c r="N38" s="16"/>
    </row>
    <row r="39" spans="1:14" x14ac:dyDescent="0.2">
      <c r="C39" s="14"/>
      <c r="D39" s="47"/>
      <c r="E39" s="263">
        <v>37256</v>
      </c>
      <c r="F39" s="482"/>
      <c r="G39" s="482"/>
      <c r="H39" s="322">
        <f>+H38+H37</f>
        <v>-68258</v>
      </c>
      <c r="I39" s="262"/>
      <c r="J39" s="102"/>
      <c r="K39" s="15"/>
      <c r="L39" s="15"/>
      <c r="M39" s="15"/>
      <c r="N39" s="46"/>
    </row>
    <row r="40" spans="1:14" x14ac:dyDescent="0.2">
      <c r="C40" s="14"/>
      <c r="D40" s="50"/>
      <c r="E40" s="486"/>
      <c r="F40" s="263"/>
      <c r="G40" s="486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486"/>
      <c r="F41" s="263"/>
      <c r="G41" s="486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97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37256</v>
      </c>
      <c r="E47" s="467">
        <f>+H35</f>
        <v>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-5084</v>
      </c>
      <c r="F48" s="129"/>
      <c r="G48" s="129"/>
      <c r="H48" s="129"/>
      <c r="I48" s="262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487"/>
      <c r="F49" s="129"/>
      <c r="G49" s="129"/>
      <c r="H49" s="129"/>
      <c r="I49" s="488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D31" sqref="D31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/>
      <c r="E8" s="129"/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-861537</v>
      </c>
      <c r="E36" s="11">
        <f t="shared" si="15"/>
        <v>-863014</v>
      </c>
      <c r="F36" s="11">
        <f t="shared" si="15"/>
        <v>0</v>
      </c>
      <c r="G36" s="11">
        <f t="shared" si="15"/>
        <v>0</v>
      </c>
      <c r="H36" s="11">
        <f t="shared" si="15"/>
        <v>-1477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-1477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00">
        <v>64166</v>
      </c>
      <c r="D38" s="323"/>
      <c r="E38" s="503">
        <v>-29789</v>
      </c>
      <c r="F38" s="24"/>
      <c r="G38" s="24"/>
      <c r="H38" s="236">
        <f>+C38+E38+G38</f>
        <v>34377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37259</v>
      </c>
      <c r="B39" s="2" t="s">
        <v>45</v>
      </c>
      <c r="C39" s="131">
        <f>+C38+C37</f>
        <v>64166</v>
      </c>
      <c r="D39" s="252"/>
      <c r="E39" s="131">
        <f>+E38+E37</f>
        <v>-31266</v>
      </c>
      <c r="F39" s="252"/>
      <c r="G39" s="131"/>
      <c r="H39" s="131">
        <f>+H38+H36</f>
        <v>32900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01">
        <v>-1583193</v>
      </c>
      <c r="D44" s="205"/>
      <c r="E44" s="502">
        <v>925707</v>
      </c>
      <c r="F44" s="47">
        <f>+E44+C44</f>
        <v>-657486</v>
      </c>
      <c r="G44" s="247">
        <f>+G42-G43</f>
        <v>15616</v>
      </c>
      <c r="H44" s="38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37259</v>
      </c>
      <c r="B45" s="32"/>
      <c r="C45" s="47">
        <f>+C37*summary!H4</f>
        <v>0</v>
      </c>
      <c r="D45" s="205"/>
      <c r="E45" s="384">
        <f>+E37*summary!H3</f>
        <v>-3485.72</v>
      </c>
      <c r="F45" s="47">
        <f>+E45+C45</f>
        <v>-3485.72</v>
      </c>
      <c r="G45" s="247"/>
      <c r="H45" s="38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-1583193</v>
      </c>
      <c r="D46" s="205"/>
      <c r="E46" s="384">
        <v>925707</v>
      </c>
      <c r="F46" s="47">
        <f>+E46+C46</f>
        <v>-657486</v>
      </c>
      <c r="G46" s="247"/>
      <c r="H46" s="38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4"/>
      <c r="D47" s="384"/>
      <c r="E47" s="384"/>
      <c r="F47" s="47"/>
      <c r="G47" s="247"/>
      <c r="H47" s="38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9" sqref="E9:E10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12663</v>
      </c>
      <c r="E10" s="11">
        <v>13033</v>
      </c>
      <c r="F10" s="11">
        <f t="shared" si="5"/>
        <v>2470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/>
      <c r="C11" s="11"/>
      <c r="D11" s="11"/>
      <c r="E11" s="11"/>
      <c r="F11" s="11">
        <f t="shared" si="5"/>
        <v>0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32">
        <f>+A45</f>
        <v>37259</v>
      </c>
      <c r="I23" s="11">
        <f>+B39</f>
        <v>448363</v>
      </c>
      <c r="J23" s="11">
        <f>+C39</f>
        <v>440492</v>
      </c>
      <c r="K23" s="11">
        <f>+D39</f>
        <v>38393</v>
      </c>
      <c r="L23" s="11">
        <f>+E39</f>
        <v>39099</v>
      </c>
      <c r="M23" s="42">
        <f>+J23-I23+L23-K23</f>
        <v>-7165</v>
      </c>
      <c r="N23" s="102">
        <f>+summary!H3</f>
        <v>2.36</v>
      </c>
      <c r="O23" s="534">
        <f>+N23*M23</f>
        <v>-16909.399999999998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33">
        <f>SUM(M9:M23)</f>
        <v>82635</v>
      </c>
      <c r="N24" s="102"/>
      <c r="O24" s="102">
        <f>SUM(O9:O23)</f>
        <v>551206.93999999994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31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448363</v>
      </c>
      <c r="C39" s="150">
        <f>SUM(C8:C38)</f>
        <v>440492</v>
      </c>
      <c r="D39" s="150">
        <f>SUM(D8:D38)</f>
        <v>38393</v>
      </c>
      <c r="E39" s="150">
        <f>SUM(E8:E38)</f>
        <v>39099</v>
      </c>
      <c r="F39" s="11">
        <f t="shared" si="5"/>
        <v>-7165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12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70"/>
      <c r="D44" s="111"/>
      <c r="E44" s="470"/>
      <c r="F44" s="511">
        <v>30246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37259</v>
      </c>
      <c r="B45" s="32"/>
      <c r="C45" s="106"/>
      <c r="D45" s="106"/>
      <c r="E45" s="106"/>
      <c r="F45" s="24">
        <f>+F44+F39</f>
        <v>23081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511">
        <v>434618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37259</v>
      </c>
      <c r="B51" s="32"/>
      <c r="C51" s="32"/>
      <c r="D51" s="355">
        <f>+F39*summary!H3</f>
        <v>-16909.399999999998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417708.6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3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27</vt:i4>
      </vt:variant>
    </vt:vector>
  </HeadingPairs>
  <TitlesOfParts>
    <vt:vector size="70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2002-01-03T15:42:49Z</cp:lastPrinted>
  <dcterms:created xsi:type="dcterms:W3CDTF">2000-03-28T16:52:23Z</dcterms:created>
  <dcterms:modified xsi:type="dcterms:W3CDTF">2023-09-13T23:13:22Z</dcterms:modified>
</cp:coreProperties>
</file>