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BFE23D-82D7-4E06-A19E-2CBEE0152ED7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type_area'!$A$49:$M$86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summary!$A$2:$I$57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B44" i="80"/>
  <c r="C44" i="80"/>
  <c r="D44" i="80"/>
  <c r="E44" i="80"/>
  <c r="J50" i="80"/>
  <c r="K50" i="80"/>
  <c r="J51" i="80"/>
  <c r="J52" i="80"/>
  <c r="B59" i="80"/>
  <c r="C59" i="80"/>
  <c r="D59" i="80"/>
  <c r="E59" i="80"/>
  <c r="F59" i="80"/>
  <c r="B60" i="80"/>
  <c r="C60" i="80"/>
  <c r="D60" i="80"/>
  <c r="E60" i="80"/>
  <c r="F60" i="80"/>
  <c r="B61" i="80"/>
  <c r="C61" i="80"/>
  <c r="D61" i="80"/>
  <c r="E61" i="80"/>
  <c r="F61" i="80"/>
  <c r="B62" i="80"/>
  <c r="C62" i="80"/>
  <c r="D62" i="80"/>
  <c r="E62" i="80"/>
  <c r="F62" i="80"/>
  <c r="B63" i="80"/>
  <c r="C63" i="80"/>
  <c r="D63" i="80"/>
  <c r="E63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1" i="80"/>
  <c r="C81" i="80"/>
  <c r="D81" i="80"/>
  <c r="E81" i="80"/>
  <c r="B84" i="80"/>
  <c r="B85" i="80"/>
  <c r="A123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D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9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39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0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G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4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F56" i="15"/>
  <c r="AH56" i="15"/>
  <c r="F57" i="15"/>
  <c r="G57" i="15"/>
  <c r="AH57" i="15"/>
  <c r="F58" i="15"/>
  <c r="F60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B5" i="6"/>
  <c r="C5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M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O27" i="63"/>
  <c r="B28" i="63"/>
  <c r="C28" i="63"/>
  <c r="D28" i="63"/>
  <c r="O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J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121" i="63"/>
  <c r="B144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<sst xmlns="http://schemas.openxmlformats.org/spreadsheetml/2006/main" count="918" uniqueCount="325">
  <si>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</si>
  <si>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</si>
  <si>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</si>
  <si>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</si>
  <si>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</si>
  <si>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</si>
  <si>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</si>
  <si>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</si>
  <si>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</si>
  <si>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</si>
  <si>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</si>
  <si>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</si>
  <si>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</si>
  <si>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</si>
  <si>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</si>
  <si>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</si>
  <si>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</si>
  <si>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</si>
  <si>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</si>
  <si>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</si>
  <si>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</si>
  <si>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</si>
  <si>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</si>
  <si>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</si>
  <si>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</si>
  <si>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</si>
  <si>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</si>
  <si>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</si>
  <si>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</si>
  <si>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</si>
  <si>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</si>
  <si>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</si>
  <si>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</si>
  <si>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</si>
  <si>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</si>
  <si>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</si>
  <si>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</si>
  <si>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</si>
  <si>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</si>
  <si>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</si>
  <si>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</si>
  <si>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</si>
  <si>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</si>
  <si>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</si>
  <si>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</si>
  <si>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</si>
  <si>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</si>
  <si>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</si>
  <si>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</si>
  <si>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</si>
  <si>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</si>
  <si>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</si>
  <si>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</si>
  <si>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</si>
  <si>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</si>
  <si>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</si>
  <si>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</si>
  <si>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</si>
  <si>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</si>
  <si>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</si>
  <si>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</si>
  <si>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</si>
  <si>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</si>
  <si>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</si>
  <si>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</si>
  <si>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</si>
  <si>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</si>
  <si>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</si>
  <si>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</si>
  <si>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</si>
  <si>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</si>
  <si>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</si>
  <si>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</si>
  <si>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</si>
  <si>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</si>
  <si>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</si>
  <si>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</si>
  <si>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</si>
  <si>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</si>
  <si>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</si>
  <si>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</si>
  <si>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</si>
  <si>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</si>
  <si>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</si>
  <si>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</si>
  <si>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</si>
  <si>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</si>
  <si>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</si>
  <si>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</si>
  <si>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</si>
  <si>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</si>
  <si>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</si>
  <si>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</si>
  <si>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</si>
  <si>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</si>
  <si>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</si>
  <si>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</si>
  <si>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</si>
  <si>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</si>
  <si>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</si>
  <si>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</si>
  <si>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</si>
  <si>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</si>
  <si>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</si>
  <si>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</si>
  <si>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</si>
  <si>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</si>
  <si>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</si>
  <si>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</si>
  <si>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</si>
  <si>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</si>
  <si>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</si>
  <si>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</si>
  <si>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</si>
  <si>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</si>
  <si>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</si>
  <si>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</si>
  <si>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</si>
  <si>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</si>
  <si>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</si>
  <si>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</si>
  <si>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</si>
  <si>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</si>
  <si>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</si>
  <si>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</si>
  <si>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</si>
  <si>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</si>
  <si>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</si>
  <si>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</si>
  <si>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</si>
  <si>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</si>
  <si>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</si>
  <si>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</si>
  <si>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</si>
  <si>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</si>
  <si>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</si>
  <si>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</si>
  <si>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</si>
  <si>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</si>
  <si>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</si>
  <si>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</si>
  <si>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</si>
  <si>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</si>
  <si>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</si>
  <si>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</si>
  <si>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</si>
  <si>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</si>
  <si>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</si>
  <si>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</si>
  <si>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</si>
  <si>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</si>
  <si>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</si>
  <si>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</si>
  <si>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</si>
  <si>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</si>
  <si>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</si>
  <si>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</si>
  <si>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</si>
  <si>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</si>
  <si>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</si>
  <si>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</si>
  <si>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</si>
  <si>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</si>
  <si>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</si>
  <si>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</si>
  <si>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</si>
  <si>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</si>
  <si>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</si>
  <si>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</si>
  <si>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</si>
  <si>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</si>
  <si>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</si>
  <si>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</si>
  <si>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</si>
  <si>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</si>
  <si>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</si>
  <si>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</si>
  <si>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</si>
  <si>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</si>
  <si>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</si>
  <si>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</si>
  <si>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</si>
  <si>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</si>
  <si>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</si>
  <si>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</si>
  <si>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</si>
  <si>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</si>
  <si>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</si>
  <si>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</si>
  <si>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</si>
  <si>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</si>
  <si>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</si>
  <si>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</si>
  <si>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</si>
  <si>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</si>
  <si>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</si>
  <si>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</si>
  <si>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</si>
  <si>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</si>
  <si>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</si>
  <si>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</si>
  <si>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</si>
  <si>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</si>
  <si>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</si>
  <si>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</si>
  <si>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</si>
  <si>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</si>
  <si>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</si>
  <si>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</si>
  <si>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</si>
  <si>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</si>
  <si>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</si>
  <si>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</si>
  <si>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</si>
  <si>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</si>
  <si>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</si>
  <si>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</si>
  <si>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</si>
  <si>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</si>
  <si>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</si>
  <si>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</si>
  <si>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</si>
  <si>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</si>
  <si>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</si>
  <si>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</si>
  <si>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</si>
  <si>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</si>
  <si>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</si>
  <si>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</si>
  <si>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</si>
  <si>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</si>
  <si>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</si>
  <si>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</si>
  <si>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</si>
  <si>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</si>
  <si>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</si>
  <si>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</si>
  <si>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</si>
  <si>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</si>
  <si>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</si>
  <si>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</si>
  <si>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</si>
  <si>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</si>
  <si>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</si>
  <si>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</si>
  <si>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</si>
  <si>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</si>
  <si>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</si>
  <si>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</si>
  <si>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</si>
  <si>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</si>
  <si>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</si>
  <si>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</si>
  <si>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</si>
  <si>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</si>
  <si>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</si>
  <si>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</si>
  <si>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</si>
  <si>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</si>
  <si>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</si>
  <si>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</si>
  <si>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</si>
  <si>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</si>
  <si>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</si>
  <si>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</si>
  <si>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</si>
  <si>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</si>
  <si>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</si>
  <si>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</si>
  <si>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</si>
  <si>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</si>
  <si>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</si>
  <si>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</si>
  <si>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</si>
  <si>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</si>
  <si>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</si>
  <si>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</si>
  <si>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</si>
  <si>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</si>
  <si>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</si>
  <si>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</si>
  <si>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</si>
  <si>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</si>
  <si>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</si>
  <si>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</si>
  <si>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</si>
  <si>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</si>
  <si>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</si>
  <si>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</si>
  <si>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</si>
  <si>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</si>
  <si>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</si>
  <si>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</si>
  <si>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</si>
  <si>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</si>
  <si>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</si>
  <si>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</si>
  <si>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</si>
  <si>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</si>
  <si>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</si>
  <si>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</si>
  <si>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</si>
  <si>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</si>
  <si>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</si>
  <si>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</si>
  <si>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</si>
  <si>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</si>
  <si>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</si>
  <si>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</si>
  <si>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</si>
  <si>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</si>
  <si>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</si>
  <si>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</si>
  <si>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</si>
  <si>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</si>
  <si>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</si>
  <si>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</si>
  <si>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</si>
  <si>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</si>
  <si>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</si>
  <si>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Crawford points</t>
  </si>
  <si>
    <t>Hobbs, Artesia, Colburn, Feldman</t>
  </si>
  <si>
    <t>Waha, Pecos Diamond</t>
  </si>
  <si>
    <t>Ward, Pecos - $ value as of 11/1/01 - Lonestar is diputing $value</t>
  </si>
  <si>
    <t>CBS 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</si>
</sst>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6" borderId="1" xfId="1" applyNumberFormat="1" applyFont="1" applyFill="1" applyBorder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37" fontId="25" fillId="6" borderId="0" xfId="1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37" fontId="25" fillId="6" borderId="0" xfId="1" applyNumberFormat="1" applyFont="1" applyFill="1" applyBorder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186" fontId="3" fillId="0" borderId="0" xfId="1" applyNumberFormat="1" applyFont="1"/>
    <xf numFmtId="7" fontId="35" fillId="6" borderId="1" xfId="1" applyNumberFormat="1" applyFont="1" applyFill="1" applyBorder="1"/>
    <xf numFmtId="7" fontId="25" fillId="6" borderId="1" xfId="0" applyNumberFormat="1" applyFont="1" applyFill="1" applyBorder="1"/>
    <xf numFmtId="5" fontId="33" fillId="6" borderId="1" xfId="0" applyNumberFormat="1" applyFont="1" applyFill="1" applyBorder="1"/>
    <xf numFmtId="5" fontId="25" fillId="6" borderId="1" xfId="0" applyNumberFormat="1" applyFont="1" applyFill="1" applyBorder="1"/>
    <xf numFmtId="7" fontId="3" fillId="6" borderId="0" xfId="0" applyNumberFormat="1" applyFont="1" applyFill="1"/>
    <xf numFmtId="7" fontId="25" fillId="6" borderId="0" xfId="0" applyNumberFormat="1" applyFont="1" applyFill="1"/>
    <xf numFmtId="5" fontId="3" fillId="6" borderId="0" xfId="1" applyNumberFormat="1" applyFont="1" applyFill="1"/>
    <xf numFmtId="5" fontId="25" fillId="6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9" fillId="0" borderId="0" xfId="1" quotePrefix="1" applyNumberFormat="1" applyFont="1"/>
    <xf numFmtId="5" fontId="25" fillId="6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6" borderId="0" xfId="1" applyNumberFormat="1" applyFont="1" applyFill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7" fontId="25" fillId="6" borderId="0" xfId="2" applyNumberFormat="1" applyFont="1" applyFill="1"/>
    <xf numFmtId="7" fontId="3" fillId="0" borderId="0" xfId="2" applyNumberFormat="1" applyFo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5" fontId="33" fillId="6" borderId="0" xfId="0" applyNumberFormat="1" applyFont="1" applyFill="1"/>
    <xf numFmtId="5" fontId="22" fillId="0" borderId="1" xfId="0" applyNumberFormat="1" applyFont="1" applyBorder="1" applyAlignment="1">
      <alignment horizontal="right"/>
    </xf>
    <xf numFmtId="39" fontId="0" fillId="0" borderId="0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2.2200000000000002</v>
          </cell>
          <cell r="K39">
            <v>2.2000000000000002</v>
          </cell>
          <cell r="M39">
            <v>2.21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52" workbookViewId="0">
      <selection activeCell="D64" sqref="D64"/>
    </sheetView>
  </sheetViews>
  <sheetFormatPr defaultRowHeight="12.75" outlineLevelRow="2" x14ac:dyDescent="0.2"/>
  <cols>
    <col min="1" max="1" width="18.85546875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142</v>
      </c>
      <c r="D2" s="7"/>
      <c r="I2" s="390" t="s">
        <v>79</v>
      </c>
      <c r="J2" s="393"/>
      <c r="K2" s="32"/>
    </row>
    <row r="3" spans="1:32" ht="12.95" customHeight="1" x14ac:dyDescent="0.2">
      <c r="D3" s="7"/>
      <c r="I3" s="391" t="s">
        <v>30</v>
      </c>
      <c r="J3" s="394">
        <f>+'[1]1001'!$K$39</f>
        <v>2.2000000000000002</v>
      </c>
      <c r="K3" s="410">
        <f ca="1">NOW()</f>
        <v>37256.655859606479</v>
      </c>
    </row>
    <row r="4" spans="1:32" ht="12.95" customHeight="1" x14ac:dyDescent="0.2">
      <c r="A4" s="34" t="s">
        <v>148</v>
      </c>
      <c r="C4" s="34" t="s">
        <v>5</v>
      </c>
      <c r="D4" s="7"/>
      <c r="I4" s="392" t="s">
        <v>31</v>
      </c>
      <c r="J4" s="394">
        <f>+'[1]1001'!$M$39</f>
        <v>2.21</v>
      </c>
      <c r="K4" s="32"/>
    </row>
    <row r="5" spans="1:32" ht="12.95" customHeight="1" x14ac:dyDescent="0.2">
      <c r="D5" s="7"/>
      <c r="I5" s="391" t="s">
        <v>118</v>
      </c>
      <c r="J5" s="394">
        <f>+'[1]1001'!$E$39</f>
        <v>2.2200000000000002</v>
      </c>
      <c r="K5" s="32"/>
    </row>
    <row r="6" spans="1:32" ht="6.95" customHeight="1" x14ac:dyDescent="0.2"/>
    <row r="7" spans="1:32" ht="12.95" customHeight="1" x14ac:dyDescent="0.2">
      <c r="A7" s="408" t="s">
        <v>166</v>
      </c>
      <c r="B7" s="409"/>
      <c r="AD7" s="32"/>
      <c r="AE7" s="32"/>
      <c r="AF7" s="32"/>
    </row>
    <row r="8" spans="1:32" ht="15.95" customHeight="1" outlineLevel="2" x14ac:dyDescent="0.2">
      <c r="A8" s="32"/>
      <c r="B8" s="449" t="s">
        <v>200</v>
      </c>
      <c r="C8" s="406" t="s">
        <v>0</v>
      </c>
      <c r="D8" s="12" t="s">
        <v>199</v>
      </c>
      <c r="E8" s="12" t="s">
        <v>197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3" t="s">
        <v>90</v>
      </c>
      <c r="B9" s="399" t="s">
        <v>201</v>
      </c>
      <c r="C9" s="407" t="s">
        <v>194</v>
      </c>
      <c r="D9" s="435" t="s">
        <v>198</v>
      </c>
      <c r="E9" s="39" t="s">
        <v>196</v>
      </c>
      <c r="F9" s="39" t="s">
        <v>149</v>
      </c>
      <c r="G9" s="397" t="s">
        <v>154</v>
      </c>
      <c r="H9" s="374" t="s">
        <v>102</v>
      </c>
      <c r="I9" s="373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3" t="s">
        <v>158</v>
      </c>
    </row>
    <row r="12" spans="1:32" ht="13.5" customHeight="1" outlineLevel="1" x14ac:dyDescent="0.2">
      <c r="A12" s="204" t="s">
        <v>129</v>
      </c>
      <c r="B12" s="351">
        <f>+Calpine!D41</f>
        <v>231414.48</v>
      </c>
      <c r="C12" s="376">
        <f>+B12/$J$4</f>
        <v>104712.43438914028</v>
      </c>
      <c r="D12" s="14">
        <f>+Calpine!D47</f>
        <v>197895</v>
      </c>
      <c r="E12" s="70">
        <f>+C12-D12</f>
        <v>-93182.565610859718</v>
      </c>
      <c r="F12" s="371">
        <f>+Calpine!A41</f>
        <v>37254</v>
      </c>
      <c r="G12" s="203"/>
      <c r="H12" s="204" t="s">
        <v>100</v>
      </c>
      <c r="I12" s="357"/>
      <c r="J12" s="70"/>
      <c r="K12" s="32"/>
    </row>
    <row r="13" spans="1:32" ht="13.5" customHeight="1" outlineLevel="2" x14ac:dyDescent="0.2">
      <c r="A13" s="32" t="s">
        <v>141</v>
      </c>
      <c r="B13" s="351">
        <f>+'Citizens-Griffith'!D41</f>
        <v>67511.320000000007</v>
      </c>
      <c r="C13" s="375">
        <f>+B13/$J$4</f>
        <v>30548.108597285071</v>
      </c>
      <c r="D13" s="14">
        <f>+'Citizens-Griffith'!D48</f>
        <v>36178</v>
      </c>
      <c r="E13" s="70">
        <f>+C13-D13</f>
        <v>-5629.8914027149294</v>
      </c>
      <c r="F13" s="371">
        <f>+'Citizens-Griffith'!A41</f>
        <v>37250</v>
      </c>
      <c r="G13" s="203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">
      <c r="A14" s="32" t="s">
        <v>135</v>
      </c>
      <c r="B14" s="351">
        <f>+'NS Steel'!D41</f>
        <v>-355639.34</v>
      </c>
      <c r="C14" s="375">
        <f>+B14/$J$4</f>
        <v>-160922.77828054299</v>
      </c>
      <c r="D14" s="14">
        <f>+'NS Steel'!D50</f>
        <v>-44630</v>
      </c>
      <c r="E14" s="70">
        <f>+C14-D14</f>
        <v>-116292.77828054299</v>
      </c>
      <c r="F14" s="372">
        <f>+'NS Steel'!A41</f>
        <v>37250</v>
      </c>
      <c r="G14" s="203" t="s">
        <v>157</v>
      </c>
      <c r="H14" s="32" t="s">
        <v>101</v>
      </c>
      <c r="I14" s="32" t="s">
        <v>183</v>
      </c>
      <c r="J14" s="32"/>
      <c r="K14" s="32"/>
    </row>
    <row r="15" spans="1:32" ht="13.5" customHeight="1" outlineLevel="1" x14ac:dyDescent="0.2">
      <c r="A15" s="204" t="s">
        <v>137</v>
      </c>
      <c r="B15" s="354">
        <f>+Citizens!D18</f>
        <v>-533028.96</v>
      </c>
      <c r="C15" s="377">
        <f>+B15/$J$4</f>
        <v>-241189.57466063346</v>
      </c>
      <c r="D15" s="355">
        <f>+Citizens!D24</f>
        <v>-34928</v>
      </c>
      <c r="E15" s="72">
        <f>+C15-D15</f>
        <v>-206261.57466063346</v>
      </c>
      <c r="F15" s="371">
        <f>+Citizens!A18</f>
        <v>37251</v>
      </c>
      <c r="G15" s="203"/>
      <c r="H15" s="204" t="s">
        <v>100</v>
      </c>
      <c r="I15" s="427" t="s">
        <v>182</v>
      </c>
      <c r="J15" s="32"/>
      <c r="K15" s="32"/>
      <c r="T15" s="259"/>
    </row>
    <row r="16" spans="1:32" ht="15.95" customHeight="1" outlineLevel="2" x14ac:dyDescent="0.2">
      <c r="A16" s="153" t="s">
        <v>159</v>
      </c>
      <c r="B16" s="395">
        <f>SUBTOTAL(9,B12:B15)</f>
        <v>-589742.5</v>
      </c>
      <c r="C16" s="401">
        <f>SUBTOTAL(9,C12:C15)</f>
        <v>-266851.80995475111</v>
      </c>
      <c r="D16" s="402">
        <f>SUBTOTAL(9,D12:D15)</f>
        <v>154515</v>
      </c>
      <c r="E16" s="403">
        <f>SUBTOTAL(9,E12:E15)</f>
        <v>-421366.80995475111</v>
      </c>
      <c r="F16" s="371"/>
      <c r="G16" s="203"/>
      <c r="H16" s="204"/>
      <c r="I16" s="357"/>
      <c r="J16" s="32"/>
      <c r="K16" s="32"/>
      <c r="T16" s="259"/>
    </row>
    <row r="17" spans="1:20" ht="9.9499999999999993" customHeight="1" outlineLevel="2" x14ac:dyDescent="0.2">
      <c r="G17" s="7"/>
    </row>
    <row r="18" spans="1:20" ht="15.95" customHeight="1" outlineLevel="2" x14ac:dyDescent="0.2">
      <c r="A18" s="405" t="s">
        <v>58</v>
      </c>
      <c r="G18" s="7"/>
    </row>
    <row r="19" spans="1:20" ht="13.5" customHeight="1" outlineLevel="2" x14ac:dyDescent="0.2">
      <c r="A19" s="32" t="s">
        <v>72</v>
      </c>
      <c r="B19" s="352">
        <f>+transcol!$D$43</f>
        <v>-994.36000000000058</v>
      </c>
      <c r="C19" s="375">
        <f>+B19/$J$4</f>
        <v>-449.93665158371067</v>
      </c>
      <c r="D19" s="14">
        <f>+transcol!D50</f>
        <v>-56002</v>
      </c>
      <c r="E19" s="70">
        <f>+C19-D19</f>
        <v>55552.06334841629</v>
      </c>
      <c r="F19" s="372">
        <f>+transcol!A43</f>
        <v>37254</v>
      </c>
      <c r="G19" s="203" t="s">
        <v>156</v>
      </c>
      <c r="H19" s="32" t="s">
        <v>116</v>
      </c>
      <c r="I19" s="32"/>
      <c r="J19" s="32"/>
      <c r="K19" s="32"/>
      <c r="T19" s="259"/>
    </row>
    <row r="20" spans="1:20" ht="13.5" customHeight="1" outlineLevel="2" x14ac:dyDescent="0.2">
      <c r="A20" s="204" t="s">
        <v>96</v>
      </c>
      <c r="B20" s="354">
        <f>+burlington!D42</f>
        <v>47418.600000000006</v>
      </c>
      <c r="C20" s="379">
        <f>+B20/$J$3</f>
        <v>21553.909090909092</v>
      </c>
      <c r="D20" s="355">
        <f>+burlington!D49</f>
        <v>21044</v>
      </c>
      <c r="E20" s="72">
        <f>+C20-D20</f>
        <v>509.9090909090919</v>
      </c>
      <c r="F20" s="371">
        <f>+burlington!A42</f>
        <v>37254</v>
      </c>
      <c r="G20" s="203" t="s">
        <v>157</v>
      </c>
      <c r="H20" s="32" t="s">
        <v>114</v>
      </c>
      <c r="I20" s="32" t="s">
        <v>146</v>
      </c>
      <c r="J20" s="32"/>
      <c r="K20" s="32"/>
    </row>
    <row r="21" spans="1:20" ht="15.95" customHeight="1" outlineLevel="2" x14ac:dyDescent="0.2">
      <c r="A21" s="153" t="s">
        <v>161</v>
      </c>
      <c r="B21" s="395">
        <f>SUBTOTAL(9,B19:B20)</f>
        <v>46424.240000000005</v>
      </c>
      <c r="C21" s="396">
        <f>SUBTOTAL(9,C19:C20)</f>
        <v>21103.972439325382</v>
      </c>
      <c r="D21" s="402">
        <f>SUBTOTAL(9,D19:D20)</f>
        <v>-34958</v>
      </c>
      <c r="E21" s="403">
        <f>SUBTOTAL(9,E19:E20)</f>
        <v>56061.972439325385</v>
      </c>
      <c r="F21" s="371"/>
      <c r="G21" s="32"/>
      <c r="H21" s="32"/>
      <c r="I21" s="32"/>
      <c r="J21" s="32"/>
      <c r="K21" s="32"/>
    </row>
    <row r="22" spans="1:20" ht="9.9499999999999993" customHeight="1" outlineLevel="2" x14ac:dyDescent="0.2"/>
    <row r="23" spans="1:20" ht="15.95" customHeight="1" outlineLevel="2" x14ac:dyDescent="0.2">
      <c r="A23" s="373" t="s">
        <v>162</v>
      </c>
      <c r="B23" s="431"/>
      <c r="C23" s="432"/>
      <c r="D23" s="433"/>
      <c r="E23" s="433"/>
      <c r="F23" s="433"/>
      <c r="G23" s="434"/>
      <c r="H23" s="433"/>
      <c r="I23" s="433"/>
    </row>
    <row r="24" spans="1:20" ht="15.95" customHeight="1" outlineLevel="2" x14ac:dyDescent="0.2">
      <c r="A24" s="204" t="s">
        <v>88</v>
      </c>
      <c r="B24" s="351">
        <f>+NNG!$D$24</f>
        <v>-12597</v>
      </c>
      <c r="C24" s="375">
        <f t="shared" ref="C24:C39" si="0">+B24/$J$4</f>
        <v>-5700</v>
      </c>
      <c r="D24" s="14">
        <f>+NNG!D34</f>
        <v>-5700</v>
      </c>
      <c r="E24" s="70">
        <f t="shared" ref="E24:E41" si="1">+C24-D24</f>
        <v>0</v>
      </c>
      <c r="F24" s="371">
        <f>+NNG!A24</f>
        <v>37250</v>
      </c>
      <c r="G24" s="398" t="s">
        <v>155</v>
      </c>
      <c r="H24" s="204" t="s">
        <v>101</v>
      </c>
      <c r="I24" s="32"/>
      <c r="J24" s="32"/>
      <c r="K24" s="32"/>
    </row>
    <row r="25" spans="1:20" ht="13.5" customHeight="1" outlineLevel="2" x14ac:dyDescent="0.2">
      <c r="A25" s="32" t="s">
        <v>81</v>
      </c>
      <c r="B25" s="351">
        <f>+Conoco!$F$41</f>
        <v>441086.55</v>
      </c>
      <c r="C25" s="375">
        <f t="shared" si="0"/>
        <v>199586.6742081448</v>
      </c>
      <c r="D25" s="14">
        <f>+Conoco!D48</f>
        <v>33223</v>
      </c>
      <c r="E25" s="70">
        <f t="shared" si="1"/>
        <v>166363.6742081448</v>
      </c>
      <c r="F25" s="371">
        <f>+Conoco!A41</f>
        <v>37254</v>
      </c>
      <c r="G25" s="203" t="s">
        <v>157</v>
      </c>
      <c r="H25" s="32" t="s">
        <v>114</v>
      </c>
      <c r="I25" s="32" t="s">
        <v>178</v>
      </c>
      <c r="J25" s="32"/>
      <c r="K25" s="32"/>
    </row>
    <row r="26" spans="1:20" ht="13.5" customHeight="1" outlineLevel="2" x14ac:dyDescent="0.2">
      <c r="A26" s="32" t="s">
        <v>3</v>
      </c>
      <c r="B26" s="351">
        <f>+'Amoco Abo'!$F$43</f>
        <v>205277.72000000003</v>
      </c>
      <c r="C26" s="375">
        <f t="shared" si="0"/>
        <v>92885.846153846171</v>
      </c>
      <c r="D26" s="14">
        <f>+'Amoco Abo'!D49</f>
        <v>-345274</v>
      </c>
      <c r="E26" s="70">
        <f t="shared" si="1"/>
        <v>438159.84615384619</v>
      </c>
      <c r="F26" s="372">
        <f>+'Amoco Abo'!A43</f>
        <v>37254</v>
      </c>
      <c r="G26" s="203" t="s">
        <v>156</v>
      </c>
      <c r="H26" s="32" t="s">
        <v>116</v>
      </c>
      <c r="I26" s="32" t="s">
        <v>179</v>
      </c>
      <c r="J26" s="32"/>
      <c r="K26" s="32"/>
    </row>
    <row r="27" spans="1:20" ht="13.5" customHeight="1" outlineLevel="2" x14ac:dyDescent="0.2">
      <c r="A27" s="32" t="s">
        <v>108</v>
      </c>
      <c r="B27" s="351">
        <f>+KN_Westar!F41</f>
        <v>375813.96</v>
      </c>
      <c r="C27" s="375">
        <f t="shared" si="0"/>
        <v>170051.56561085975</v>
      </c>
      <c r="D27" s="14">
        <f>+KN_Westar!D48</f>
        <v>-13723</v>
      </c>
      <c r="E27" s="70">
        <f t="shared" si="1"/>
        <v>183774.56561085975</v>
      </c>
      <c r="F27" s="372">
        <f>+KN_Westar!A41</f>
        <v>37250</v>
      </c>
      <c r="G27" s="203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">
      <c r="A28" s="32" t="s">
        <v>128</v>
      </c>
      <c r="B28" s="494">
        <f>+DEFS!F53</f>
        <v>14001.709999999031</v>
      </c>
      <c r="C28" s="376">
        <f t="shared" si="0"/>
        <v>6335.6153846149464</v>
      </c>
      <c r="D28" s="14">
        <f>+DEFS!M53</f>
        <v>333215</v>
      </c>
      <c r="E28" s="70">
        <f t="shared" si="1"/>
        <v>-326879.38461538503</v>
      </c>
      <c r="F28" s="372">
        <f>+DEFS!A40</f>
        <v>37250</v>
      </c>
      <c r="G28" s="203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">
      <c r="A29" s="32" t="s">
        <v>2</v>
      </c>
      <c r="B29" s="351">
        <f>+mewborne!$J$43</f>
        <v>396139.98</v>
      </c>
      <c r="C29" s="375">
        <f t="shared" si="0"/>
        <v>179248.8597285068</v>
      </c>
      <c r="D29" s="14">
        <f>+mewborne!D49</f>
        <v>161967</v>
      </c>
      <c r="E29" s="70">
        <f t="shared" si="1"/>
        <v>17281.859728506795</v>
      </c>
      <c r="F29" s="372">
        <f>+mewborne!A43</f>
        <v>37254</v>
      </c>
      <c r="G29" s="203" t="s">
        <v>157</v>
      </c>
      <c r="H29" s="32" t="s">
        <v>100</v>
      </c>
      <c r="I29" s="32"/>
      <c r="J29" s="32"/>
      <c r="K29" s="32"/>
    </row>
    <row r="30" spans="1:20" ht="13.5" customHeight="1" x14ac:dyDescent="0.2">
      <c r="A30" s="32" t="s">
        <v>150</v>
      </c>
      <c r="B30" s="351">
        <f>+PGETX!$H$39</f>
        <v>-72097.48</v>
      </c>
      <c r="C30" s="375">
        <f t="shared" si="0"/>
        <v>-32623.294117647056</v>
      </c>
      <c r="D30" s="14">
        <f>+PGETX!E48</f>
        <v>-6357</v>
      </c>
      <c r="E30" s="70">
        <f t="shared" si="1"/>
        <v>-26266.294117647056</v>
      </c>
      <c r="F30" s="372">
        <f>+PGETX!E39</f>
        <v>37254</v>
      </c>
      <c r="G30" s="203" t="s">
        <v>155</v>
      </c>
      <c r="H30" s="32" t="s">
        <v>103</v>
      </c>
      <c r="I30" s="32" t="s">
        <v>181</v>
      </c>
      <c r="J30" s="32"/>
      <c r="K30" s="32"/>
    </row>
    <row r="31" spans="1:20" ht="14.1" customHeight="1" x14ac:dyDescent="0.2">
      <c r="A31" s="32" t="s">
        <v>83</v>
      </c>
      <c r="B31" s="351">
        <f>+PNM!$D$23</f>
        <v>697802</v>
      </c>
      <c r="C31" s="375">
        <f t="shared" si="0"/>
        <v>315747.51131221722</v>
      </c>
      <c r="D31" s="14">
        <f>+PNM!D30</f>
        <v>278158</v>
      </c>
      <c r="E31" s="70">
        <f t="shared" si="1"/>
        <v>37589.511312217219</v>
      </c>
      <c r="F31" s="372">
        <f>+PNM!A23</f>
        <v>37254</v>
      </c>
      <c r="G31" s="203" t="s">
        <v>156</v>
      </c>
      <c r="H31" s="32" t="s">
        <v>116</v>
      </c>
      <c r="I31" s="32"/>
      <c r="J31" s="32"/>
      <c r="K31" s="32"/>
    </row>
    <row r="32" spans="1:20" ht="14.1" customHeight="1" x14ac:dyDescent="0.2">
      <c r="A32" s="32" t="s">
        <v>104</v>
      </c>
      <c r="B32" s="351">
        <f>+EOG!J41</f>
        <v>-12998.11</v>
      </c>
      <c r="C32" s="375">
        <f t="shared" si="0"/>
        <v>-5881.4977375565613</v>
      </c>
      <c r="D32" s="14">
        <f>+EOG!D48</f>
        <v>-133126</v>
      </c>
      <c r="E32" s="70">
        <f t="shared" si="1"/>
        <v>127244.50226244344</v>
      </c>
      <c r="F32" s="371">
        <f>+EOG!A41</f>
        <v>37250</v>
      </c>
      <c r="G32" s="203" t="s">
        <v>157</v>
      </c>
      <c r="H32" s="32" t="s">
        <v>103</v>
      </c>
      <c r="I32" s="32"/>
      <c r="J32" s="32"/>
      <c r="K32" s="32"/>
    </row>
    <row r="33" spans="1:12" ht="14.1" customHeight="1" x14ac:dyDescent="0.2">
      <c r="A33" s="32" t="s">
        <v>133</v>
      </c>
      <c r="B33" s="351">
        <f>+SidR!D41</f>
        <v>47538.85</v>
      </c>
      <c r="C33" s="375">
        <f>+B33/$J$5</f>
        <v>21413.896396396394</v>
      </c>
      <c r="D33" s="14">
        <f>+SidR!D48</f>
        <v>22359</v>
      </c>
      <c r="E33" s="70">
        <f t="shared" si="1"/>
        <v>-945.10360360360573</v>
      </c>
      <c r="F33" s="372">
        <f>+SidR!A41</f>
        <v>37254</v>
      </c>
      <c r="G33" s="203" t="s">
        <v>155</v>
      </c>
      <c r="H33" s="32" t="s">
        <v>103</v>
      </c>
      <c r="I33" s="32"/>
      <c r="J33" s="32"/>
      <c r="K33" s="32"/>
    </row>
    <row r="34" spans="1:12" ht="14.1" customHeight="1" x14ac:dyDescent="0.2">
      <c r="A34" s="32" t="s">
        <v>214</v>
      </c>
      <c r="B34" s="351">
        <f>+Dominion!D41</f>
        <v>179619.41</v>
      </c>
      <c r="C34" s="375">
        <f>+B34/$J$5</f>
        <v>80909.644144144142</v>
      </c>
      <c r="D34" s="14">
        <f>+Dominion!D48</f>
        <v>78857</v>
      </c>
      <c r="E34" s="70">
        <f t="shared" si="1"/>
        <v>2052.644144144142</v>
      </c>
      <c r="F34" s="372">
        <f>+Dominion!A41</f>
        <v>37254</v>
      </c>
      <c r="G34" s="203"/>
      <c r="H34" s="32" t="s">
        <v>100</v>
      </c>
      <c r="I34" s="32"/>
      <c r="J34" s="32"/>
      <c r="K34" s="32"/>
    </row>
    <row r="35" spans="1:12" ht="14.1" customHeight="1" x14ac:dyDescent="0.2">
      <c r="A35" s="32" t="s">
        <v>211</v>
      </c>
      <c r="B35" s="351">
        <f>+WTGmktg!J43</f>
        <v>-41416.959999999999</v>
      </c>
      <c r="C35" s="375">
        <f t="shared" si="0"/>
        <v>-18740.705882352941</v>
      </c>
      <c r="D35" s="14">
        <f>+WTGmktg!D50</f>
        <v>-6057</v>
      </c>
      <c r="E35" s="70">
        <f t="shared" si="1"/>
        <v>-12683.705882352941</v>
      </c>
      <c r="F35" s="372">
        <f>+WTGmktg!A43</f>
        <v>37250</v>
      </c>
      <c r="G35" s="203"/>
      <c r="H35" s="32" t="s">
        <v>116</v>
      </c>
      <c r="I35" s="32"/>
      <c r="J35" s="32"/>
      <c r="K35" s="32"/>
    </row>
    <row r="36" spans="1:12" ht="13.5" customHeight="1" x14ac:dyDescent="0.2">
      <c r="A36" s="32" t="s">
        <v>215</v>
      </c>
      <c r="B36" s="351">
        <f>+Devon!D41</f>
        <v>158884.53</v>
      </c>
      <c r="C36" s="375">
        <f>+B36/$J$5</f>
        <v>71569.608108108107</v>
      </c>
      <c r="D36" s="14">
        <f>+Devon!D48</f>
        <v>32985</v>
      </c>
      <c r="E36" s="70">
        <f t="shared" si="1"/>
        <v>38584.608108108107</v>
      </c>
      <c r="F36" s="372">
        <f>+Devon!A41</f>
        <v>37254</v>
      </c>
      <c r="G36" s="203"/>
      <c r="H36" s="32" t="s">
        <v>100</v>
      </c>
      <c r="I36" s="32"/>
      <c r="J36" s="32"/>
      <c r="K36" s="32"/>
    </row>
    <row r="37" spans="1:12" ht="13.5" customHeight="1" x14ac:dyDescent="0.2">
      <c r="A37" s="32" t="s">
        <v>224</v>
      </c>
      <c r="B37" s="351">
        <f>+crosstex!F41</f>
        <v>-129182.78</v>
      </c>
      <c r="C37" s="375">
        <f>+B37/$J$4</f>
        <v>-58453.74660633484</v>
      </c>
      <c r="D37" s="14">
        <f>+crosstex!D48</f>
        <v>-39059</v>
      </c>
      <c r="E37" s="70">
        <f t="shared" si="1"/>
        <v>-19394.74660633484</v>
      </c>
      <c r="F37" s="372">
        <f>+crosstex!A41</f>
        <v>37254</v>
      </c>
      <c r="G37" s="203"/>
      <c r="H37" s="32" t="s">
        <v>101</v>
      </c>
      <c r="I37" s="32"/>
      <c r="J37" s="32"/>
      <c r="K37" s="32"/>
    </row>
    <row r="38" spans="1:12" ht="13.5" customHeight="1" x14ac:dyDescent="0.2">
      <c r="A38" s="32" t="s">
        <v>225</v>
      </c>
      <c r="B38" s="351">
        <f>+Amarillo!P41</f>
        <v>113319.47</v>
      </c>
      <c r="C38" s="375">
        <f>+B38/$J$4</f>
        <v>51275.778280542989</v>
      </c>
      <c r="D38" s="14">
        <f>+Amarillo!D48</f>
        <v>47745</v>
      </c>
      <c r="E38" s="70">
        <f t="shared" si="1"/>
        <v>3530.7782805429888</v>
      </c>
      <c r="F38" s="372">
        <f>+Amarillo!A41</f>
        <v>37250</v>
      </c>
      <c r="G38" s="203"/>
      <c r="H38" s="32" t="s">
        <v>114</v>
      </c>
      <c r="I38" s="32"/>
      <c r="J38" s="32"/>
      <c r="K38" s="32"/>
    </row>
    <row r="39" spans="1:12" ht="13.5" customHeight="1" x14ac:dyDescent="0.2">
      <c r="A39" s="32" t="s">
        <v>110</v>
      </c>
      <c r="B39" s="351">
        <f>+Continental!F43</f>
        <v>32702.49</v>
      </c>
      <c r="C39" s="376">
        <f t="shared" si="0"/>
        <v>14797.506787330318</v>
      </c>
      <c r="D39" s="14">
        <f>+Continental!D50</f>
        <v>85</v>
      </c>
      <c r="E39" s="70">
        <f t="shared" si="1"/>
        <v>14712.506787330318</v>
      </c>
      <c r="F39" s="372">
        <f>+Continental!A43</f>
        <v>37250</v>
      </c>
      <c r="G39" s="203" t="s">
        <v>157</v>
      </c>
      <c r="H39" s="32" t="s">
        <v>116</v>
      </c>
      <c r="I39" s="32"/>
      <c r="J39" s="32"/>
      <c r="K39" s="32"/>
    </row>
    <row r="40" spans="1:12" ht="13.5" customHeight="1" x14ac:dyDescent="0.2">
      <c r="A40" s="32" t="s">
        <v>131</v>
      </c>
      <c r="B40" s="351">
        <f>+EPFS!D41</f>
        <v>87941.75</v>
      </c>
      <c r="C40" s="376">
        <f>+B40/$J$5</f>
        <v>39613.400900900895</v>
      </c>
      <c r="D40" s="14">
        <f>+EPFS!D47</f>
        <v>56128</v>
      </c>
      <c r="E40" s="70">
        <f t="shared" si="1"/>
        <v>-16514.599099099105</v>
      </c>
      <c r="F40" s="371">
        <f>+EPFS!A41</f>
        <v>37254</v>
      </c>
      <c r="G40" s="203" t="s">
        <v>156</v>
      </c>
      <c r="H40" s="32" t="s">
        <v>103</v>
      </c>
      <c r="I40" s="32"/>
      <c r="J40" s="32"/>
      <c r="K40" s="32"/>
    </row>
    <row r="41" spans="1:12" ht="12.95" customHeight="1" x14ac:dyDescent="0.2">
      <c r="A41" s="204" t="s">
        <v>80</v>
      </c>
      <c r="B41" s="354">
        <f>+Agave!$D$24</f>
        <v>66175.759999999995</v>
      </c>
      <c r="C41" s="377">
        <f>+B41/$J$4</f>
        <v>29943.782805429862</v>
      </c>
      <c r="D41" s="355">
        <f>+Agave!D31</f>
        <v>43225</v>
      </c>
      <c r="E41" s="72">
        <f t="shared" si="1"/>
        <v>-13281.217194570138</v>
      </c>
      <c r="F41" s="371">
        <f>+Agave!A24</f>
        <v>37254</v>
      </c>
      <c r="G41" s="203" t="s">
        <v>184</v>
      </c>
      <c r="H41" s="204" t="s">
        <v>103</v>
      </c>
      <c r="I41" s="32"/>
      <c r="J41" s="32"/>
      <c r="K41" s="32"/>
    </row>
    <row r="42" spans="1:12" ht="17.100000000000001" customHeight="1" x14ac:dyDescent="0.2">
      <c r="A42" s="153" t="s">
        <v>164</v>
      </c>
      <c r="B42" s="395">
        <f>SUBTOTAL(9,B24:B41)</f>
        <v>2548011.8499999992</v>
      </c>
      <c r="C42" s="401">
        <f>SUBTOTAL(9,C24:C41)</f>
        <v>1151980.4454771508</v>
      </c>
      <c r="D42" s="402">
        <f>SUBTOTAL(9,D24:D41)</f>
        <v>538651</v>
      </c>
      <c r="E42" s="403">
        <f>SUBTOTAL(9,E24:E41)</f>
        <v>613329.4454771512</v>
      </c>
      <c r="F42" s="371"/>
      <c r="G42" s="358"/>
      <c r="H42" s="32"/>
      <c r="I42" s="204"/>
      <c r="J42" s="32"/>
      <c r="K42" s="32"/>
      <c r="L42" s="32"/>
    </row>
    <row r="43" spans="1:12" ht="12" customHeight="1" x14ac:dyDescent="0.2">
      <c r="A43" s="204"/>
      <c r="H43" s="32"/>
      <c r="I43" s="204"/>
      <c r="J43" s="32"/>
      <c r="K43" s="32"/>
      <c r="L43" s="32"/>
    </row>
    <row r="44" spans="1:12" ht="17.100000000000001" customHeight="1" x14ac:dyDescent="0.2">
      <c r="A44" s="153" t="s">
        <v>165</v>
      </c>
      <c r="B44" s="395">
        <f>SUBTOTAL(9,B12:B41)</f>
        <v>2004693.5899999989</v>
      </c>
      <c r="C44" s="401">
        <f>SUBTOTAL(9,C12:C41)</f>
        <v>906232.60796172533</v>
      </c>
      <c r="D44" s="402">
        <f>SUBTOTAL(9,D12:D41)</f>
        <v>658208</v>
      </c>
      <c r="E44" s="403">
        <f>SUBTOTAL(9,E12:E41)</f>
        <v>248024.6079617253</v>
      </c>
      <c r="F44" s="371"/>
      <c r="G44" s="204"/>
      <c r="H44" s="32"/>
      <c r="I44" s="204"/>
      <c r="J44" s="32"/>
      <c r="K44" s="32"/>
      <c r="L44" s="32"/>
    </row>
    <row r="45" spans="1:12" ht="12.95" customHeight="1" x14ac:dyDescent="0.2">
      <c r="A45" s="204"/>
      <c r="B45" s="351"/>
      <c r="C45" s="375"/>
      <c r="D45" s="375"/>
      <c r="E45" s="375"/>
      <c r="F45" s="358"/>
      <c r="G45" s="32"/>
      <c r="I45" s="32"/>
      <c r="J45" s="32"/>
      <c r="K45" s="32"/>
      <c r="L45" s="32"/>
    </row>
    <row r="46" spans="1:12" ht="14.1" customHeight="1" x14ac:dyDescent="0.2"/>
    <row r="47" spans="1:12" ht="12.95" customHeight="1" x14ac:dyDescent="0.2"/>
    <row r="48" spans="1:12" ht="13.5" customHeight="1" x14ac:dyDescent="0.2"/>
    <row r="49" spans="1:19" ht="13.5" customHeight="1" outlineLevel="2" x14ac:dyDescent="0.2">
      <c r="A49" s="34" t="s">
        <v>142</v>
      </c>
      <c r="D49" s="7"/>
      <c r="I49" s="390" t="s">
        <v>79</v>
      </c>
      <c r="J49" s="393"/>
      <c r="K49" s="32"/>
    </row>
    <row r="50" spans="1:19" ht="13.5" customHeight="1" outlineLevel="2" x14ac:dyDescent="0.2">
      <c r="D50" s="7"/>
      <c r="I50" s="391" t="s">
        <v>30</v>
      </c>
      <c r="J50" s="394">
        <f>+J3</f>
        <v>2.2000000000000002</v>
      </c>
      <c r="K50" s="410">
        <f ca="1">NOW()</f>
        <v>37256.655859606479</v>
      </c>
    </row>
    <row r="51" spans="1:19" ht="13.5" customHeight="1" outlineLevel="2" x14ac:dyDescent="0.2">
      <c r="A51" s="34" t="s">
        <v>148</v>
      </c>
      <c r="C51" s="34" t="s">
        <v>5</v>
      </c>
      <c r="D51" s="7"/>
      <c r="I51" s="392" t="s">
        <v>31</v>
      </c>
      <c r="J51" s="394">
        <f>+J4</f>
        <v>2.21</v>
      </c>
      <c r="K51" s="32"/>
    </row>
    <row r="52" spans="1:19" ht="13.5" customHeight="1" outlineLevel="1" x14ac:dyDescent="0.2">
      <c r="D52" s="7"/>
      <c r="I52" s="391" t="s">
        <v>118</v>
      </c>
      <c r="J52" s="394">
        <f>+J5</f>
        <v>2.2200000000000002</v>
      </c>
      <c r="K52" s="32"/>
    </row>
    <row r="53" spans="1:19" ht="13.5" customHeight="1" outlineLevel="2" x14ac:dyDescent="0.2"/>
    <row r="54" spans="1:19" ht="13.5" customHeight="1" outlineLevel="2" x14ac:dyDescent="0.2">
      <c r="A54" s="408" t="s">
        <v>167</v>
      </c>
      <c r="B54" s="409"/>
      <c r="E54" s="12" t="s">
        <v>204</v>
      </c>
    </row>
    <row r="55" spans="1:19" ht="13.5" customHeight="1" outlineLevel="2" x14ac:dyDescent="0.2">
      <c r="A55" s="32"/>
      <c r="B55" s="411" t="s">
        <v>195</v>
      </c>
      <c r="C55" s="411" t="s">
        <v>202</v>
      </c>
      <c r="D55" s="411" t="s">
        <v>199</v>
      </c>
      <c r="E55" s="12" t="s">
        <v>205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">
      <c r="A56" s="373" t="s">
        <v>90</v>
      </c>
      <c r="B56" s="407" t="s">
        <v>0</v>
      </c>
      <c r="C56" s="385" t="s">
        <v>169</v>
      </c>
      <c r="D56" s="39" t="s">
        <v>203</v>
      </c>
      <c r="E56" s="39" t="s">
        <v>206</v>
      </c>
      <c r="F56" s="39" t="s">
        <v>149</v>
      </c>
      <c r="G56" s="397" t="s">
        <v>154</v>
      </c>
      <c r="H56" s="374" t="s">
        <v>102</v>
      </c>
      <c r="I56" s="373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">
      <c r="B57" s="286"/>
      <c r="C57" s="247"/>
    </row>
    <row r="58" spans="1:19" ht="13.5" customHeight="1" outlineLevel="1" x14ac:dyDescent="0.2">
      <c r="A58" s="373" t="s">
        <v>158</v>
      </c>
      <c r="B58" s="286"/>
      <c r="C58" s="247"/>
    </row>
    <row r="59" spans="1:19" ht="13.5" customHeight="1" outlineLevel="2" x14ac:dyDescent="0.2">
      <c r="A59" s="32" t="s">
        <v>95</v>
      </c>
      <c r="B59" s="375">
        <f>+Mojave!D40</f>
        <v>184708</v>
      </c>
      <c r="C59" s="351">
        <f>+B59*$J$4</f>
        <v>408204.68</v>
      </c>
      <c r="D59" s="47">
        <f>+Mojave!D47</f>
        <v>194743.33000000002</v>
      </c>
      <c r="E59" s="47">
        <f>+C59-D59</f>
        <v>213461.34999999998</v>
      </c>
      <c r="F59" s="372">
        <f>+Mojave!A40</f>
        <v>37250</v>
      </c>
      <c r="H59" s="32" t="s">
        <v>101</v>
      </c>
      <c r="I59" s="32" t="s">
        <v>172</v>
      </c>
      <c r="J59" s="32"/>
      <c r="K59" s="32"/>
    </row>
    <row r="60" spans="1:19" ht="15" customHeight="1" outlineLevel="2" x14ac:dyDescent="0.2">
      <c r="A60" s="32" t="s">
        <v>33</v>
      </c>
      <c r="B60" s="376">
        <f>+SoCal!F40</f>
        <v>107022</v>
      </c>
      <c r="C60" s="351">
        <f>+B60*$J$4</f>
        <v>236518.62</v>
      </c>
      <c r="D60" s="47">
        <f>+SoCal!D47</f>
        <v>340295.28</v>
      </c>
      <c r="E60" s="47">
        <f>+C60-D60</f>
        <v>-103776.66000000003</v>
      </c>
      <c r="F60" s="372">
        <f>+SoCal!A40</f>
        <v>37254</v>
      </c>
      <c r="H60" s="32" t="s">
        <v>103</v>
      </c>
      <c r="I60" s="32"/>
      <c r="J60" s="32"/>
      <c r="K60" s="32"/>
    </row>
    <row r="61" spans="1:19" ht="15" customHeight="1" outlineLevel="2" x14ac:dyDescent="0.2">
      <c r="A61" s="32" t="s">
        <v>185</v>
      </c>
      <c r="B61" s="375">
        <f>+'El Paso'!C39</f>
        <v>64166</v>
      </c>
      <c r="C61" s="351">
        <f>+B61*$J$4</f>
        <v>141806.85999999999</v>
      </c>
      <c r="D61" s="47">
        <f>+'El Paso'!C46</f>
        <v>-1583188.64</v>
      </c>
      <c r="E61" s="47">
        <f>+C61-D61</f>
        <v>1724995.5</v>
      </c>
      <c r="F61" s="372">
        <f>+'El Paso'!A39</f>
        <v>37254</v>
      </c>
      <c r="G61" s="428"/>
      <c r="H61" s="32" t="s">
        <v>101</v>
      </c>
      <c r="I61" s="32" t="s">
        <v>176</v>
      </c>
      <c r="J61" s="32"/>
      <c r="K61" s="32"/>
    </row>
    <row r="62" spans="1:19" ht="15" customHeight="1" outlineLevel="1" x14ac:dyDescent="0.2">
      <c r="A62" s="32" t="s">
        <v>115</v>
      </c>
      <c r="B62" s="377">
        <f>+'PG&amp;E'!D40</f>
        <v>56254</v>
      </c>
      <c r="C62" s="354">
        <f>+B62*$J$4</f>
        <v>124321.34</v>
      </c>
      <c r="D62" s="354">
        <f>+'PG&amp;E'!D47</f>
        <v>6832.9199999999983</v>
      </c>
      <c r="E62" s="354">
        <f>+C62-D62</f>
        <v>117488.42</v>
      </c>
      <c r="F62" s="372">
        <f>+'PG&amp;E'!A40</f>
        <v>37254</v>
      </c>
      <c r="H62" s="32" t="s">
        <v>103</v>
      </c>
      <c r="I62" s="32"/>
      <c r="J62" s="32"/>
      <c r="K62" s="32"/>
    </row>
    <row r="63" spans="1:19" ht="15" customHeight="1" x14ac:dyDescent="0.2">
      <c r="A63" s="2" t="s">
        <v>159</v>
      </c>
      <c r="B63" s="401">
        <f>SUBTOTAL(9,B59:B62)</f>
        <v>412150</v>
      </c>
      <c r="C63" s="395">
        <f>SUBTOTAL(9,C59:C62)</f>
        <v>910851.5</v>
      </c>
      <c r="D63" s="395">
        <f>SUBTOTAL(9,D59:D62)</f>
        <v>-1041317.1099999998</v>
      </c>
      <c r="E63" s="395">
        <f>SUBTOTAL(9,E59:E62)</f>
        <v>1952168.6099999999</v>
      </c>
      <c r="F63" s="372"/>
      <c r="G63" s="203"/>
      <c r="H63" s="32"/>
      <c r="I63" s="32"/>
      <c r="J63" s="32"/>
      <c r="K63" s="32"/>
    </row>
    <row r="64" spans="1:19" ht="12.95" customHeight="1" x14ac:dyDescent="0.2">
      <c r="B64" s="286"/>
      <c r="C64" s="247"/>
      <c r="G64" s="203"/>
    </row>
    <row r="65" spans="1:11" ht="15" customHeight="1" x14ac:dyDescent="0.2">
      <c r="A65" s="373" t="s">
        <v>58</v>
      </c>
      <c r="B65" s="286"/>
      <c r="C65" s="247"/>
      <c r="G65" s="203"/>
    </row>
    <row r="66" spans="1:11" x14ac:dyDescent="0.2">
      <c r="A66" s="204" t="s">
        <v>29</v>
      </c>
      <c r="B66" s="375">
        <f>+williams!J40</f>
        <v>-48550</v>
      </c>
      <c r="C66" s="351">
        <f>+B66*$J$3</f>
        <v>-106810.00000000001</v>
      </c>
      <c r="D66" s="47">
        <f>+williams!D48</f>
        <v>-106810.00000000001</v>
      </c>
      <c r="E66" s="47">
        <f>+C66-D66</f>
        <v>0</v>
      </c>
      <c r="F66" s="371">
        <f>+williams!A40</f>
        <v>37254</v>
      </c>
      <c r="G66" s="203" t="s">
        <v>156</v>
      </c>
      <c r="H66" s="204" t="s">
        <v>147</v>
      </c>
      <c r="I66" s="32" t="s">
        <v>175</v>
      </c>
      <c r="J66" s="32"/>
      <c r="K66" s="32"/>
    </row>
    <row r="67" spans="1:11" x14ac:dyDescent="0.2">
      <c r="A67" s="32" t="s">
        <v>24</v>
      </c>
      <c r="B67" s="375">
        <f>+'Red C'!F43</f>
        <v>0</v>
      </c>
      <c r="C67" s="352">
        <f>+B67*J3</f>
        <v>0</v>
      </c>
      <c r="D67" s="200">
        <f>+'Red C'!D52</f>
        <v>449192.93999999994</v>
      </c>
      <c r="E67" s="47">
        <f>+C67-D67</f>
        <v>-449192.93999999994</v>
      </c>
      <c r="F67" s="371">
        <f>+'Red C'!B43</f>
        <v>0</v>
      </c>
      <c r="G67" s="203" t="s">
        <v>156</v>
      </c>
      <c r="H67" s="32" t="s">
        <v>116</v>
      </c>
      <c r="I67" s="32" t="s">
        <v>173</v>
      </c>
      <c r="J67" s="32"/>
      <c r="K67" s="32"/>
    </row>
    <row r="68" spans="1:11" x14ac:dyDescent="0.2">
      <c r="A68" s="32" t="s">
        <v>6</v>
      </c>
      <c r="B68" s="375">
        <f>+Amoco!D40</f>
        <v>-27278</v>
      </c>
      <c r="C68" s="351">
        <f>+B68*$J$3</f>
        <v>-60011.600000000006</v>
      </c>
      <c r="D68" s="47">
        <f>+Amoco!D47</f>
        <v>278352.28000000003</v>
      </c>
      <c r="E68" s="47">
        <f>+C68-D68</f>
        <v>-338363.88</v>
      </c>
      <c r="F68" s="372">
        <f>+Amoco!A40</f>
        <v>37254</v>
      </c>
      <c r="G68" s="203" t="s">
        <v>156</v>
      </c>
      <c r="H68" s="32" t="s">
        <v>116</v>
      </c>
      <c r="I68" s="32" t="s">
        <v>174</v>
      </c>
      <c r="J68" s="32"/>
      <c r="K68" s="32"/>
    </row>
    <row r="69" spans="1:11" x14ac:dyDescent="0.2">
      <c r="A69" s="32" t="s">
        <v>186</v>
      </c>
      <c r="B69" s="375">
        <f>+'El Paso'!E39</f>
        <v>-32347</v>
      </c>
      <c r="C69" s="351">
        <f>+B69*$J$3</f>
        <v>-71163.400000000009</v>
      </c>
      <c r="D69" s="47">
        <f>+'El Paso'!F46</f>
        <v>-657481.6399999999</v>
      </c>
      <c r="E69" s="47">
        <f>+C69-D69</f>
        <v>586318.23999999987</v>
      </c>
      <c r="F69" s="372">
        <f>+'El Paso'!A39</f>
        <v>37254</v>
      </c>
      <c r="G69" s="428"/>
      <c r="H69" s="32" t="s">
        <v>101</v>
      </c>
      <c r="I69" s="32" t="s">
        <v>176</v>
      </c>
      <c r="J69" s="32"/>
      <c r="K69" s="32"/>
    </row>
    <row r="70" spans="1:11" x14ac:dyDescent="0.2">
      <c r="A70" s="32" t="s">
        <v>1</v>
      </c>
      <c r="B70" s="377">
        <f>+NW!$F$41</f>
        <v>-19408</v>
      </c>
      <c r="C70" s="354">
        <f>+B70*$J$3</f>
        <v>-42697.600000000006</v>
      </c>
      <c r="D70" s="354">
        <f>+NW!E49</f>
        <v>-499323.8</v>
      </c>
      <c r="E70" s="354">
        <f>+C70-D70</f>
        <v>456626.19999999995</v>
      </c>
      <c r="F70" s="371">
        <f>+NW!B41</f>
        <v>37251</v>
      </c>
      <c r="G70" s="203" t="s">
        <v>156</v>
      </c>
      <c r="H70" s="32" t="s">
        <v>116</v>
      </c>
      <c r="I70" s="32"/>
      <c r="J70" s="32"/>
      <c r="K70" s="32"/>
    </row>
    <row r="71" spans="1:11" x14ac:dyDescent="0.2">
      <c r="A71" s="32" t="s">
        <v>160</v>
      </c>
      <c r="B71" s="401">
        <f>SUBTOTAL(9,B66:B70)</f>
        <v>-127583</v>
      </c>
      <c r="C71" s="395">
        <f>SUBTOTAL(9,C66:C70)</f>
        <v>-280682.60000000009</v>
      </c>
      <c r="D71" s="395">
        <f>SUBTOTAL(9,D66:D70)</f>
        <v>-536070.22</v>
      </c>
      <c r="E71" s="395">
        <f>SUBTOTAL(9,E66:E70)</f>
        <v>255387.61999999988</v>
      </c>
      <c r="F71" s="371"/>
      <c r="G71" s="203"/>
      <c r="H71" s="32"/>
      <c r="I71" s="32"/>
      <c r="J71" s="32"/>
      <c r="K71" s="32"/>
    </row>
    <row r="72" spans="1:11" x14ac:dyDescent="0.2">
      <c r="B72" s="286"/>
      <c r="C72" s="247"/>
      <c r="G72" s="203"/>
    </row>
    <row r="73" spans="1:11" x14ac:dyDescent="0.2">
      <c r="A73" s="373" t="s">
        <v>162</v>
      </c>
      <c r="B73" s="286"/>
      <c r="C73" s="247"/>
      <c r="G73" s="203"/>
    </row>
    <row r="74" spans="1:11" x14ac:dyDescent="0.2">
      <c r="A74" s="32" t="s">
        <v>89</v>
      </c>
      <c r="B74" s="375">
        <f>+NGPL!F38</f>
        <v>116082</v>
      </c>
      <c r="C74" s="351">
        <f>+B74*$J$5</f>
        <v>257702.04</v>
      </c>
      <c r="D74" s="47">
        <f>+NGPL!D45</f>
        <v>299164.28999999998</v>
      </c>
      <c r="E74" s="47">
        <f>+C74-D74</f>
        <v>-41462.249999999971</v>
      </c>
      <c r="F74" s="372">
        <f>+NGPL!A38</f>
        <v>37254</v>
      </c>
      <c r="G74" s="203"/>
      <c r="H74" s="32" t="s">
        <v>116</v>
      </c>
      <c r="I74" s="32"/>
      <c r="J74" s="32"/>
      <c r="K74" s="32"/>
    </row>
    <row r="75" spans="1:11" x14ac:dyDescent="0.2">
      <c r="A75" s="32" t="s">
        <v>144</v>
      </c>
      <c r="B75" s="375">
        <f>+PEPL!D41</f>
        <v>-13449</v>
      </c>
      <c r="C75" s="352">
        <f>+B75*$J$4</f>
        <v>-29722.29</v>
      </c>
      <c r="D75" s="47">
        <f>+PEPL!D47</f>
        <v>151537.69</v>
      </c>
      <c r="E75" s="47">
        <f>+C75-D75</f>
        <v>-181259.98</v>
      </c>
      <c r="F75" s="372">
        <f>+PEPL!A41</f>
        <v>37253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">
      <c r="A76" s="32" t="s">
        <v>111</v>
      </c>
      <c r="B76" s="206">
        <f>+CIG!D42</f>
        <v>16328</v>
      </c>
      <c r="C76" s="352">
        <f>+B76*$J$4</f>
        <v>36084.879999999997</v>
      </c>
      <c r="D76" s="200">
        <f>+CIG!D49</f>
        <v>383291</v>
      </c>
      <c r="E76" s="70">
        <f>+C76-D76</f>
        <v>-347206.12</v>
      </c>
      <c r="F76" s="372">
        <f>+CIG!A42</f>
        <v>37250</v>
      </c>
      <c r="G76" s="203" t="s">
        <v>157</v>
      </c>
      <c r="H76" s="32" t="s">
        <v>114</v>
      </c>
      <c r="I76" s="32" t="s">
        <v>187</v>
      </c>
      <c r="J76" s="32"/>
      <c r="K76" s="32"/>
    </row>
    <row r="77" spans="1:11" x14ac:dyDescent="0.2">
      <c r="A77" s="32" t="s">
        <v>7</v>
      </c>
      <c r="B77" s="376">
        <f>+Oasis!D40</f>
        <v>-35820.99</v>
      </c>
      <c r="C77" s="351">
        <f>+B77*$J$4</f>
        <v>-79164.387899999987</v>
      </c>
      <c r="D77" s="47">
        <f>+Oasis!D47</f>
        <v>-18927</v>
      </c>
      <c r="E77" s="47">
        <f>+C77-D77</f>
        <v>-60237.387899999987</v>
      </c>
      <c r="F77" s="372">
        <f>+Oasis!B40</f>
        <v>0</v>
      </c>
      <c r="H77" s="32" t="s">
        <v>103</v>
      </c>
      <c r="I77" s="32"/>
      <c r="J77" s="32"/>
      <c r="K77" s="32"/>
    </row>
    <row r="78" spans="1:11" x14ac:dyDescent="0.2">
      <c r="A78" s="32" t="s">
        <v>32</v>
      </c>
      <c r="B78" s="379">
        <f>+Lonestar!F42</f>
        <v>21213.360000000001</v>
      </c>
      <c r="C78" s="354">
        <f>+B78*$J$4</f>
        <v>46881.525600000001</v>
      </c>
      <c r="D78" s="354">
        <f>+Lonestar!D49</f>
        <v>1216</v>
      </c>
      <c r="E78" s="354">
        <f>+C78-D78</f>
        <v>45665.525600000001</v>
      </c>
      <c r="F78" s="371">
        <f>+Lonestar!B42</f>
        <v>0</v>
      </c>
      <c r="H78" s="32" t="s">
        <v>103</v>
      </c>
      <c r="I78" s="32"/>
      <c r="J78" s="32"/>
      <c r="K78" s="32"/>
    </row>
    <row r="79" spans="1:11" x14ac:dyDescent="0.2">
      <c r="A79" s="2" t="s">
        <v>163</v>
      </c>
      <c r="B79" s="396">
        <f>SUBTOTAL(9,B74:B78)</f>
        <v>104353.37000000001</v>
      </c>
      <c r="C79" s="395">
        <f>SUBTOTAL(9,C74:C78)</f>
        <v>231781.76770000003</v>
      </c>
      <c r="D79" s="395">
        <f>SUBTOTAL(9,D74:D78)</f>
        <v>816281.98</v>
      </c>
      <c r="E79" s="395">
        <f>SUBTOTAL(9,E74:E78)</f>
        <v>-584500.2122999999</v>
      </c>
      <c r="F79" s="371"/>
      <c r="H79" s="32"/>
      <c r="I79" s="32"/>
      <c r="J79" s="32"/>
      <c r="K79" s="32"/>
    </row>
    <row r="80" spans="1:11" x14ac:dyDescent="0.2">
      <c r="B80" s="286"/>
      <c r="C80" s="247"/>
    </row>
    <row r="81" spans="1:12" x14ac:dyDescent="0.2">
      <c r="A81" s="2" t="s">
        <v>168</v>
      </c>
      <c r="B81" s="396">
        <f>SUBTOTAL(9,B59:B78)</f>
        <v>388920.37</v>
      </c>
      <c r="C81" s="395">
        <f>SUBTOTAL(9,C59:C78)</f>
        <v>861950.66770000011</v>
      </c>
      <c r="D81" s="395">
        <f>SUBTOTAL(9,D59:D78)</f>
        <v>-761105.34999999986</v>
      </c>
      <c r="E81" s="395">
        <f>SUBTOTAL(9,E59:E78)</f>
        <v>1623056.0176999995</v>
      </c>
      <c r="F81" s="371"/>
      <c r="H81" s="32"/>
      <c r="I81" s="32"/>
      <c r="J81" s="32"/>
      <c r="K81" s="32"/>
    </row>
    <row r="82" spans="1:12" x14ac:dyDescent="0.2">
      <c r="A82" s="32"/>
      <c r="B82" s="351"/>
      <c r="C82" s="376"/>
      <c r="D82" s="351"/>
      <c r="E82" s="351"/>
      <c r="F82" s="371"/>
      <c r="H82" s="32"/>
      <c r="I82" s="32"/>
      <c r="J82" s="32"/>
      <c r="K82" s="32"/>
    </row>
    <row r="83" spans="1:12" x14ac:dyDescent="0.2">
      <c r="A83" s="32"/>
      <c r="B83" s="354"/>
      <c r="C83" s="375"/>
      <c r="D83" s="293"/>
      <c r="E83" s="293"/>
      <c r="F83" s="371"/>
      <c r="G83" s="32"/>
      <c r="I83" s="32"/>
      <c r="J83" s="32"/>
      <c r="K83" s="32"/>
      <c r="L83" s="32"/>
    </row>
    <row r="84" spans="1:12" ht="13.5" thickBot="1" x14ac:dyDescent="0.25">
      <c r="A84" s="2" t="s">
        <v>170</v>
      </c>
      <c r="B84" s="404">
        <f>+C81+B44</f>
        <v>2866644.257699999</v>
      </c>
      <c r="C84" s="206"/>
      <c r="D84" s="351"/>
      <c r="E84" s="351"/>
      <c r="F84" s="358"/>
      <c r="H84" s="32"/>
      <c r="I84" s="32"/>
      <c r="J84" s="32"/>
      <c r="K84" s="32"/>
    </row>
    <row r="85" spans="1:12" ht="13.5" thickTop="1" x14ac:dyDescent="0.2">
      <c r="A85" s="2" t="s">
        <v>171</v>
      </c>
      <c r="B85" s="14">
        <f>+B81+C44</f>
        <v>1295152.9779617253</v>
      </c>
      <c r="C85" s="378"/>
      <c r="D85" s="430"/>
      <c r="E85" s="293"/>
      <c r="F85" s="358"/>
      <c r="G85" s="32"/>
      <c r="H85" s="32"/>
      <c r="I85" s="32"/>
      <c r="J85" s="32"/>
    </row>
    <row r="86" spans="1:12" x14ac:dyDescent="0.2">
      <c r="A86" s="32"/>
      <c r="B86" s="47"/>
      <c r="C86" s="380"/>
      <c r="D86" s="293"/>
      <c r="E86" s="293"/>
      <c r="F86" s="204"/>
      <c r="G86" s="32"/>
      <c r="H86" s="32"/>
      <c r="I86" s="32"/>
      <c r="J86" s="32"/>
    </row>
    <row r="87" spans="1:12" x14ac:dyDescent="0.2">
      <c r="A87" s="32"/>
      <c r="B87" s="47"/>
      <c r="C87" s="69"/>
      <c r="E87" s="32"/>
      <c r="F87" s="32"/>
      <c r="G87" s="32"/>
      <c r="H87" s="32"/>
      <c r="I87" s="32"/>
    </row>
    <row r="88" spans="1:12" x14ac:dyDescent="0.2">
      <c r="A88" s="32"/>
      <c r="B88" s="47"/>
      <c r="C88" s="69"/>
      <c r="D88" s="32"/>
      <c r="E88" s="32"/>
      <c r="F88" s="32"/>
      <c r="G88" s="32"/>
      <c r="H88" s="32"/>
    </row>
    <row r="89" spans="1:12" x14ac:dyDescent="0.2">
      <c r="A89" s="32"/>
      <c r="B89" s="200"/>
      <c r="C89" s="294"/>
      <c r="D89" s="16"/>
      <c r="E89" s="32"/>
      <c r="F89" s="32"/>
      <c r="G89" s="32"/>
      <c r="H89" s="32"/>
    </row>
    <row r="95" spans="1:12" x14ac:dyDescent="0.2">
      <c r="A95" s="32"/>
      <c r="B95" s="200"/>
      <c r="C95" s="69"/>
      <c r="D95" s="70"/>
      <c r="E95" s="32"/>
      <c r="F95" s="32"/>
      <c r="G95" s="32"/>
      <c r="H95" s="32"/>
    </row>
    <row r="96" spans="1:12" x14ac:dyDescent="0.2">
      <c r="A96" s="32"/>
      <c r="B96" s="47"/>
      <c r="C96" s="14"/>
      <c r="D96" s="32"/>
      <c r="E96" s="32"/>
      <c r="F96" s="32"/>
      <c r="G96" s="32"/>
      <c r="H96" s="32"/>
    </row>
    <row r="97" spans="1:8" x14ac:dyDescent="0.2">
      <c r="A97" s="32"/>
      <c r="B97" s="47"/>
      <c r="C97" s="14"/>
      <c r="D97" s="32"/>
      <c r="E97" s="32"/>
      <c r="F97" s="32"/>
      <c r="G97" s="32"/>
      <c r="H97" s="32"/>
    </row>
    <row r="98" spans="1:8" x14ac:dyDescent="0.2">
      <c r="A98" s="32"/>
      <c r="B98" s="200"/>
      <c r="C98" s="14"/>
      <c r="D98" s="70"/>
      <c r="E98" s="32"/>
      <c r="F98" s="32"/>
      <c r="G98" s="32"/>
      <c r="H98" s="32"/>
    </row>
    <row r="99" spans="1:8" x14ac:dyDescent="0.2">
      <c r="A99" s="32"/>
      <c r="B99" s="200"/>
      <c r="C99" s="69"/>
      <c r="D99" s="70"/>
      <c r="E99" s="32"/>
      <c r="F99" s="32"/>
      <c r="G99" s="32"/>
      <c r="H99" s="32"/>
    </row>
    <row r="100" spans="1:8" x14ac:dyDescent="0.2">
      <c r="A100" s="32"/>
      <c r="B100" s="200"/>
      <c r="C100" s="69"/>
      <c r="D100" s="32"/>
      <c r="E100" s="32"/>
      <c r="F100" s="32"/>
      <c r="G100" s="32"/>
      <c r="H100" s="32"/>
    </row>
    <row r="101" spans="1:8" x14ac:dyDescent="0.2">
      <c r="A101" s="32"/>
      <c r="B101" s="200"/>
      <c r="C101" s="369"/>
      <c r="D101" s="32"/>
      <c r="E101" s="32"/>
      <c r="F101" s="32"/>
      <c r="G101" s="32"/>
      <c r="H101" s="32"/>
    </row>
    <row r="102" spans="1:8" x14ac:dyDescent="0.2">
      <c r="A102" s="32"/>
      <c r="B102" s="47"/>
      <c r="C102" s="69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  <row r="130" spans="1:8" x14ac:dyDescent="0.2">
      <c r="A130" s="32"/>
      <c r="B130" s="47"/>
      <c r="C130" s="69"/>
      <c r="D130" s="32"/>
      <c r="E130" s="32"/>
      <c r="F130" s="32"/>
      <c r="G130" s="32"/>
      <c r="H130" s="32"/>
    </row>
    <row r="131" spans="1:8" x14ac:dyDescent="0.2">
      <c r="A131" s="32"/>
      <c r="B131" s="47"/>
      <c r="C131" s="69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30" workbookViewId="0">
      <selection activeCell="C35" sqref="C35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190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11</v>
      </c>
      <c r="B5" s="437" t="s">
        <v>20</v>
      </c>
      <c r="C5" s="437" t="s">
        <v>21</v>
      </c>
      <c r="D5" s="437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8">
        <v>1</v>
      </c>
      <c r="B6" s="419">
        <v>101751</v>
      </c>
      <c r="C6" s="419">
        <v>98243</v>
      </c>
      <c r="D6" s="310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8">
        <v>2</v>
      </c>
      <c r="B7" s="445">
        <v>102927</v>
      </c>
      <c r="C7" s="419">
        <v>104706</v>
      </c>
      <c r="D7" s="310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8">
        <v>3</v>
      </c>
      <c r="B8" s="445">
        <v>117477</v>
      </c>
      <c r="C8" s="419">
        <v>116286</v>
      </c>
      <c r="D8" s="310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8">
        <v>4</v>
      </c>
      <c r="B9" s="445">
        <v>119833</v>
      </c>
      <c r="C9" s="419">
        <v>117531</v>
      </c>
      <c r="D9" s="310">
        <f t="shared" si="0"/>
        <v>-2302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8">
        <v>5</v>
      </c>
      <c r="B10" s="445">
        <v>123072</v>
      </c>
      <c r="C10" s="419">
        <v>121673</v>
      </c>
      <c r="D10" s="310">
        <f t="shared" si="0"/>
        <v>-1399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8">
        <v>6</v>
      </c>
      <c r="B11" s="445">
        <v>115143</v>
      </c>
      <c r="C11" s="419">
        <v>114331</v>
      </c>
      <c r="D11" s="310">
        <f t="shared" si="0"/>
        <v>-812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8">
        <v>7</v>
      </c>
      <c r="B12" s="445">
        <v>104853</v>
      </c>
      <c r="C12" s="419">
        <v>105766</v>
      </c>
      <c r="D12" s="310">
        <f t="shared" si="0"/>
        <v>913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8">
        <v>8</v>
      </c>
      <c r="B13" s="419">
        <v>104302</v>
      </c>
      <c r="C13" s="419">
        <v>102762</v>
      </c>
      <c r="D13" s="310">
        <f t="shared" si="0"/>
        <v>-1540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8">
        <v>9</v>
      </c>
      <c r="B14" s="419">
        <v>103913</v>
      </c>
      <c r="C14" s="419">
        <v>102521</v>
      </c>
      <c r="D14" s="310">
        <f t="shared" si="0"/>
        <v>-1392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8">
        <v>10</v>
      </c>
      <c r="B15" s="419">
        <v>101722</v>
      </c>
      <c r="C15" s="419">
        <v>101279</v>
      </c>
      <c r="D15" s="310">
        <f t="shared" si="0"/>
        <v>-443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8">
        <v>11</v>
      </c>
      <c r="B16" s="419">
        <v>108378</v>
      </c>
      <c r="C16" s="419">
        <v>104512</v>
      </c>
      <c r="D16" s="310">
        <f t="shared" si="0"/>
        <v>-3866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8">
        <v>12</v>
      </c>
      <c r="B17" s="419">
        <v>83509</v>
      </c>
      <c r="C17" s="419">
        <v>109973</v>
      </c>
      <c r="D17" s="310">
        <f t="shared" si="0"/>
        <v>26464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8">
        <v>13</v>
      </c>
      <c r="B18" s="419">
        <v>77877</v>
      </c>
      <c r="C18" s="419">
        <v>101045</v>
      </c>
      <c r="D18" s="310">
        <f t="shared" si="0"/>
        <v>23168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8">
        <v>14</v>
      </c>
      <c r="B19" s="419">
        <v>131278</v>
      </c>
      <c r="C19" s="419">
        <v>141469</v>
      </c>
      <c r="D19" s="310">
        <f t="shared" si="0"/>
        <v>10191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8">
        <v>15</v>
      </c>
      <c r="B20" s="419">
        <v>97603</v>
      </c>
      <c r="C20" s="419">
        <v>96224</v>
      </c>
      <c r="D20" s="310">
        <f t="shared" si="0"/>
        <v>-1379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8">
        <v>16</v>
      </c>
      <c r="B21" s="419">
        <v>91854</v>
      </c>
      <c r="C21" s="419">
        <v>96224</v>
      </c>
      <c r="D21" s="310">
        <f t="shared" si="0"/>
        <v>4370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8">
        <v>17</v>
      </c>
      <c r="B22" s="445">
        <v>106236</v>
      </c>
      <c r="C22" s="419">
        <v>103991</v>
      </c>
      <c r="D22" s="310">
        <f t="shared" si="0"/>
        <v>-2245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8">
        <v>18</v>
      </c>
      <c r="B23" s="445">
        <v>100249</v>
      </c>
      <c r="C23" s="419">
        <v>98417</v>
      </c>
      <c r="D23" s="310">
        <f t="shared" si="0"/>
        <v>-1832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8">
        <v>19</v>
      </c>
      <c r="B24" s="445">
        <v>98119</v>
      </c>
      <c r="C24" s="445">
        <v>96237</v>
      </c>
      <c r="D24" s="498">
        <f t="shared" si="0"/>
        <v>-1882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8">
        <v>20</v>
      </c>
      <c r="B25" s="445">
        <v>126430</v>
      </c>
      <c r="C25" s="445">
        <v>125497</v>
      </c>
      <c r="D25" s="498">
        <f t="shared" si="0"/>
        <v>-933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8">
        <v>21</v>
      </c>
      <c r="B26" s="445">
        <v>98320</v>
      </c>
      <c r="C26" s="445">
        <v>96237</v>
      </c>
      <c r="D26" s="498">
        <f t="shared" si="0"/>
        <v>-2083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8">
        <v>22</v>
      </c>
      <c r="B27" s="445">
        <v>128666</v>
      </c>
      <c r="C27" s="445">
        <v>127851</v>
      </c>
      <c r="D27" s="498">
        <f t="shared" si="0"/>
        <v>-815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8">
        <v>23</v>
      </c>
      <c r="B28" s="445">
        <v>129018</v>
      </c>
      <c r="C28" s="445">
        <v>126608</v>
      </c>
      <c r="D28" s="498">
        <f t="shared" si="0"/>
        <v>-2410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8">
        <v>24</v>
      </c>
      <c r="B29" s="445">
        <v>141956</v>
      </c>
      <c r="C29" s="445">
        <v>135259</v>
      </c>
      <c r="D29" s="498">
        <f t="shared" si="0"/>
        <v>-6697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8">
        <v>25</v>
      </c>
      <c r="B30" s="445">
        <v>136288</v>
      </c>
      <c r="C30" s="445">
        <v>133973</v>
      </c>
      <c r="D30" s="498">
        <f t="shared" si="0"/>
        <v>-2315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8">
        <v>26</v>
      </c>
      <c r="B31" s="419">
        <v>134730</v>
      </c>
      <c r="C31" s="419">
        <v>132198</v>
      </c>
      <c r="D31" s="310">
        <f t="shared" si="0"/>
        <v>-2532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8">
        <v>27</v>
      </c>
      <c r="B32" s="419">
        <v>102542</v>
      </c>
      <c r="C32" s="419">
        <v>100321</v>
      </c>
      <c r="D32" s="310">
        <f t="shared" si="0"/>
        <v>-2221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8">
        <v>28</v>
      </c>
      <c r="B33" s="419">
        <v>131265</v>
      </c>
      <c r="C33" s="419">
        <v>130675</v>
      </c>
      <c r="D33" s="310">
        <f t="shared" si="0"/>
        <v>-590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8">
        <v>29</v>
      </c>
      <c r="B34" s="419">
        <v>121742</v>
      </c>
      <c r="C34" s="419">
        <v>119182</v>
      </c>
      <c r="D34" s="310">
        <f t="shared" si="0"/>
        <v>-2560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8">
        <v>30</v>
      </c>
      <c r="B35" s="419"/>
      <c r="C35" s="419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8">
        <v>31</v>
      </c>
      <c r="B36" s="419"/>
      <c r="C36" s="419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8"/>
      <c r="B37" s="419">
        <f>SUM(B6:B36)</f>
        <v>3241053</v>
      </c>
      <c r="C37" s="419">
        <f>SUM(C6:C36)</f>
        <v>3260991</v>
      </c>
      <c r="D37" s="419">
        <f>SUM(D6:D36)</f>
        <v>19938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9"/>
      <c r="B38" s="285"/>
      <c r="C38" s="44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37225</v>
      </c>
      <c r="B39" s="285"/>
      <c r="C39" s="443"/>
      <c r="D39" s="511">
        <v>-47216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37254</v>
      </c>
      <c r="B40" s="285"/>
      <c r="C40" s="444"/>
      <c r="D40" s="310">
        <f>+D39+D37</f>
        <v>-27278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153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37225</v>
      </c>
      <c r="B45" s="32"/>
      <c r="C45" s="32"/>
      <c r="D45" s="512">
        <v>234488.68</v>
      </c>
      <c r="H45">
        <v>12</v>
      </c>
    </row>
    <row r="46" spans="1:16" x14ac:dyDescent="0.2">
      <c r="A46" s="49">
        <f>+A40</f>
        <v>37254</v>
      </c>
      <c r="B46" s="32"/>
      <c r="C46" s="32"/>
      <c r="D46" s="382">
        <f>+D37*'by type_area'!J3</f>
        <v>43863.600000000006</v>
      </c>
      <c r="H46">
        <v>500</v>
      </c>
    </row>
    <row r="47" spans="1:16" x14ac:dyDescent="0.2">
      <c r="A47" s="32"/>
      <c r="B47" s="32"/>
      <c r="C47" s="32"/>
      <c r="D47" s="200">
        <f>+D46+D45</f>
        <v>278352.28000000003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7" workbookViewId="0">
      <selection activeCell="C35" sqref="C35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-10627</v>
      </c>
      <c r="C8" s="51">
        <v>-10000</v>
      </c>
      <c r="D8" s="24">
        <f t="shared" si="0"/>
        <v>627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-9835</v>
      </c>
      <c r="C11" s="24">
        <v>-9656</v>
      </c>
      <c r="D11" s="24">
        <f t="shared" si="0"/>
        <v>179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-12907</v>
      </c>
      <c r="C13" s="24">
        <v>-13000</v>
      </c>
      <c r="D13" s="24">
        <f t="shared" si="0"/>
        <v>-93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-6318</v>
      </c>
      <c r="C14" s="24">
        <v>-6000</v>
      </c>
      <c r="D14" s="24">
        <f t="shared" si="0"/>
        <v>318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-5383</v>
      </c>
      <c r="C15" s="24">
        <v>-4262</v>
      </c>
      <c r="D15" s="24">
        <f t="shared" si="0"/>
        <v>1121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>
        <v>10000</v>
      </c>
      <c r="D19" s="24">
        <f t="shared" si="0"/>
        <v>10000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-12589</v>
      </c>
      <c r="C20" s="24"/>
      <c r="D20" s="24">
        <f t="shared" si="0"/>
        <v>12589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-25789</v>
      </c>
      <c r="C21" s="24">
        <v>-25000</v>
      </c>
      <c r="D21" s="24">
        <f t="shared" si="0"/>
        <v>789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-6724</v>
      </c>
      <c r="C22" s="24">
        <v>-6666</v>
      </c>
      <c r="D22" s="24">
        <f t="shared" si="0"/>
        <v>58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-12435</v>
      </c>
      <c r="C23" s="24">
        <v>-12000</v>
      </c>
      <c r="D23" s="24">
        <f t="shared" si="0"/>
        <v>435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-22170</v>
      </c>
      <c r="C24" s="24">
        <v>-22000</v>
      </c>
      <c r="D24" s="24">
        <f t="shared" si="0"/>
        <v>170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>
        <v>-6000</v>
      </c>
      <c r="D30" s="24">
        <f t="shared" si="0"/>
        <v>-6000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>
        <v>-37828</v>
      </c>
      <c r="C31" s="24">
        <v>-33834</v>
      </c>
      <c r="D31" s="24">
        <f t="shared" si="0"/>
        <v>3994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>
        <v>-3761</v>
      </c>
      <c r="C32" s="24">
        <v>-5760</v>
      </c>
      <c r="D32" s="24">
        <f t="shared" si="0"/>
        <v>-1999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>
        <v>-12221</v>
      </c>
      <c r="C33" s="24">
        <v>-12131</v>
      </c>
      <c r="D33" s="24">
        <f t="shared" si="0"/>
        <v>90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-217381</v>
      </c>
      <c r="C36" s="24">
        <f>SUM(C5:C35)</f>
        <v>-194995</v>
      </c>
      <c r="D36" s="24">
        <f t="shared" si="0"/>
        <v>22386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+summary!H5</f>
        <v>2.2200000000000002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49696.920000000006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37225</v>
      </c>
      <c r="B39"/>
      <c r="C39" s="15"/>
      <c r="D39" s="519">
        <v>-85517.91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37254</v>
      </c>
      <c r="B40"/>
      <c r="C40" s="48"/>
      <c r="D40" s="138">
        <f>+D39+D38</f>
        <v>-35820.99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152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37225</v>
      </c>
      <c r="B45" s="32"/>
      <c r="C45" s="32"/>
      <c r="D45" s="509">
        <v>-41313</v>
      </c>
    </row>
    <row r="46" spans="1:65" x14ac:dyDescent="0.2">
      <c r="A46" s="49">
        <f>+A40</f>
        <v>37254</v>
      </c>
      <c r="B46" s="32"/>
      <c r="C46" s="32"/>
      <c r="D46" s="355">
        <f>+D36</f>
        <v>22386</v>
      </c>
    </row>
    <row r="47" spans="1:65" x14ac:dyDescent="0.2">
      <c r="A47" s="32"/>
      <c r="B47" s="32"/>
      <c r="C47" s="32"/>
      <c r="D47" s="14">
        <f>+D46+D45</f>
        <v>-18927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A25" sqref="A25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20</v>
      </c>
      <c r="C4" s="254" t="s">
        <v>21</v>
      </c>
      <c r="D4" s="255" t="s">
        <v>50</v>
      </c>
    </row>
    <row r="5" spans="1:13" x14ac:dyDescent="0.2">
      <c r="A5" s="87">
        <v>56339</v>
      </c>
      <c r="B5" s="90">
        <v>884544</v>
      </c>
      <c r="C5" s="90">
        <v>990565</v>
      </c>
      <c r="D5" s="90">
        <f>+C5-B5</f>
        <v>106021</v>
      </c>
      <c r="E5" s="275"/>
      <c r="F5" s="27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75"/>
      <c r="F6" s="27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882629</v>
      </c>
      <c r="C7" s="90">
        <v>962209</v>
      </c>
      <c r="D7" s="90">
        <f t="shared" si="0"/>
        <v>79580</v>
      </c>
      <c r="E7" s="275"/>
      <c r="F7" s="273"/>
      <c r="L7" t="s">
        <v>26</v>
      </c>
      <c r="M7">
        <v>7.6</v>
      </c>
    </row>
    <row r="8" spans="1:13" x14ac:dyDescent="0.2">
      <c r="A8" s="87">
        <v>500239</v>
      </c>
      <c r="B8" s="90">
        <v>1123775</v>
      </c>
      <c r="C8" s="90">
        <v>1034897</v>
      </c>
      <c r="D8" s="90">
        <f t="shared" si="0"/>
        <v>-88878</v>
      </c>
      <c r="E8" s="464">
        <v>37198</v>
      </c>
      <c r="F8" s="273"/>
    </row>
    <row r="9" spans="1:13" x14ac:dyDescent="0.2">
      <c r="A9" s="87">
        <v>500293</v>
      </c>
      <c r="B9" s="90">
        <v>492133</v>
      </c>
      <c r="C9" s="90">
        <v>574903</v>
      </c>
      <c r="D9" s="90">
        <f t="shared" si="0"/>
        <v>82770</v>
      </c>
      <c r="E9" s="275"/>
      <c r="F9" s="273"/>
    </row>
    <row r="10" spans="1:13" x14ac:dyDescent="0.2">
      <c r="A10" s="87">
        <v>500302</v>
      </c>
      <c r="B10" s="90"/>
      <c r="C10" s="90">
        <v>9055</v>
      </c>
      <c r="D10" s="90">
        <f t="shared" si="0"/>
        <v>9055</v>
      </c>
      <c r="E10" s="275"/>
      <c r="F10" s="273"/>
    </row>
    <row r="11" spans="1:13" x14ac:dyDescent="0.2">
      <c r="A11" s="87">
        <v>500303</v>
      </c>
      <c r="B11" s="90"/>
      <c r="C11" s="90">
        <v>303113</v>
      </c>
      <c r="D11" s="90">
        <f t="shared" si="0"/>
        <v>303113</v>
      </c>
      <c r="E11" s="275"/>
      <c r="F11" s="273"/>
    </row>
    <row r="12" spans="1:13" x14ac:dyDescent="0.2">
      <c r="A12" s="91">
        <v>500305</v>
      </c>
      <c r="B12" s="90">
        <v>1592277</v>
      </c>
      <c r="C12" s="90">
        <v>1279894</v>
      </c>
      <c r="D12" s="90">
        <f t="shared" si="0"/>
        <v>-312383</v>
      </c>
      <c r="E12" s="276"/>
      <c r="F12" s="273"/>
    </row>
    <row r="13" spans="1:13" x14ac:dyDescent="0.2">
      <c r="A13" s="87">
        <v>500307</v>
      </c>
      <c r="B13" s="90">
        <v>105531</v>
      </c>
      <c r="C13" s="90">
        <v>61712</v>
      </c>
      <c r="D13" s="90">
        <f t="shared" si="0"/>
        <v>-43819</v>
      </c>
      <c r="E13" s="275"/>
      <c r="F13" s="273"/>
    </row>
    <row r="14" spans="1:13" x14ac:dyDescent="0.2">
      <c r="A14" s="87">
        <v>500313</v>
      </c>
      <c r="B14" s="90"/>
      <c r="C14" s="90">
        <v>2929</v>
      </c>
      <c r="D14" s="90">
        <f t="shared" si="0"/>
        <v>2929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107517</v>
      </c>
      <c r="C16" s="90"/>
      <c r="D16" s="90">
        <f t="shared" si="0"/>
        <v>-107517</v>
      </c>
      <c r="E16" s="275"/>
      <c r="F16" s="273"/>
    </row>
    <row r="17" spans="1:6" x14ac:dyDescent="0.2">
      <c r="A17" s="87">
        <v>500657</v>
      </c>
      <c r="B17" s="88">
        <v>166007</v>
      </c>
      <c r="C17" s="88">
        <v>146797</v>
      </c>
      <c r="D17" s="94">
        <f t="shared" si="0"/>
        <v>-19210</v>
      </c>
      <c r="E17" s="275"/>
      <c r="F17" s="273"/>
    </row>
    <row r="18" spans="1:6" x14ac:dyDescent="0.2">
      <c r="A18" s="87"/>
      <c r="B18" s="88"/>
      <c r="C18" s="88"/>
      <c r="D18" s="88">
        <f>SUM(D5:D17)</f>
        <v>11661</v>
      </c>
      <c r="E18" s="275"/>
      <c r="F18" s="273"/>
    </row>
    <row r="19" spans="1:6" x14ac:dyDescent="0.2">
      <c r="A19" s="87" t="s">
        <v>82</v>
      </c>
      <c r="B19" s="88"/>
      <c r="C19" s="88"/>
      <c r="D19" s="95">
        <f>+summary!H5</f>
        <v>2.2200000000000002</v>
      </c>
      <c r="E19" s="277"/>
      <c r="F19" s="273"/>
    </row>
    <row r="20" spans="1:6" x14ac:dyDescent="0.2">
      <c r="A20" s="87"/>
      <c r="B20" s="88"/>
      <c r="C20" s="88"/>
      <c r="D20" s="96">
        <f>+D19*D18</f>
        <v>25887.420000000002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37225</v>
      </c>
      <c r="B22" s="88"/>
      <c r="C22" s="88"/>
      <c r="D22" s="516">
        <v>40288.339999999997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37254</v>
      </c>
      <c r="B24" s="88"/>
      <c r="C24" s="88"/>
      <c r="D24" s="321">
        <f>+D22+D20</f>
        <v>66175.759999999995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152</v>
      </c>
      <c r="B28" s="32"/>
      <c r="C28" s="32"/>
      <c r="D28" s="32"/>
      <c r="E28" s="348"/>
    </row>
    <row r="29" spans="1:6" x14ac:dyDescent="0.2">
      <c r="A29" s="49">
        <f>+A22</f>
        <v>37225</v>
      </c>
      <c r="B29" s="32"/>
      <c r="C29" s="32"/>
      <c r="D29" s="509">
        <v>31564</v>
      </c>
    </row>
    <row r="30" spans="1:6" x14ac:dyDescent="0.2">
      <c r="A30" s="49">
        <f>+A24</f>
        <v>37254</v>
      </c>
      <c r="B30" s="32"/>
      <c r="C30" s="32"/>
      <c r="D30" s="355">
        <f>+D18</f>
        <v>11661</v>
      </c>
    </row>
    <row r="31" spans="1:6" x14ac:dyDescent="0.2">
      <c r="A31" s="32"/>
      <c r="B31" s="32"/>
      <c r="C31" s="32"/>
      <c r="D31" s="14">
        <f>+D30+D29</f>
        <v>43225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1" workbookViewId="0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3"/>
      <c r="D2" s="12" t="s">
        <v>48</v>
      </c>
      <c r="E2" s="12"/>
      <c r="F2" s="4"/>
      <c r="I2" s="414"/>
      <c r="J2" s="2"/>
      <c r="K2" s="2"/>
      <c r="L2" s="104"/>
      <c r="M2" s="143" t="s">
        <v>180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14" t="s">
        <v>40</v>
      </c>
      <c r="I3" s="4" t="s">
        <v>20</v>
      </c>
      <c r="J3" s="4" t="s">
        <v>21</v>
      </c>
      <c r="K3" s="412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14"/>
      <c r="I4" s="14"/>
      <c r="J4" s="14"/>
      <c r="K4" s="14">
        <f t="shared" ref="K4:K9" si="0">+J4-I4</f>
        <v>0</v>
      </c>
      <c r="L4" s="366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1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1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36422</v>
      </c>
      <c r="C7" s="11">
        <v>35544</v>
      </c>
      <c r="D7" s="11">
        <v>34771</v>
      </c>
      <c r="E7" s="11">
        <v>29872</v>
      </c>
      <c r="F7" s="25">
        <f t="shared" si="2"/>
        <v>-5777</v>
      </c>
      <c r="G7" s="25"/>
      <c r="H7" s="41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36277</v>
      </c>
      <c r="C8" s="11">
        <v>33702</v>
      </c>
      <c r="D8" s="11">
        <v>30329</v>
      </c>
      <c r="E8" s="11">
        <v>32000</v>
      </c>
      <c r="F8" s="25">
        <f t="shared" si="2"/>
        <v>-904</v>
      </c>
      <c r="G8" s="25"/>
      <c r="H8" s="41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40078</v>
      </c>
      <c r="C9" s="11">
        <v>36144</v>
      </c>
      <c r="D9" s="11">
        <v>21788</v>
      </c>
      <c r="E9" s="11">
        <v>34000</v>
      </c>
      <c r="F9" s="25">
        <f t="shared" si="2"/>
        <v>8278</v>
      </c>
      <c r="G9" s="25"/>
      <c r="H9" s="41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34452</v>
      </c>
      <c r="C10" s="11">
        <v>35502</v>
      </c>
      <c r="D10" s="129">
        <v>34276</v>
      </c>
      <c r="E10" s="11">
        <v>33385</v>
      </c>
      <c r="F10" s="25">
        <f t="shared" si="2"/>
        <v>159</v>
      </c>
      <c r="G10" s="25"/>
      <c r="H10" s="414"/>
      <c r="I10" s="14"/>
      <c r="J10" s="14"/>
      <c r="K10" s="14"/>
      <c r="L10" s="366"/>
      <c r="M10" s="15"/>
      <c r="N10" s="15">
        <f>SUM(N5:N9)</f>
        <v>489002.35</v>
      </c>
    </row>
    <row r="11" spans="1:14" x14ac:dyDescent="0.2">
      <c r="A11" s="41">
        <v>8</v>
      </c>
      <c r="B11" s="11">
        <v>35161</v>
      </c>
      <c r="C11" s="11">
        <v>36050</v>
      </c>
      <c r="D11" s="11">
        <v>35128</v>
      </c>
      <c r="E11" s="11">
        <v>32613</v>
      </c>
      <c r="F11" s="25">
        <f>+E11+C11-D11-B11</f>
        <v>-1626</v>
      </c>
      <c r="G11" s="25"/>
      <c r="H11" s="414"/>
      <c r="I11" s="14"/>
      <c r="J11" s="14"/>
      <c r="K11" s="15"/>
      <c r="L11" s="366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33439</v>
      </c>
      <c r="C12" s="11">
        <v>36143</v>
      </c>
      <c r="D12" s="11">
        <v>34652</v>
      </c>
      <c r="E12" s="11">
        <v>32699</v>
      </c>
      <c r="F12" s="25">
        <f>+E12+C12-D12-B12</f>
        <v>751</v>
      </c>
      <c r="G12" s="25"/>
      <c r="H12" s="414"/>
      <c r="I12" s="24"/>
      <c r="J12" s="24"/>
      <c r="K12" s="110"/>
      <c r="L12" s="416"/>
      <c r="M12" s="110"/>
    </row>
    <row r="13" spans="1:14" x14ac:dyDescent="0.2">
      <c r="A13" s="41">
        <v>10</v>
      </c>
      <c r="B13" s="129">
        <v>33854</v>
      </c>
      <c r="C13" s="11">
        <v>36144</v>
      </c>
      <c r="D13" s="129">
        <v>33814</v>
      </c>
      <c r="E13" s="11">
        <v>32699</v>
      </c>
      <c r="F13" s="25">
        <f t="shared" si="2"/>
        <v>1175</v>
      </c>
      <c r="G13" s="25"/>
      <c r="I13" s="24"/>
      <c r="J13" s="24"/>
      <c r="K13" s="24">
        <f>SUM(K4:K12)</f>
        <v>135930</v>
      </c>
      <c r="L13" s="416"/>
      <c r="M13" s="110">
        <f>SUM(M4:M12)</f>
        <v>489002.35000000003</v>
      </c>
    </row>
    <row r="14" spans="1:14" x14ac:dyDescent="0.2">
      <c r="A14" s="41">
        <v>11</v>
      </c>
      <c r="B14" s="11">
        <v>33642</v>
      </c>
      <c r="C14" s="11">
        <v>36144</v>
      </c>
      <c r="D14" s="11">
        <v>33797</v>
      </c>
      <c r="E14" s="11">
        <v>32700</v>
      </c>
      <c r="F14" s="25">
        <f t="shared" si="2"/>
        <v>1405</v>
      </c>
      <c r="G14" s="25"/>
    </row>
    <row r="15" spans="1:14" x14ac:dyDescent="0.2">
      <c r="A15" s="41">
        <v>12</v>
      </c>
      <c r="B15" s="11">
        <v>38965</v>
      </c>
      <c r="C15" s="11">
        <v>36144</v>
      </c>
      <c r="D15" s="11">
        <v>32552</v>
      </c>
      <c r="E15" s="11">
        <v>32700</v>
      </c>
      <c r="F15" s="25">
        <f t="shared" si="2"/>
        <v>-2673</v>
      </c>
      <c r="G15" s="25"/>
    </row>
    <row r="16" spans="1:14" x14ac:dyDescent="0.2">
      <c r="A16" s="41">
        <v>13</v>
      </c>
      <c r="B16" s="11">
        <v>39118</v>
      </c>
      <c r="C16" s="11">
        <v>34699</v>
      </c>
      <c r="D16" s="11">
        <v>35264</v>
      </c>
      <c r="E16" s="11">
        <v>33145</v>
      </c>
      <c r="F16" s="25">
        <f t="shared" si="2"/>
        <v>-6538</v>
      </c>
      <c r="G16" s="25"/>
    </row>
    <row r="17" spans="1:7" x14ac:dyDescent="0.2">
      <c r="A17" s="41">
        <v>14</v>
      </c>
      <c r="B17" s="11">
        <v>38237</v>
      </c>
      <c r="C17" s="11">
        <v>35299</v>
      </c>
      <c r="D17" s="11">
        <v>34519</v>
      </c>
      <c r="E17" s="11">
        <v>33145</v>
      </c>
      <c r="F17" s="25">
        <f t="shared" si="2"/>
        <v>-4312</v>
      </c>
      <c r="G17" s="25"/>
    </row>
    <row r="18" spans="1:7" x14ac:dyDescent="0.2">
      <c r="A18" s="41">
        <v>15</v>
      </c>
      <c r="B18" s="11">
        <v>38132</v>
      </c>
      <c r="C18" s="11">
        <v>38491</v>
      </c>
      <c r="D18" s="11">
        <v>34192</v>
      </c>
      <c r="E18" s="11">
        <v>32953</v>
      </c>
      <c r="F18" s="25">
        <f t="shared" si="2"/>
        <v>-880</v>
      </c>
      <c r="G18" s="25"/>
    </row>
    <row r="19" spans="1:7" x14ac:dyDescent="0.2">
      <c r="A19" s="41">
        <v>16</v>
      </c>
      <c r="B19" s="11">
        <v>36417</v>
      </c>
      <c r="C19" s="11">
        <v>38712</v>
      </c>
      <c r="D19" s="11">
        <v>34079</v>
      </c>
      <c r="E19" s="11">
        <v>33145</v>
      </c>
      <c r="F19" s="25">
        <f t="shared" si="2"/>
        <v>1361</v>
      </c>
      <c r="G19" s="25"/>
    </row>
    <row r="20" spans="1:7" x14ac:dyDescent="0.2">
      <c r="A20" s="41">
        <v>17</v>
      </c>
      <c r="B20" s="11">
        <v>36836</v>
      </c>
      <c r="C20" s="11">
        <v>38113</v>
      </c>
      <c r="D20" s="11">
        <v>32200</v>
      </c>
      <c r="E20" s="11">
        <v>32622</v>
      </c>
      <c r="F20" s="25">
        <f t="shared" si="2"/>
        <v>1699</v>
      </c>
      <c r="G20" s="25"/>
    </row>
    <row r="21" spans="1:7" x14ac:dyDescent="0.2">
      <c r="A21" s="41">
        <v>18</v>
      </c>
      <c r="B21" s="11">
        <v>35248</v>
      </c>
      <c r="C21" s="11">
        <v>38712</v>
      </c>
      <c r="D21" s="129">
        <v>31265</v>
      </c>
      <c r="E21" s="11">
        <v>33145</v>
      </c>
      <c r="F21" s="25">
        <f t="shared" si="2"/>
        <v>5344</v>
      </c>
      <c r="G21" s="25"/>
    </row>
    <row r="22" spans="1:7" x14ac:dyDescent="0.2">
      <c r="A22" s="41">
        <v>19</v>
      </c>
      <c r="B22" s="11">
        <v>34378</v>
      </c>
      <c r="C22" s="11">
        <v>38711</v>
      </c>
      <c r="D22" s="11">
        <v>33089</v>
      </c>
      <c r="E22" s="11">
        <v>33145</v>
      </c>
      <c r="F22" s="25">
        <f t="shared" si="2"/>
        <v>4389</v>
      </c>
      <c r="G22" s="25"/>
    </row>
    <row r="23" spans="1:7" x14ac:dyDescent="0.2">
      <c r="A23" s="41">
        <v>20</v>
      </c>
      <c r="B23" s="11">
        <v>37388</v>
      </c>
      <c r="C23" s="11">
        <v>36712</v>
      </c>
      <c r="D23" s="11">
        <v>31473</v>
      </c>
      <c r="E23" s="11">
        <v>33145</v>
      </c>
      <c r="F23" s="25">
        <f t="shared" si="2"/>
        <v>996</v>
      </c>
      <c r="G23" s="25"/>
    </row>
    <row r="24" spans="1:7" x14ac:dyDescent="0.2">
      <c r="A24" s="41">
        <v>21</v>
      </c>
      <c r="B24" s="11">
        <v>38372</v>
      </c>
      <c r="C24" s="11">
        <v>36712</v>
      </c>
      <c r="D24" s="11">
        <v>30439</v>
      </c>
      <c r="E24" s="11">
        <v>33145</v>
      </c>
      <c r="F24" s="25">
        <f t="shared" si="2"/>
        <v>1046</v>
      </c>
      <c r="G24" s="25"/>
    </row>
    <row r="25" spans="1:7" x14ac:dyDescent="0.2">
      <c r="A25" s="41">
        <v>22</v>
      </c>
      <c r="B25" s="11">
        <v>37555</v>
      </c>
      <c r="C25" s="11">
        <v>38698</v>
      </c>
      <c r="D25" s="11">
        <v>30323</v>
      </c>
      <c r="E25" s="11">
        <v>33133</v>
      </c>
      <c r="F25" s="25">
        <f t="shared" si="2"/>
        <v>3953</v>
      </c>
      <c r="G25" s="25"/>
    </row>
    <row r="26" spans="1:7" x14ac:dyDescent="0.2">
      <c r="A26" s="41">
        <v>23</v>
      </c>
      <c r="B26" s="11">
        <v>38049</v>
      </c>
      <c r="C26" s="11">
        <v>38698</v>
      </c>
      <c r="D26" s="129">
        <v>30125</v>
      </c>
      <c r="E26" s="11">
        <v>33133</v>
      </c>
      <c r="F26" s="25">
        <f t="shared" si="2"/>
        <v>3657</v>
      </c>
    </row>
    <row r="27" spans="1:7" x14ac:dyDescent="0.2">
      <c r="A27" s="41">
        <v>24</v>
      </c>
      <c r="B27" s="11">
        <v>33702</v>
      </c>
      <c r="C27" s="11">
        <v>38698</v>
      </c>
      <c r="D27" s="11">
        <v>30325</v>
      </c>
      <c r="E27" s="11">
        <v>33133</v>
      </c>
      <c r="F27" s="25">
        <f t="shared" si="2"/>
        <v>7804</v>
      </c>
    </row>
    <row r="28" spans="1:7" x14ac:dyDescent="0.2">
      <c r="A28" s="41">
        <v>25</v>
      </c>
      <c r="B28" s="11">
        <v>35848</v>
      </c>
      <c r="C28" s="11">
        <v>38698</v>
      </c>
      <c r="D28" s="11">
        <v>31480</v>
      </c>
      <c r="E28" s="11">
        <v>33133</v>
      </c>
      <c r="F28" s="25">
        <f t="shared" si="2"/>
        <v>4503</v>
      </c>
    </row>
    <row r="29" spans="1:7" x14ac:dyDescent="0.2">
      <c r="A29" s="41">
        <v>26</v>
      </c>
      <c r="B29" s="11">
        <v>34672</v>
      </c>
      <c r="C29" s="11">
        <v>38698</v>
      </c>
      <c r="D29" s="11">
        <v>31964</v>
      </c>
      <c r="E29" s="11">
        <v>33133</v>
      </c>
      <c r="F29" s="25">
        <f t="shared" si="2"/>
        <v>5195</v>
      </c>
    </row>
    <row r="30" spans="1:7" x14ac:dyDescent="0.2">
      <c r="A30" s="41">
        <v>27</v>
      </c>
      <c r="B30" s="11">
        <v>34722</v>
      </c>
      <c r="C30" s="11">
        <v>39012</v>
      </c>
      <c r="D30" s="11">
        <v>33432</v>
      </c>
      <c r="E30" s="11">
        <v>33145</v>
      </c>
      <c r="F30" s="25">
        <f t="shared" si="2"/>
        <v>4003</v>
      </c>
    </row>
    <row r="31" spans="1:7" x14ac:dyDescent="0.2">
      <c r="A31" s="41">
        <v>28</v>
      </c>
      <c r="B31" s="11">
        <v>35760</v>
      </c>
      <c r="C31" s="11">
        <v>39012</v>
      </c>
      <c r="D31" s="11">
        <v>30109</v>
      </c>
      <c r="E31" s="11">
        <v>33145</v>
      </c>
      <c r="F31" s="25">
        <f t="shared" si="2"/>
        <v>6288</v>
      </c>
    </row>
    <row r="32" spans="1:7" x14ac:dyDescent="0.2">
      <c r="A32" s="41">
        <v>29</v>
      </c>
      <c r="B32" s="11">
        <v>35083</v>
      </c>
      <c r="C32" s="11">
        <v>38012</v>
      </c>
      <c r="D32" s="11">
        <v>31673</v>
      </c>
      <c r="E32" s="11">
        <v>32145</v>
      </c>
      <c r="F32" s="25">
        <f t="shared" si="2"/>
        <v>3401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1045460</v>
      </c>
      <c r="C35" s="11">
        <f>SUM(C4:C34)</f>
        <v>1068197</v>
      </c>
      <c r="D35" s="11">
        <f>SUM(D4:D34)</f>
        <v>944429</v>
      </c>
      <c r="E35" s="11">
        <f>SUM(E4:E34)</f>
        <v>950358</v>
      </c>
      <c r="F35" s="11">
        <f>+E35-D35+C35-B35</f>
        <v>28666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15">
        <f>+summary!H4</f>
        <v>2.21</v>
      </c>
    </row>
    <row r="38" spans="1:7" x14ac:dyDescent="0.2">
      <c r="C38" s="48"/>
      <c r="D38" s="47"/>
      <c r="E38" s="48"/>
      <c r="F38" s="46">
        <f>+F37*F35</f>
        <v>63351.86</v>
      </c>
      <c r="G38" s="138"/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470"/>
      <c r="D40" s="111"/>
      <c r="E40" s="470"/>
      <c r="F40" s="513">
        <v>377734.69</v>
      </c>
      <c r="G40" s="25"/>
    </row>
    <row r="41" spans="1:7" x14ac:dyDescent="0.2">
      <c r="A41" s="57">
        <v>37254</v>
      </c>
      <c r="C41" s="106"/>
      <c r="D41" s="106"/>
      <c r="E41" s="106"/>
      <c r="F41" s="106">
        <f>+F38+F40</f>
        <v>441086.55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14">
        <f>-18785+23342</f>
        <v>4557</v>
      </c>
      <c r="E46" s="11"/>
      <c r="F46" s="11"/>
      <c r="G46" s="25"/>
    </row>
    <row r="47" spans="1:7" x14ac:dyDescent="0.2">
      <c r="A47" s="49">
        <f>+A41</f>
        <v>37254</v>
      </c>
      <c r="D47" s="355">
        <f>+F35</f>
        <v>28666</v>
      </c>
      <c r="E47" s="11"/>
      <c r="F47" s="11"/>
      <c r="G47" s="25"/>
    </row>
    <row r="48" spans="1:7" x14ac:dyDescent="0.2">
      <c r="D48" s="14">
        <f>+D47+D46</f>
        <v>33223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D24" sqref="D24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151814</v>
      </c>
      <c r="C6" s="11">
        <v>163364</v>
      </c>
      <c r="D6" s="11"/>
      <c r="E6" s="11">
        <v>-14405</v>
      </c>
      <c r="F6" s="11">
        <f t="shared" ref="F6:F35" si="2">+C6+E6-B6-D6</f>
        <v>-2855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154169</v>
      </c>
      <c r="C8" s="11">
        <v>157385</v>
      </c>
      <c r="D8" s="11"/>
      <c r="E8" s="11">
        <v>-4768</v>
      </c>
      <c r="F8" s="11">
        <f t="shared" si="2"/>
        <v>-1552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157375</v>
      </c>
      <c r="C9" s="11">
        <v>160673</v>
      </c>
      <c r="D9" s="11"/>
      <c r="E9" s="11">
        <v>-4235</v>
      </c>
      <c r="F9" s="11">
        <f t="shared" si="2"/>
        <v>-937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157588</v>
      </c>
      <c r="C10" s="11">
        <v>161529</v>
      </c>
      <c r="D10" s="11"/>
      <c r="E10" s="11">
        <v>-4769</v>
      </c>
      <c r="F10" s="11">
        <f t="shared" si="2"/>
        <v>-828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145516</v>
      </c>
      <c r="C11" s="11">
        <v>151339</v>
      </c>
      <c r="D11" s="11"/>
      <c r="E11" s="11">
        <v>-6919</v>
      </c>
      <c r="F11" s="11">
        <f t="shared" si="2"/>
        <v>-1096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140246</v>
      </c>
      <c r="C12" s="11">
        <v>150353</v>
      </c>
      <c r="D12" s="11"/>
      <c r="E12" s="11">
        <v>-12536</v>
      </c>
      <c r="F12" s="11">
        <f t="shared" si="2"/>
        <v>-2429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139389</v>
      </c>
      <c r="C13" s="11">
        <v>150587</v>
      </c>
      <c r="D13" s="11"/>
      <c r="E13" s="11">
        <v>-14369</v>
      </c>
      <c r="F13" s="11">
        <f t="shared" si="2"/>
        <v>-3171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147301</v>
      </c>
      <c r="C14" s="11">
        <v>150703</v>
      </c>
      <c r="D14" s="11"/>
      <c r="E14" s="11">
        <v>-4769</v>
      </c>
      <c r="F14" s="11">
        <f t="shared" si="2"/>
        <v>-1367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149404</v>
      </c>
      <c r="C15" s="11">
        <v>151327</v>
      </c>
      <c r="D15" s="11"/>
      <c r="E15" s="11">
        <v>-11510</v>
      </c>
      <c r="F15" s="11">
        <f t="shared" si="2"/>
        <v>-9587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166837</v>
      </c>
      <c r="C16" s="11">
        <v>172663</v>
      </c>
      <c r="D16" s="11"/>
      <c r="E16" s="11">
        <v>-6546</v>
      </c>
      <c r="F16" s="11">
        <f t="shared" si="2"/>
        <v>-720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146938</v>
      </c>
      <c r="C17" s="11">
        <v>159065</v>
      </c>
      <c r="D17" s="11"/>
      <c r="E17" s="11">
        <v>-13761</v>
      </c>
      <c r="F17" s="11">
        <f t="shared" si="2"/>
        <v>-1634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153581</v>
      </c>
      <c r="C18" s="11">
        <v>160162</v>
      </c>
      <c r="D18" s="11"/>
      <c r="E18" s="11">
        <v>-8714</v>
      </c>
      <c r="F18" s="11">
        <f t="shared" si="2"/>
        <v>-2133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145340</v>
      </c>
      <c r="C19" s="11">
        <v>152613</v>
      </c>
      <c r="D19" s="11"/>
      <c r="E19" s="11">
        <v>-8653</v>
      </c>
      <c r="F19" s="11">
        <f t="shared" si="2"/>
        <v>-1380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139911</v>
      </c>
      <c r="C20" s="11">
        <v>152383</v>
      </c>
      <c r="D20" s="11"/>
      <c r="E20" s="11">
        <v>-11445</v>
      </c>
      <c r="F20" s="11">
        <f t="shared" si="2"/>
        <v>1027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152893</v>
      </c>
      <c r="C21" s="11">
        <v>155464</v>
      </c>
      <c r="D21" s="11"/>
      <c r="E21" s="11"/>
      <c r="F21" s="11">
        <f t="shared" si="2"/>
        <v>2571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156673</v>
      </c>
      <c r="C22" s="11">
        <v>163808</v>
      </c>
      <c r="D22" s="11"/>
      <c r="E22" s="11">
        <v>-7587</v>
      </c>
      <c r="F22" s="11">
        <f t="shared" si="2"/>
        <v>-452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156013</v>
      </c>
      <c r="C23" s="11">
        <v>168533</v>
      </c>
      <c r="D23" s="11"/>
      <c r="E23" s="11">
        <v>-13619</v>
      </c>
      <c r="F23" s="11">
        <f t="shared" si="2"/>
        <v>-1099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169850</v>
      </c>
      <c r="C24" s="11">
        <v>181250</v>
      </c>
      <c r="D24" s="11"/>
      <c r="E24" s="11">
        <v>-12085</v>
      </c>
      <c r="F24" s="11">
        <f t="shared" si="2"/>
        <v>-685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158951</v>
      </c>
      <c r="C25" s="11">
        <v>166848</v>
      </c>
      <c r="D25" s="11"/>
      <c r="E25" s="11">
        <v>-9382</v>
      </c>
      <c r="F25" s="11">
        <f t="shared" si="2"/>
        <v>-1485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175491</v>
      </c>
      <c r="C26" s="11">
        <v>192247</v>
      </c>
      <c r="D26" s="11"/>
      <c r="E26" s="11">
        <v>-13592</v>
      </c>
      <c r="F26" s="11">
        <f t="shared" si="2"/>
        <v>3164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150647</v>
      </c>
      <c r="C27" s="11">
        <v>162775</v>
      </c>
      <c r="D27" s="11"/>
      <c r="E27" s="11">
        <v>-13618</v>
      </c>
      <c r="F27" s="11">
        <f t="shared" si="2"/>
        <v>-1490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150197</v>
      </c>
      <c r="C28" s="11">
        <v>161518</v>
      </c>
      <c r="D28" s="11"/>
      <c r="E28" s="11">
        <v>-13471</v>
      </c>
      <c r="F28" s="11">
        <f t="shared" si="2"/>
        <v>-2150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149834</v>
      </c>
      <c r="C29" s="11">
        <v>160585</v>
      </c>
      <c r="D29" s="11"/>
      <c r="E29" s="11">
        <v>-13103</v>
      </c>
      <c r="F29" s="11">
        <f t="shared" si="2"/>
        <v>-2352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159322</v>
      </c>
      <c r="C30" s="11">
        <v>161828</v>
      </c>
      <c r="D30" s="11"/>
      <c r="E30" s="11">
        <v>-4236</v>
      </c>
      <c r="F30" s="11">
        <f t="shared" si="2"/>
        <v>-1730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>
        <v>174169</v>
      </c>
      <c r="C31" s="11">
        <v>172292</v>
      </c>
      <c r="D31" s="11"/>
      <c r="E31" s="11">
        <v>-244</v>
      </c>
      <c r="F31" s="11">
        <f t="shared" si="2"/>
        <v>-2121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>
        <v>173797</v>
      </c>
      <c r="C32" s="11">
        <v>174443</v>
      </c>
      <c r="D32" s="11"/>
      <c r="E32" s="11">
        <v>-7216</v>
      </c>
      <c r="F32" s="11">
        <f t="shared" si="2"/>
        <v>-6570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>
        <v>160020</v>
      </c>
      <c r="C33" s="11">
        <v>159571</v>
      </c>
      <c r="D33" s="11"/>
      <c r="E33" s="11">
        <v>-831</v>
      </c>
      <c r="F33" s="11">
        <f t="shared" si="2"/>
        <v>-1280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4444019</v>
      </c>
      <c r="C36" s="11">
        <f>SUM(C5:C35)</f>
        <v>4678332</v>
      </c>
      <c r="D36" s="11">
        <f>SUM(D5:D35)</f>
        <v>0</v>
      </c>
      <c r="E36" s="11">
        <f>SUM(E5:E35)</f>
        <v>-274477</v>
      </c>
      <c r="F36" s="11">
        <f>SUM(F5:F35)</f>
        <v>-40164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37225</v>
      </c>
      <c r="F39" s="541">
        <f>43731-22975</f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37251</v>
      </c>
      <c r="F41" s="336">
        <f>+F39+F36</f>
        <v>-19408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37225</v>
      </c>
      <c r="C47" s="32"/>
      <c r="D47" s="32"/>
      <c r="E47" s="502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37251</v>
      </c>
      <c r="C48" s="32"/>
      <c r="D48" s="32"/>
      <c r="E48" s="382">
        <f>+F36*'by type_area'!J3</f>
        <v>-88360.8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-499323.8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7" workbookViewId="0">
      <selection activeCell="B35" sqref="B35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">
      <c r="A11" s="10">
        <v>4</v>
      </c>
      <c r="B11" s="11">
        <v>75301</v>
      </c>
      <c r="C11" s="11">
        <v>74820</v>
      </c>
      <c r="D11" s="11">
        <f t="shared" si="0"/>
        <v>-481</v>
      </c>
      <c r="E11" s="10"/>
      <c r="F11" s="11"/>
      <c r="G11" s="11"/>
      <c r="H11" s="11"/>
    </row>
    <row r="12" spans="1:8" x14ac:dyDescent="0.2">
      <c r="A12" s="10">
        <v>5</v>
      </c>
      <c r="B12" s="11">
        <v>74993</v>
      </c>
      <c r="C12" s="11">
        <v>74822</v>
      </c>
      <c r="D12" s="11">
        <f t="shared" si="0"/>
        <v>-171</v>
      </c>
      <c r="E12" s="10"/>
      <c r="F12" s="11"/>
      <c r="G12" s="11"/>
      <c r="H12" s="11"/>
    </row>
    <row r="13" spans="1:8" x14ac:dyDescent="0.2">
      <c r="A13" s="10">
        <v>6</v>
      </c>
      <c r="B13" s="11">
        <v>77697</v>
      </c>
      <c r="C13" s="11">
        <v>78322</v>
      </c>
      <c r="D13" s="11">
        <f t="shared" si="0"/>
        <v>625</v>
      </c>
      <c r="E13" s="10"/>
      <c r="F13" s="11"/>
      <c r="G13" s="11"/>
      <c r="H13" s="11"/>
    </row>
    <row r="14" spans="1:8" x14ac:dyDescent="0.2">
      <c r="A14" s="10">
        <v>7</v>
      </c>
      <c r="B14" s="11">
        <v>83890</v>
      </c>
      <c r="C14" s="11">
        <v>83066</v>
      </c>
      <c r="D14" s="11">
        <f t="shared" si="0"/>
        <v>-824</v>
      </c>
      <c r="E14" s="10"/>
      <c r="F14" s="11"/>
      <c r="G14" s="11"/>
      <c r="H14" s="11"/>
    </row>
    <row r="15" spans="1:8" x14ac:dyDescent="0.2">
      <c r="A15" s="10">
        <v>8</v>
      </c>
      <c r="B15" s="11">
        <v>85931</v>
      </c>
      <c r="C15" s="11">
        <v>84822</v>
      </c>
      <c r="D15" s="11">
        <f t="shared" si="0"/>
        <v>-1109</v>
      </c>
      <c r="E15" s="10"/>
      <c r="F15" s="11"/>
      <c r="G15" s="11"/>
      <c r="H15" s="11"/>
    </row>
    <row r="16" spans="1:8" x14ac:dyDescent="0.2">
      <c r="A16" s="10">
        <v>9</v>
      </c>
      <c r="B16" s="11">
        <v>85552</v>
      </c>
      <c r="C16" s="11">
        <v>84822</v>
      </c>
      <c r="D16" s="11">
        <f t="shared" si="0"/>
        <v>-730</v>
      </c>
      <c r="E16" s="10"/>
      <c r="F16" s="11"/>
      <c r="G16" s="11"/>
      <c r="H16" s="11"/>
    </row>
    <row r="17" spans="1:8" x14ac:dyDescent="0.2">
      <c r="A17" s="10">
        <v>10</v>
      </c>
      <c r="B17" s="11">
        <v>84996</v>
      </c>
      <c r="C17" s="11">
        <v>84822</v>
      </c>
      <c r="D17" s="11">
        <f t="shared" si="0"/>
        <v>-174</v>
      </c>
      <c r="E17" s="10"/>
      <c r="F17" s="11"/>
      <c r="G17" s="11"/>
      <c r="H17" s="11"/>
    </row>
    <row r="18" spans="1:8" x14ac:dyDescent="0.2">
      <c r="A18" s="10">
        <v>11</v>
      </c>
      <c r="B18" s="11">
        <v>94818</v>
      </c>
      <c r="C18" s="11">
        <v>94822</v>
      </c>
      <c r="D18" s="11">
        <f t="shared" si="0"/>
        <v>4</v>
      </c>
      <c r="E18" s="10"/>
      <c r="F18" s="11"/>
      <c r="G18" s="11"/>
      <c r="H18" s="11"/>
    </row>
    <row r="19" spans="1:8" x14ac:dyDescent="0.2">
      <c r="A19" s="10">
        <v>12</v>
      </c>
      <c r="B19" s="11">
        <v>98459</v>
      </c>
      <c r="C19" s="11">
        <v>97797</v>
      </c>
      <c r="D19" s="11">
        <f t="shared" si="0"/>
        <v>-662</v>
      </c>
      <c r="E19" s="10"/>
      <c r="F19" s="11"/>
      <c r="G19" s="11"/>
      <c r="H19" s="11"/>
    </row>
    <row r="20" spans="1:8" x14ac:dyDescent="0.2">
      <c r="A20" s="10">
        <v>13</v>
      </c>
      <c r="B20" s="11">
        <v>68836</v>
      </c>
      <c r="C20" s="11">
        <v>68429</v>
      </c>
      <c r="D20" s="11">
        <f t="shared" si="0"/>
        <v>-407</v>
      </c>
      <c r="E20" s="10"/>
      <c r="F20" s="11"/>
      <c r="G20" s="11"/>
      <c r="H20" s="11"/>
    </row>
    <row r="21" spans="1:8" x14ac:dyDescent="0.2">
      <c r="A21" s="10">
        <v>14</v>
      </c>
      <c r="B21" s="11">
        <v>66878</v>
      </c>
      <c r="C21" s="11">
        <v>68575</v>
      </c>
      <c r="D21" s="11">
        <f t="shared" si="0"/>
        <v>1697</v>
      </c>
      <c r="E21" s="10"/>
      <c r="F21" s="11"/>
      <c r="G21" s="11"/>
      <c r="H21" s="11"/>
    </row>
    <row r="22" spans="1:8" x14ac:dyDescent="0.2">
      <c r="A22" s="10">
        <v>15</v>
      </c>
      <c r="B22" s="11">
        <v>76399</v>
      </c>
      <c r="C22" s="11">
        <v>76575</v>
      </c>
      <c r="D22" s="11">
        <f t="shared" si="0"/>
        <v>176</v>
      </c>
      <c r="E22" s="10"/>
      <c r="F22" s="11"/>
      <c r="G22" s="11"/>
      <c r="H22" s="11"/>
    </row>
    <row r="23" spans="1:8" x14ac:dyDescent="0.2">
      <c r="A23" s="10">
        <v>16</v>
      </c>
      <c r="B23" s="11">
        <v>76819</v>
      </c>
      <c r="C23" s="11">
        <v>76575</v>
      </c>
      <c r="D23" s="11">
        <f t="shared" si="0"/>
        <v>-244</v>
      </c>
      <c r="E23" s="10"/>
      <c r="F23" s="11"/>
      <c r="G23" s="11"/>
      <c r="H23" s="11"/>
    </row>
    <row r="24" spans="1:8" x14ac:dyDescent="0.2">
      <c r="A24" s="10">
        <v>17</v>
      </c>
      <c r="B24" s="11">
        <v>76614</v>
      </c>
      <c r="C24" s="11">
        <v>76539</v>
      </c>
      <c r="D24" s="11">
        <f t="shared" si="0"/>
        <v>-75</v>
      </c>
      <c r="E24" s="10"/>
      <c r="F24" s="11"/>
      <c r="G24" s="11"/>
      <c r="H24" s="11"/>
    </row>
    <row r="25" spans="1:8" x14ac:dyDescent="0.2">
      <c r="A25" s="10">
        <v>18</v>
      </c>
      <c r="B25" s="11">
        <v>58698</v>
      </c>
      <c r="C25" s="11">
        <v>58574</v>
      </c>
      <c r="D25" s="11">
        <f t="shared" si="0"/>
        <v>-124</v>
      </c>
      <c r="E25" s="10"/>
      <c r="F25" s="11"/>
      <c r="G25" s="11"/>
      <c r="H25" s="11"/>
    </row>
    <row r="26" spans="1:8" x14ac:dyDescent="0.2">
      <c r="A26" s="10">
        <v>19</v>
      </c>
      <c r="B26" s="11">
        <v>58681</v>
      </c>
      <c r="C26" s="11">
        <v>58575</v>
      </c>
      <c r="D26" s="11">
        <f t="shared" si="0"/>
        <v>-106</v>
      </c>
      <c r="E26" s="10"/>
      <c r="F26" s="11"/>
      <c r="G26" s="11"/>
      <c r="H26" s="11"/>
    </row>
    <row r="27" spans="1:8" x14ac:dyDescent="0.2">
      <c r="A27" s="10">
        <v>20</v>
      </c>
      <c r="B27" s="11">
        <v>58988</v>
      </c>
      <c r="C27" s="11">
        <v>58575</v>
      </c>
      <c r="D27" s="11">
        <f t="shared" si="0"/>
        <v>-413</v>
      </c>
      <c r="E27" s="10"/>
      <c r="F27" s="11"/>
      <c r="G27" s="11"/>
      <c r="H27" s="11"/>
    </row>
    <row r="28" spans="1:8" x14ac:dyDescent="0.2">
      <c r="A28" s="10">
        <v>21</v>
      </c>
      <c r="B28" s="11">
        <v>58588</v>
      </c>
      <c r="C28" s="11">
        <v>58575</v>
      </c>
      <c r="D28" s="11">
        <f t="shared" si="0"/>
        <v>-13</v>
      </c>
      <c r="E28" s="10"/>
      <c r="F28" s="11"/>
      <c r="G28" s="11"/>
      <c r="H28" s="11"/>
    </row>
    <row r="29" spans="1:8" x14ac:dyDescent="0.2">
      <c r="A29" s="10">
        <v>22</v>
      </c>
      <c r="B29" s="11">
        <v>59551</v>
      </c>
      <c r="C29" s="11">
        <v>58575</v>
      </c>
      <c r="D29" s="11">
        <f t="shared" si="0"/>
        <v>-976</v>
      </c>
      <c r="E29" s="10"/>
      <c r="F29" s="11"/>
      <c r="G29" s="11"/>
      <c r="H29" s="11"/>
    </row>
    <row r="30" spans="1:8" x14ac:dyDescent="0.2">
      <c r="A30" s="10">
        <v>23</v>
      </c>
      <c r="B30" s="11">
        <v>58617</v>
      </c>
      <c r="C30" s="11">
        <v>58575</v>
      </c>
      <c r="D30" s="11">
        <f t="shared" si="0"/>
        <v>-42</v>
      </c>
      <c r="E30" s="10"/>
      <c r="F30" s="11"/>
      <c r="G30" s="11"/>
      <c r="H30" s="11"/>
    </row>
    <row r="31" spans="1:8" x14ac:dyDescent="0.2">
      <c r="A31" s="10">
        <v>24</v>
      </c>
      <c r="B31" s="11">
        <v>58997</v>
      </c>
      <c r="C31" s="11">
        <v>58575</v>
      </c>
      <c r="D31" s="11">
        <f t="shared" si="0"/>
        <v>-422</v>
      </c>
      <c r="E31" s="10"/>
      <c r="F31" s="11"/>
      <c r="G31" s="11"/>
      <c r="H31" s="11"/>
    </row>
    <row r="32" spans="1:8" x14ac:dyDescent="0.2">
      <c r="A32" s="10">
        <v>25</v>
      </c>
      <c r="B32" s="11">
        <v>58287</v>
      </c>
      <c r="C32" s="11">
        <v>58575</v>
      </c>
      <c r="D32" s="11">
        <f t="shared" si="0"/>
        <v>288</v>
      </c>
      <c r="E32" s="10"/>
      <c r="F32" s="11"/>
      <c r="G32" s="11"/>
      <c r="H32" s="11"/>
    </row>
    <row r="33" spans="1:8" x14ac:dyDescent="0.2">
      <c r="A33" s="10">
        <v>26</v>
      </c>
      <c r="B33" s="11">
        <v>58305</v>
      </c>
      <c r="C33" s="11">
        <v>58575</v>
      </c>
      <c r="D33" s="11">
        <f t="shared" si="0"/>
        <v>270</v>
      </c>
      <c r="E33" s="10"/>
      <c r="F33" s="11"/>
      <c r="G33" s="11"/>
      <c r="H33" s="11"/>
    </row>
    <row r="34" spans="1:8" x14ac:dyDescent="0.2">
      <c r="A34" s="10">
        <v>27</v>
      </c>
      <c r="B34" s="11">
        <v>58994</v>
      </c>
      <c r="C34" s="11">
        <v>58285</v>
      </c>
      <c r="D34" s="11">
        <f t="shared" si="0"/>
        <v>-709</v>
      </c>
      <c r="E34" s="10"/>
      <c r="F34" s="11"/>
      <c r="G34" s="11"/>
      <c r="H34" s="11"/>
    </row>
    <row r="35" spans="1:8" x14ac:dyDescent="0.2">
      <c r="A35" s="10">
        <v>28</v>
      </c>
      <c r="B35" s="11">
        <v>58721</v>
      </c>
      <c r="C35" s="11">
        <v>58575</v>
      </c>
      <c r="D35" s="11">
        <f t="shared" si="0"/>
        <v>-146</v>
      </c>
      <c r="E35" s="10"/>
      <c r="F35" s="11"/>
      <c r="G35" s="11"/>
      <c r="H35" s="11"/>
    </row>
    <row r="36" spans="1:8" x14ac:dyDescent="0.2">
      <c r="A36" s="10">
        <v>29</v>
      </c>
      <c r="B36" s="11">
        <v>56221</v>
      </c>
      <c r="C36" s="11">
        <v>58575</v>
      </c>
      <c r="D36" s="11">
        <f t="shared" si="0"/>
        <v>2354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2145770</v>
      </c>
      <c r="C39" s="11">
        <f>SUM(C8:C38)</f>
        <v>2141289</v>
      </c>
      <c r="D39" s="11">
        <f>SUM(D8:D38)</f>
        <v>-4481</v>
      </c>
      <c r="E39" s="10"/>
      <c r="F39" s="11"/>
      <c r="G39" s="11"/>
      <c r="H39" s="11"/>
    </row>
    <row r="40" spans="1:8" x14ac:dyDescent="0.2">
      <c r="A40" s="26"/>
      <c r="D40" s="75">
        <f>+summary!H4</f>
        <v>2.21</v>
      </c>
      <c r="E40" s="26"/>
      <c r="H40" s="75"/>
    </row>
    <row r="41" spans="1:8" x14ac:dyDescent="0.2">
      <c r="D41" s="195">
        <f>+D40*D39</f>
        <v>-9903.01</v>
      </c>
      <c r="F41" s="247"/>
      <c r="H41" s="195"/>
    </row>
    <row r="42" spans="1:8" x14ac:dyDescent="0.2">
      <c r="A42" s="57">
        <v>37225</v>
      </c>
      <c r="D42" s="529">
        <v>8908.65</v>
      </c>
      <c r="E42" s="57"/>
      <c r="H42" s="195"/>
    </row>
    <row r="43" spans="1:8" x14ac:dyDescent="0.2">
      <c r="A43" s="57">
        <v>37254</v>
      </c>
      <c r="D43" s="196">
        <f>+D42+D41</f>
        <v>-994.36000000000058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152</v>
      </c>
      <c r="B47" s="32"/>
      <c r="C47" s="32"/>
      <c r="D47" s="32"/>
    </row>
    <row r="48" spans="1:8" x14ac:dyDescent="0.2">
      <c r="A48" s="49">
        <f>+A42</f>
        <v>37225</v>
      </c>
      <c r="B48" s="32"/>
      <c r="C48" s="32"/>
      <c r="D48" s="509">
        <v>-51521</v>
      </c>
    </row>
    <row r="49" spans="1:4" x14ac:dyDescent="0.2">
      <c r="A49" s="49">
        <f>+A43</f>
        <v>37254</v>
      </c>
      <c r="B49" s="32"/>
      <c r="C49" s="32"/>
      <c r="D49" s="355">
        <f>+D39</f>
        <v>-4481</v>
      </c>
    </row>
    <row r="50" spans="1:4" x14ac:dyDescent="0.2">
      <c r="A50" s="32"/>
      <c r="B50" s="32"/>
      <c r="C50" s="32"/>
      <c r="D50" s="14">
        <f>+D49+D48</f>
        <v>-56002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6" workbookViewId="0">
      <selection activeCell="A7" sqref="A7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94</v>
      </c>
      <c r="G2" s="32"/>
      <c r="H2" s="15"/>
      <c r="I2" s="32"/>
      <c r="J2" s="15"/>
    </row>
    <row r="3" spans="1:14" x14ac:dyDescent="0.2">
      <c r="A3" s="2" t="s">
        <v>73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37225</v>
      </c>
      <c r="C5" s="521">
        <v>1497337.92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259</v>
      </c>
      <c r="J6" s="15"/>
    </row>
    <row r="7" spans="1:14" x14ac:dyDescent="0.2">
      <c r="A7" s="57">
        <v>37251</v>
      </c>
      <c r="I7" s="3" t="s">
        <v>266</v>
      </c>
      <c r="J7" s="15"/>
    </row>
    <row r="8" spans="1:14" x14ac:dyDescent="0.2">
      <c r="A8" s="248">
        <v>50895</v>
      </c>
      <c r="B8" s="343">
        <f>5893-1885</f>
        <v>4008</v>
      </c>
      <c r="J8" s="15"/>
    </row>
    <row r="9" spans="1:14" x14ac:dyDescent="0.2">
      <c r="A9" s="248">
        <v>60874</v>
      </c>
      <c r="B9" s="343">
        <f>2674+137+137+137+137</f>
        <v>3222</v>
      </c>
      <c r="J9" s="15"/>
    </row>
    <row r="10" spans="1:14" x14ac:dyDescent="0.2">
      <c r="A10" s="248">
        <v>78169</v>
      </c>
      <c r="B10" s="343">
        <f>748953-707915</f>
        <v>41038</v>
      </c>
      <c r="I10" s="87" t="s">
        <v>260</v>
      </c>
      <c r="J10" s="497" t="s">
        <v>28</v>
      </c>
      <c r="K10" s="87" t="s">
        <v>261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97">
        <f>+C40</f>
        <v>811403.49</v>
      </c>
      <c r="K11" s="87" t="s">
        <v>262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4">
        <v>275313.71999999997</v>
      </c>
      <c r="K12" s="87" t="s">
        <v>263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>
        <f>12813-10344</f>
        <v>2469</v>
      </c>
      <c r="I13" s="87">
        <v>21665</v>
      </c>
      <c r="J13" s="454">
        <v>73449.16</v>
      </c>
      <c r="K13" s="87" t="s">
        <v>265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>
        <f>4612-4353</f>
        <v>259</v>
      </c>
      <c r="I14" s="87">
        <v>22664</v>
      </c>
      <c r="J14" s="457">
        <v>23612.35</v>
      </c>
      <c r="K14" s="87" t="s">
        <v>267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>
        <f>12813-9005</f>
        <v>3808</v>
      </c>
      <c r="I15" s="87"/>
      <c r="J15" s="454">
        <f>SUM(J11:J14)</f>
        <v>1183778.72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>
        <v>-564</v>
      </c>
      <c r="I16" s="87"/>
      <c r="J16" s="454"/>
      <c r="K16" s="87"/>
      <c r="L16" s="87"/>
      <c r="M16" s="87"/>
      <c r="N16" s="87"/>
    </row>
    <row r="17" spans="1:14" x14ac:dyDescent="0.2">
      <c r="A17" s="280">
        <v>500267</v>
      </c>
      <c r="B17" s="344">
        <f>1440651-1478321</f>
        <v>-37670</v>
      </c>
      <c r="I17" s="87"/>
      <c r="J17" s="454"/>
      <c r="K17" s="87"/>
      <c r="L17" s="87"/>
      <c r="M17" s="87"/>
      <c r="N17" s="87"/>
    </row>
    <row r="18" spans="1:14" x14ac:dyDescent="0.2">
      <c r="B18" s="14">
        <f>SUM(B8:B17)</f>
        <v>16570</v>
      </c>
      <c r="I18" s="87"/>
      <c r="J18" s="454"/>
      <c r="K18" s="87"/>
      <c r="L18" s="87"/>
      <c r="M18" s="87"/>
      <c r="N18" s="87"/>
    </row>
    <row r="19" spans="1:14" x14ac:dyDescent="0.2">
      <c r="B19" s="15">
        <f>+summary!H5</f>
        <v>2.2200000000000002</v>
      </c>
      <c r="C19" s="199">
        <f>+B19*B18</f>
        <v>36785.4</v>
      </c>
      <c r="G19" s="32"/>
      <c r="H19" s="387"/>
      <c r="I19" s="330"/>
      <c r="J19" s="454"/>
      <c r="K19" s="87"/>
      <c r="L19" s="87"/>
      <c r="M19" s="87"/>
      <c r="N19" s="87"/>
    </row>
    <row r="20" spans="1:14" x14ac:dyDescent="0.2">
      <c r="C20" s="324">
        <f>+C19+C5</f>
        <v>1534123.3199999998</v>
      </c>
      <c r="E20" s="15"/>
      <c r="G20" s="32"/>
      <c r="H20" s="387"/>
      <c r="I20" s="330"/>
      <c r="J20" s="454"/>
      <c r="K20" s="87"/>
      <c r="L20" s="87"/>
      <c r="M20" s="87"/>
      <c r="N20" s="87"/>
    </row>
    <row r="21" spans="1:14" x14ac:dyDescent="0.2">
      <c r="E21" s="15"/>
      <c r="G21" s="32"/>
      <c r="H21" s="387"/>
      <c r="I21" s="330"/>
      <c r="J21" s="454"/>
      <c r="K21" s="87"/>
      <c r="L21" s="87"/>
      <c r="M21" s="87"/>
      <c r="N21" s="87"/>
    </row>
    <row r="22" spans="1:14" x14ac:dyDescent="0.2">
      <c r="A22" s="32" t="s">
        <v>87</v>
      </c>
      <c r="G22" s="32"/>
      <c r="H22" s="387"/>
      <c r="I22" s="330"/>
      <c r="J22" s="454"/>
      <c r="K22" s="87"/>
      <c r="L22" s="87"/>
      <c r="M22" s="87"/>
      <c r="N22" s="87"/>
    </row>
    <row r="23" spans="1:14" x14ac:dyDescent="0.2">
      <c r="A23" s="2" t="s">
        <v>74</v>
      </c>
      <c r="G23" s="32"/>
      <c r="H23" s="387"/>
      <c r="I23" s="330"/>
      <c r="J23" s="454"/>
      <c r="K23" s="87"/>
      <c r="L23" s="87"/>
      <c r="M23" s="87"/>
      <c r="N23" s="87"/>
    </row>
    <row r="24" spans="1:14" x14ac:dyDescent="0.2">
      <c r="G24" s="32"/>
      <c r="H24" s="387"/>
      <c r="I24" s="330"/>
      <c r="J24" s="454"/>
      <c r="K24" s="87"/>
      <c r="L24" s="87"/>
      <c r="M24" s="87"/>
      <c r="N24" s="87"/>
    </row>
    <row r="25" spans="1:14" x14ac:dyDescent="0.2">
      <c r="G25" s="32"/>
      <c r="H25" s="387"/>
      <c r="I25" s="330"/>
      <c r="J25" s="454"/>
      <c r="K25" s="87"/>
      <c r="L25" s="87"/>
      <c r="M25" s="87"/>
      <c r="N25" s="87"/>
    </row>
    <row r="26" spans="1:14" x14ac:dyDescent="0.2">
      <c r="A26" s="198">
        <v>37225</v>
      </c>
      <c r="C26" s="521">
        <v>275313.71999999997</v>
      </c>
      <c r="G26" s="32"/>
      <c r="H26" s="15"/>
      <c r="I26" s="330"/>
      <c r="J26" s="454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4"/>
      <c r="K27" s="87"/>
      <c r="L27" s="87"/>
      <c r="M27" s="87"/>
      <c r="N27" s="87"/>
    </row>
    <row r="28" spans="1:14" x14ac:dyDescent="0.2">
      <c r="A28" s="57">
        <v>37251</v>
      </c>
      <c r="G28" s="32"/>
      <c r="H28" s="15"/>
      <c r="I28" s="87"/>
      <c r="J28" s="454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4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4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4"/>
      <c r="K31" s="87"/>
      <c r="L31" s="87"/>
      <c r="M31" s="87"/>
      <c r="N31" s="87"/>
    </row>
    <row r="32" spans="1:14" x14ac:dyDescent="0.2">
      <c r="B32" s="15">
        <f>+summary!H4</f>
        <v>2.21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87</v>
      </c>
      <c r="E37" s="32" t="s">
        <v>152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75</v>
      </c>
      <c r="E38" s="49">
        <f>+A5</f>
        <v>37225</v>
      </c>
      <c r="F38" s="509">
        <v>363548</v>
      </c>
      <c r="G38" s="500">
        <v>117857</v>
      </c>
      <c r="H38" s="509">
        <v>173271</v>
      </c>
      <c r="I38" s="14"/>
    </row>
    <row r="39" spans="1:9" x14ac:dyDescent="0.2">
      <c r="E39" s="49">
        <f>+A7</f>
        <v>37251</v>
      </c>
      <c r="F39" s="355">
        <f>+B18</f>
        <v>16570</v>
      </c>
      <c r="G39" s="355">
        <f>+B31</f>
        <v>0</v>
      </c>
      <c r="H39" s="355">
        <f>+B46</f>
        <v>12737</v>
      </c>
      <c r="I39" s="14"/>
    </row>
    <row r="40" spans="1:9" x14ac:dyDescent="0.2">
      <c r="A40" s="49">
        <v>37225</v>
      </c>
      <c r="C40" s="521">
        <v>811403.49</v>
      </c>
      <c r="F40" s="14">
        <f>+F39+F38</f>
        <v>380118</v>
      </c>
      <c r="G40" s="14">
        <f>+G39+G38</f>
        <v>117857</v>
      </c>
      <c r="H40" s="14">
        <f>+H39+H38</f>
        <v>186008</v>
      </c>
      <c r="I40" s="14">
        <f>+H40+G40+F40</f>
        <v>683983</v>
      </c>
    </row>
    <row r="41" spans="1:9" x14ac:dyDescent="0.2">
      <c r="G41" s="32"/>
      <c r="H41" s="15"/>
      <c r="I41" s="32"/>
    </row>
    <row r="42" spans="1:9" x14ac:dyDescent="0.2">
      <c r="A42" s="245">
        <v>37251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10347</v>
      </c>
      <c r="G44" s="32"/>
      <c r="H44" s="388"/>
      <c r="I44" s="14"/>
    </row>
    <row r="45" spans="1:9" x14ac:dyDescent="0.2">
      <c r="A45" s="32">
        <v>500392</v>
      </c>
      <c r="B45" s="250">
        <v>2390</v>
      </c>
      <c r="G45" s="32"/>
      <c r="H45" s="388"/>
      <c r="I45" s="14"/>
    </row>
    <row r="46" spans="1:9" x14ac:dyDescent="0.2">
      <c r="B46" s="14">
        <f>SUM(B43:B45)</f>
        <v>12737</v>
      </c>
      <c r="G46" s="32"/>
      <c r="H46" s="388"/>
      <c r="I46" s="14"/>
    </row>
    <row r="47" spans="1:9" x14ac:dyDescent="0.2">
      <c r="B47" s="199">
        <f>+summary!H5</f>
        <v>2.2200000000000002</v>
      </c>
      <c r="C47" s="199">
        <f>+B47*B46</f>
        <v>28276.140000000003</v>
      </c>
      <c r="H47" s="388"/>
      <c r="I47" s="14"/>
    </row>
    <row r="48" spans="1:9" x14ac:dyDescent="0.2">
      <c r="C48" s="324">
        <f>+C47+C40</f>
        <v>839679.63</v>
      </c>
      <c r="E48" s="204"/>
      <c r="H48" s="388"/>
      <c r="I48" s="14"/>
    </row>
    <row r="49" spans="1:9" x14ac:dyDescent="0.2">
      <c r="E49" s="213"/>
      <c r="H49" s="388"/>
      <c r="I49" s="14"/>
    </row>
    <row r="50" spans="1:9" x14ac:dyDescent="0.2">
      <c r="E50" s="204"/>
      <c r="H50" s="388"/>
      <c r="I50" s="14"/>
    </row>
    <row r="51" spans="1:9" x14ac:dyDescent="0.2">
      <c r="C51" s="313"/>
      <c r="E51" s="213"/>
    </row>
    <row r="52" spans="1:9" x14ac:dyDescent="0.2">
      <c r="A52" s="32" t="s">
        <v>87</v>
      </c>
      <c r="C52" s="249"/>
    </row>
    <row r="53" spans="1:9" x14ac:dyDescent="0.2">
      <c r="A53" s="32">
        <v>21665</v>
      </c>
      <c r="B53" s="15" t="s">
        <v>139</v>
      </c>
      <c r="C53" s="526">
        <v>73445.08</v>
      </c>
      <c r="D53" s="32" t="s">
        <v>120</v>
      </c>
      <c r="E53" s="50"/>
      <c r="H53" s="388">
        <v>21665</v>
      </c>
      <c r="I53" s="14">
        <v>36401</v>
      </c>
    </row>
    <row r="54" spans="1:9" x14ac:dyDescent="0.2">
      <c r="A54" s="32">
        <v>22664</v>
      </c>
      <c r="B54" s="15" t="s">
        <v>139</v>
      </c>
      <c r="C54" s="527">
        <v>23612.35</v>
      </c>
      <c r="D54" s="32" t="s">
        <v>121</v>
      </c>
      <c r="H54" s="388">
        <v>22664</v>
      </c>
      <c r="I54" s="206">
        <v>18932</v>
      </c>
    </row>
    <row r="55" spans="1:9" x14ac:dyDescent="0.2">
      <c r="H55" s="389"/>
      <c r="I55" s="16"/>
    </row>
    <row r="56" spans="1:9" x14ac:dyDescent="0.2">
      <c r="C56" s="429"/>
    </row>
    <row r="57" spans="1:9" x14ac:dyDescent="0.2">
      <c r="C57" s="318">
        <f>+C54+C53+C48+C33+C20</f>
        <v>2746174.0999999996</v>
      </c>
      <c r="I57" s="14">
        <f>SUM(I40:I54)</f>
        <v>739316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8" workbookViewId="0">
      <selection activeCell="H41" sqref="H41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177</v>
      </c>
      <c r="G3" s="6"/>
      <c r="H3" s="115"/>
    </row>
    <row r="4" spans="1:10" x14ac:dyDescent="0.2">
      <c r="A4" s="10">
        <v>1</v>
      </c>
      <c r="B4" s="11"/>
      <c r="C4" s="11"/>
      <c r="D4" s="11">
        <v>24500</v>
      </c>
      <c r="E4" s="11">
        <v>24000</v>
      </c>
      <c r="F4" s="11">
        <f>+E4+C4-D4-B4</f>
        <v>-500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24489</v>
      </c>
      <c r="E5" s="11">
        <v>24000</v>
      </c>
      <c r="F5" s="11">
        <f t="shared" ref="F5:F34" si="0">+E5+C5-D5-B5</f>
        <v>-489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24487</v>
      </c>
      <c r="E6" s="11">
        <v>24000</v>
      </c>
      <c r="F6" s="11">
        <f t="shared" si="0"/>
        <v>-487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24484</v>
      </c>
      <c r="E7" s="11">
        <v>24000</v>
      </c>
      <c r="F7" s="11">
        <f t="shared" si="0"/>
        <v>-484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24523</v>
      </c>
      <c r="E8" s="11">
        <v>24000</v>
      </c>
      <c r="F8" s="11">
        <f t="shared" si="0"/>
        <v>-523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24492</v>
      </c>
      <c r="E9" s="11">
        <v>24000</v>
      </c>
      <c r="F9" s="11">
        <f t="shared" si="0"/>
        <v>-492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24497</v>
      </c>
      <c r="E10" s="11">
        <v>24000</v>
      </c>
      <c r="F10" s="11">
        <f t="shared" si="0"/>
        <v>-497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24506</v>
      </c>
      <c r="E11" s="11">
        <v>20164</v>
      </c>
      <c r="F11" s="11">
        <f t="shared" si="0"/>
        <v>-4342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24485</v>
      </c>
      <c r="E12" s="11">
        <v>24000</v>
      </c>
      <c r="F12" s="11">
        <f t="shared" si="0"/>
        <v>-485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24482</v>
      </c>
      <c r="E13" s="11">
        <v>24000</v>
      </c>
      <c r="F13" s="11">
        <f t="shared" si="0"/>
        <v>-482</v>
      </c>
      <c r="G13" s="11"/>
      <c r="I13" s="11"/>
      <c r="J13" s="24"/>
    </row>
    <row r="14" spans="1:10" x14ac:dyDescent="0.2">
      <c r="A14" s="10">
        <v>11</v>
      </c>
      <c r="B14" s="11">
        <v>31086</v>
      </c>
      <c r="C14" s="11">
        <v>30000</v>
      </c>
      <c r="D14" s="11">
        <v>24331</v>
      </c>
      <c r="E14" s="11">
        <v>24000</v>
      </c>
      <c r="F14" s="11">
        <f t="shared" si="0"/>
        <v>-1417</v>
      </c>
      <c r="G14" s="11"/>
      <c r="I14" s="11"/>
      <c r="J14" s="24"/>
    </row>
    <row r="15" spans="1:10" x14ac:dyDescent="0.2">
      <c r="A15" s="10">
        <v>12</v>
      </c>
      <c r="B15" s="11">
        <v>31519</v>
      </c>
      <c r="C15" s="11">
        <v>30000</v>
      </c>
      <c r="D15" s="11">
        <v>24494</v>
      </c>
      <c r="E15" s="11">
        <v>24000</v>
      </c>
      <c r="F15" s="11">
        <f t="shared" si="0"/>
        <v>-2013</v>
      </c>
      <c r="G15" s="11"/>
      <c r="I15" s="11"/>
      <c r="J15" s="24"/>
    </row>
    <row r="16" spans="1:10" x14ac:dyDescent="0.2">
      <c r="A16" s="10">
        <v>13</v>
      </c>
      <c r="B16" s="11">
        <v>1932</v>
      </c>
      <c r="C16" s="11"/>
      <c r="D16" s="11">
        <v>24456</v>
      </c>
      <c r="E16" s="11">
        <v>24000</v>
      </c>
      <c r="F16" s="11">
        <f t="shared" si="0"/>
        <v>-2388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24527</v>
      </c>
      <c r="E17" s="11">
        <v>24000</v>
      </c>
      <c r="F17" s="11">
        <f t="shared" si="0"/>
        <v>-527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24527</v>
      </c>
      <c r="E18" s="11">
        <v>24000</v>
      </c>
      <c r="F18" s="11">
        <f t="shared" si="0"/>
        <v>-527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24482</v>
      </c>
      <c r="E19" s="11">
        <v>24000</v>
      </c>
      <c r="F19" s="11">
        <f t="shared" si="0"/>
        <v>-482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24487</v>
      </c>
      <c r="E20" s="11">
        <v>24000</v>
      </c>
      <c r="F20" s="11">
        <f t="shared" si="0"/>
        <v>-487</v>
      </c>
      <c r="G20" s="11"/>
      <c r="I20" s="11"/>
      <c r="J20" s="24"/>
    </row>
    <row r="21" spans="1:10" x14ac:dyDescent="0.2">
      <c r="A21" s="10">
        <v>18</v>
      </c>
      <c r="B21" s="129">
        <v>2</v>
      </c>
      <c r="C21" s="11"/>
      <c r="D21" s="11">
        <v>24493</v>
      </c>
      <c r="E21" s="11">
        <v>24000</v>
      </c>
      <c r="F21" s="11">
        <f t="shared" si="0"/>
        <v>-495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24478</v>
      </c>
      <c r="E22" s="11">
        <v>24000</v>
      </c>
      <c r="F22" s="11">
        <f t="shared" si="0"/>
        <v>-478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24478</v>
      </c>
      <c r="E23" s="11">
        <v>24000</v>
      </c>
      <c r="F23" s="11">
        <f t="shared" si="0"/>
        <v>-478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24351</v>
      </c>
      <c r="E24" s="11">
        <v>24000</v>
      </c>
      <c r="F24" s="11">
        <f t="shared" si="0"/>
        <v>-351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24500</v>
      </c>
      <c r="E25" s="11">
        <v>24000</v>
      </c>
      <c r="F25" s="11">
        <f t="shared" si="0"/>
        <v>-500</v>
      </c>
      <c r="I25" s="11"/>
      <c r="J25" s="24"/>
    </row>
    <row r="26" spans="1:10" x14ac:dyDescent="0.2">
      <c r="A26" s="10">
        <v>23</v>
      </c>
      <c r="B26" s="11"/>
      <c r="C26" s="11"/>
      <c r="D26" s="11">
        <v>24506</v>
      </c>
      <c r="E26" s="11">
        <v>24000</v>
      </c>
      <c r="F26" s="11">
        <f t="shared" si="0"/>
        <v>-506</v>
      </c>
      <c r="I26" s="11"/>
      <c r="J26" s="24"/>
    </row>
    <row r="27" spans="1:10" x14ac:dyDescent="0.2">
      <c r="A27" s="10">
        <v>24</v>
      </c>
      <c r="B27" s="11"/>
      <c r="C27" s="11"/>
      <c r="D27" s="11">
        <v>24471</v>
      </c>
      <c r="E27" s="11">
        <v>24000</v>
      </c>
      <c r="F27" s="11">
        <f t="shared" si="0"/>
        <v>-471</v>
      </c>
      <c r="I27" s="11"/>
      <c r="J27" s="24"/>
    </row>
    <row r="28" spans="1:10" x14ac:dyDescent="0.2">
      <c r="A28" s="10">
        <v>25</v>
      </c>
      <c r="B28" s="11"/>
      <c r="C28" s="11"/>
      <c r="D28" s="11">
        <v>24490</v>
      </c>
      <c r="E28" s="11">
        <v>24000</v>
      </c>
      <c r="F28" s="11">
        <f t="shared" si="0"/>
        <v>-490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152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37225</v>
      </c>
      <c r="I34" s="509">
        <v>-178485</v>
      </c>
      <c r="J34" s="509">
        <v>-108573</v>
      </c>
      <c r="K34" s="14"/>
      <c r="L34" s="14"/>
    </row>
    <row r="35" spans="1:13" x14ac:dyDescent="0.2">
      <c r="A35" s="10"/>
      <c r="B35" s="11">
        <f>SUM(B4:B34)</f>
        <v>64539</v>
      </c>
      <c r="C35" s="11">
        <f>SUM(C4:C34)</f>
        <v>60000</v>
      </c>
      <c r="D35" s="11">
        <f>SUM(D4:D34)</f>
        <v>612016</v>
      </c>
      <c r="E35" s="11">
        <f>SUM(E4:E34)</f>
        <v>596164</v>
      </c>
      <c r="F35" s="11">
        <f>SUM(F4:F34)</f>
        <v>-20391</v>
      </c>
      <c r="G35" s="11"/>
      <c r="H35" s="49">
        <f>+A40</f>
        <v>37250</v>
      </c>
      <c r="I35" s="355">
        <f>+C36</f>
        <v>-4539</v>
      </c>
      <c r="J35" s="355">
        <f>+E36</f>
        <v>-15852</v>
      </c>
      <c r="K35" s="206"/>
      <c r="L35" s="14"/>
    </row>
    <row r="36" spans="1:13" x14ac:dyDescent="0.2">
      <c r="C36" s="25">
        <f>+C35-B35</f>
        <v>-4539</v>
      </c>
      <c r="E36" s="25">
        <f>+E35-D35</f>
        <v>-15852</v>
      </c>
      <c r="F36" s="25">
        <f>+E36+C36</f>
        <v>-20391</v>
      </c>
      <c r="H36" s="32"/>
      <c r="I36" s="14">
        <f>+I35+I34</f>
        <v>-183024</v>
      </c>
      <c r="J36" s="14">
        <f>+J35+J34</f>
        <v>-124425</v>
      </c>
      <c r="K36" s="14">
        <f>+J36+I36</f>
        <v>-307449</v>
      </c>
      <c r="L36" s="14"/>
    </row>
    <row r="37" spans="1:13" x14ac:dyDescent="0.2">
      <c r="C37" s="316">
        <f>+summary!H5</f>
        <v>2.2200000000000002</v>
      </c>
      <c r="E37" s="104">
        <f>+C37</f>
        <v>2.2200000000000002</v>
      </c>
      <c r="F37" s="138">
        <f>+F36*E37</f>
        <v>-45268.020000000004</v>
      </c>
    </row>
    <row r="38" spans="1:13" x14ac:dyDescent="0.2">
      <c r="C38" s="138">
        <f>+C37*C36</f>
        <v>-10076.580000000002</v>
      </c>
      <c r="E38" s="136">
        <f>+E37*E36</f>
        <v>-35191.440000000002</v>
      </c>
      <c r="F38" s="138">
        <f>+E38+C38</f>
        <v>-45268.020000000004</v>
      </c>
    </row>
    <row r="39" spans="1:13" x14ac:dyDescent="0.2">
      <c r="A39" s="57">
        <v>37225</v>
      </c>
      <c r="B39" s="2" t="s">
        <v>46</v>
      </c>
      <c r="C39" s="522">
        <v>-1023166.39</v>
      </c>
      <c r="D39" s="323"/>
      <c r="E39" s="508">
        <v>-526596.1</v>
      </c>
      <c r="F39" s="322">
        <f>+E39+C39</f>
        <v>-1549762.49</v>
      </c>
    </row>
    <row r="40" spans="1:13" x14ac:dyDescent="0.2">
      <c r="A40" s="57">
        <v>37250</v>
      </c>
      <c r="B40" s="2" t="s">
        <v>46</v>
      </c>
      <c r="C40" s="317">
        <f>+C39+C38</f>
        <v>-1033242.97</v>
      </c>
      <c r="D40" s="252"/>
      <c r="E40" s="317">
        <f>+E39+E38</f>
        <v>-561787.54</v>
      </c>
      <c r="F40" s="317">
        <f>+E40+C40</f>
        <v>-1595030.51</v>
      </c>
      <c r="H40" s="131"/>
    </row>
    <row r="41" spans="1:13" x14ac:dyDescent="0.2">
      <c r="C41" s="332"/>
      <c r="D41" s="246"/>
      <c r="E41" s="246"/>
      <c r="H41" s="31">
        <f>+C39+E39+F45+F46+F47+F48</f>
        <v>-2686904.37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113</v>
      </c>
    </row>
    <row r="44" spans="1:13" x14ac:dyDescent="0.2">
      <c r="C44" s="246"/>
      <c r="D44" s="246"/>
      <c r="E44" s="12">
        <v>22864</v>
      </c>
      <c r="F44" s="466">
        <v>0</v>
      </c>
      <c r="G44" s="249" t="s">
        <v>48</v>
      </c>
      <c r="J44" s="12">
        <v>22864</v>
      </c>
      <c r="K44" s="452"/>
    </row>
    <row r="45" spans="1:13" x14ac:dyDescent="0.2">
      <c r="C45" s="246"/>
      <c r="D45" s="246"/>
      <c r="E45" s="12">
        <v>20379</v>
      </c>
      <c r="F45" s="521">
        <v>-51695.87</v>
      </c>
      <c r="G45" s="249" t="s">
        <v>123</v>
      </c>
      <c r="J45" s="12">
        <v>20379</v>
      </c>
      <c r="K45" s="500">
        <v>2979</v>
      </c>
      <c r="M45" s="14"/>
    </row>
    <row r="46" spans="1:13" x14ac:dyDescent="0.2">
      <c r="C46" s="246"/>
      <c r="D46" s="246"/>
      <c r="E46" s="12">
        <v>26357</v>
      </c>
      <c r="F46" s="520">
        <f>44144.84-58339.66</f>
        <v>-14194.820000000007</v>
      </c>
      <c r="G46" s="249" t="s">
        <v>124</v>
      </c>
      <c r="J46" s="12">
        <v>26357</v>
      </c>
      <c r="K46" s="500">
        <f>26521-24566</f>
        <v>1955</v>
      </c>
    </row>
    <row r="47" spans="1:13" x14ac:dyDescent="0.2">
      <c r="C47" s="246"/>
      <c r="D47" s="246"/>
      <c r="E47" s="12">
        <v>21544</v>
      </c>
      <c r="F47" s="521">
        <v>61340.160000000003</v>
      </c>
      <c r="G47" s="249" t="s">
        <v>125</v>
      </c>
      <c r="J47" s="12">
        <v>21544</v>
      </c>
      <c r="K47" s="500">
        <v>36108</v>
      </c>
    </row>
    <row r="48" spans="1:13" x14ac:dyDescent="0.2">
      <c r="C48" s="246"/>
      <c r="D48" s="246"/>
      <c r="E48" s="12">
        <v>24532</v>
      </c>
      <c r="F48" s="523">
        <v>-1132591.3500000001</v>
      </c>
      <c r="G48" s="249" t="s">
        <v>122</v>
      </c>
      <c r="J48" s="12">
        <v>24532</v>
      </c>
      <c r="K48" s="509">
        <v>-139694</v>
      </c>
    </row>
    <row r="49" spans="3:13" x14ac:dyDescent="0.2">
      <c r="C49" s="246"/>
      <c r="D49" s="246"/>
      <c r="F49" s="333">
        <f>SUM(F40:F48)</f>
        <v>-2732172.3900000006</v>
      </c>
      <c r="G49" s="246"/>
      <c r="K49" s="14">
        <f>SUM(K36:K48)</f>
        <v>-406101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140</v>
      </c>
      <c r="F51" s="138">
        <f>+Duke!C57</f>
        <v>2746174.0999999996</v>
      </c>
      <c r="M51" s="14">
        <f>+Duke!I57</f>
        <v>739316</v>
      </c>
    </row>
    <row r="53" spans="3:13" x14ac:dyDescent="0.2">
      <c r="F53" s="104">
        <f>+F51+F49</f>
        <v>14001.709999999031</v>
      </c>
      <c r="M53" s="16">
        <f>+M51+K49</f>
        <v>333215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-139694</v>
      </c>
      <c r="C69" s="247">
        <f>+F48</f>
        <v>-1132591.3500000001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-183024</v>
      </c>
      <c r="C73" s="247">
        <f>+C40</f>
        <v>-1033242.97</v>
      </c>
    </row>
    <row r="74" spans="1:3" x14ac:dyDescent="0.2">
      <c r="A74">
        <v>22051</v>
      </c>
      <c r="B74" s="31">
        <f>+J36</f>
        <v>-124425</v>
      </c>
      <c r="C74" s="247">
        <f>+E40</f>
        <v>-561787.54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186008</v>
      </c>
      <c r="C77" s="259">
        <f>+Duke!C48</f>
        <v>839679.63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380118</v>
      </c>
      <c r="C79" s="259">
        <f>+Duke!C20</f>
        <v>1534123.3199999998</v>
      </c>
    </row>
    <row r="81" spans="2:3" x14ac:dyDescent="0.2">
      <c r="B81" s="31">
        <f>SUM(B68:B80)</f>
        <v>333215</v>
      </c>
      <c r="C81" s="259">
        <f>SUM(C68:C80)</f>
        <v>14001.709999999264</v>
      </c>
    </row>
    <row r="82" spans="2:3" x14ac:dyDescent="0.2">
      <c r="C82">
        <f>+C81/B81</f>
        <v>4.2020047116724232E-2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1" workbookViewId="0">
      <selection activeCell="D34" sqref="D34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474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5948</v>
      </c>
      <c r="C10" s="11">
        <v>5488</v>
      </c>
      <c r="D10" s="11"/>
      <c r="E10" s="11"/>
      <c r="F10" s="129">
        <v>1055</v>
      </c>
      <c r="G10" s="11">
        <v>1011</v>
      </c>
      <c r="H10" s="11">
        <v>1908</v>
      </c>
      <c r="I10" s="11">
        <v>1414</v>
      </c>
      <c r="J10" s="25">
        <f t="shared" si="0"/>
        <v>-998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6198</v>
      </c>
      <c r="C11" s="11">
        <v>5488</v>
      </c>
      <c r="D11" s="11"/>
      <c r="E11" s="11"/>
      <c r="F11" s="129">
        <v>1045</v>
      </c>
      <c r="G11" s="11">
        <v>856</v>
      </c>
      <c r="H11" s="11">
        <v>1668</v>
      </c>
      <c r="I11" s="11">
        <v>1414</v>
      </c>
      <c r="J11" s="25">
        <f t="shared" si="0"/>
        <v>-1153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6168</v>
      </c>
      <c r="C12" s="11">
        <v>5488</v>
      </c>
      <c r="D12" s="11"/>
      <c r="E12" s="11"/>
      <c r="F12" s="129">
        <v>607</v>
      </c>
      <c r="G12" s="11">
        <v>1011</v>
      </c>
      <c r="H12" s="11">
        <v>1539</v>
      </c>
      <c r="I12" s="11">
        <v>1414</v>
      </c>
      <c r="J12" s="25">
        <f t="shared" si="0"/>
        <v>-401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6277</v>
      </c>
      <c r="C13" s="11">
        <v>5488</v>
      </c>
      <c r="D13" s="11">
        <v>898</v>
      </c>
      <c r="E13" s="11"/>
      <c r="F13" s="129">
        <v>978</v>
      </c>
      <c r="G13" s="11">
        <v>1011</v>
      </c>
      <c r="H13" s="11">
        <v>1481</v>
      </c>
      <c r="I13" s="11">
        <v>1414</v>
      </c>
      <c r="J13" s="25">
        <f t="shared" si="0"/>
        <v>-1721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6183</v>
      </c>
      <c r="C14" s="11">
        <v>5488</v>
      </c>
      <c r="D14" s="11">
        <v>2419</v>
      </c>
      <c r="E14" s="11"/>
      <c r="F14" s="129">
        <v>1079</v>
      </c>
      <c r="G14" s="11">
        <v>506</v>
      </c>
      <c r="H14" s="11">
        <v>1419</v>
      </c>
      <c r="I14" s="129">
        <v>1414</v>
      </c>
      <c r="J14" s="25">
        <f t="shared" si="0"/>
        <v>-3692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6277</v>
      </c>
      <c r="C15" s="11">
        <v>5488</v>
      </c>
      <c r="D15" s="11">
        <v>2312</v>
      </c>
      <c r="E15" s="11">
        <v>1000</v>
      </c>
      <c r="F15" s="129">
        <v>1035</v>
      </c>
      <c r="G15" s="11">
        <v>1007</v>
      </c>
      <c r="H15" s="11">
        <v>1405</v>
      </c>
      <c r="I15" s="11">
        <v>1414</v>
      </c>
      <c r="J15" s="25">
        <f t="shared" si="0"/>
        <v>-2120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6323</v>
      </c>
      <c r="C16" s="11">
        <v>5488</v>
      </c>
      <c r="D16" s="11">
        <v>2355</v>
      </c>
      <c r="E16" s="11">
        <v>1000</v>
      </c>
      <c r="F16" s="129">
        <v>1015</v>
      </c>
      <c r="G16" s="11">
        <v>1011</v>
      </c>
      <c r="H16" s="11">
        <v>1492</v>
      </c>
      <c r="I16" s="11">
        <v>1414</v>
      </c>
      <c r="J16" s="25">
        <f t="shared" si="0"/>
        <v>-2272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3549</v>
      </c>
      <c r="C17" s="11">
        <v>5488</v>
      </c>
      <c r="D17" s="11">
        <v>2271</v>
      </c>
      <c r="E17" s="11">
        <v>1000</v>
      </c>
      <c r="F17" s="129">
        <v>871</v>
      </c>
      <c r="G17" s="11">
        <v>1011</v>
      </c>
      <c r="H17" s="11">
        <v>1559</v>
      </c>
      <c r="I17" s="11">
        <v>1414</v>
      </c>
      <c r="J17" s="25">
        <f t="shared" si="0"/>
        <v>663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1420</v>
      </c>
      <c r="C18" s="11">
        <v>5488</v>
      </c>
      <c r="D18" s="11">
        <v>2181</v>
      </c>
      <c r="E18" s="11">
        <v>1000</v>
      </c>
      <c r="F18" s="129">
        <v>1020</v>
      </c>
      <c r="G18" s="11">
        <v>1011</v>
      </c>
      <c r="H18" s="11">
        <v>1457</v>
      </c>
      <c r="I18" s="11">
        <v>1414</v>
      </c>
      <c r="J18" s="25">
        <f t="shared" si="0"/>
        <v>2835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167</v>
      </c>
      <c r="C19" s="11">
        <v>5488</v>
      </c>
      <c r="D19" s="11">
        <v>2064</v>
      </c>
      <c r="E19" s="11">
        <v>1000</v>
      </c>
      <c r="F19" s="129">
        <v>1073</v>
      </c>
      <c r="G19" s="11">
        <v>1011</v>
      </c>
      <c r="H19" s="11">
        <v>1400</v>
      </c>
      <c r="I19" s="11">
        <v>1414</v>
      </c>
      <c r="J19" s="25">
        <f t="shared" si="0"/>
        <v>4209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4614</v>
      </c>
      <c r="C20" s="11">
        <v>5488</v>
      </c>
      <c r="D20" s="11">
        <v>2484</v>
      </c>
      <c r="E20" s="11">
        <v>1000</v>
      </c>
      <c r="F20" s="129">
        <v>961</v>
      </c>
      <c r="G20" s="11">
        <v>1011</v>
      </c>
      <c r="H20" s="11">
        <v>1376</v>
      </c>
      <c r="I20" s="11">
        <v>1414</v>
      </c>
      <c r="J20" s="25">
        <f t="shared" si="0"/>
        <v>-522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7263</v>
      </c>
      <c r="C21" s="11">
        <v>5488</v>
      </c>
      <c r="D21" s="11">
        <v>2371</v>
      </c>
      <c r="E21" s="11">
        <v>1000</v>
      </c>
      <c r="F21" s="129">
        <v>994</v>
      </c>
      <c r="G21" s="11">
        <v>1011</v>
      </c>
      <c r="H21" s="11">
        <v>818</v>
      </c>
      <c r="I21" s="11">
        <v>1414</v>
      </c>
      <c r="J21" s="25">
        <f t="shared" si="0"/>
        <v>-2533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6620</v>
      </c>
      <c r="C22" s="11">
        <v>5488</v>
      </c>
      <c r="D22" s="11">
        <v>2262</v>
      </c>
      <c r="E22" s="11">
        <v>1000</v>
      </c>
      <c r="F22" s="129">
        <v>965</v>
      </c>
      <c r="G22" s="11">
        <v>1011</v>
      </c>
      <c r="H22" s="11">
        <v>1235</v>
      </c>
      <c r="I22" s="11">
        <v>1414</v>
      </c>
      <c r="J22" s="25">
        <f t="shared" si="0"/>
        <v>-2169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6402</v>
      </c>
      <c r="C23" s="11">
        <v>5488</v>
      </c>
      <c r="D23" s="11">
        <v>2176</v>
      </c>
      <c r="E23" s="11">
        <v>1000</v>
      </c>
      <c r="F23" s="129">
        <v>951</v>
      </c>
      <c r="G23" s="11">
        <v>1011</v>
      </c>
      <c r="H23" s="11">
        <v>1214</v>
      </c>
      <c r="I23" s="11">
        <v>1414</v>
      </c>
      <c r="J23" s="25">
        <f t="shared" si="0"/>
        <v>-1830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6116</v>
      </c>
      <c r="C24" s="11">
        <v>5488</v>
      </c>
      <c r="D24" s="11">
        <v>2116</v>
      </c>
      <c r="E24" s="11">
        <v>1000</v>
      </c>
      <c r="F24" s="129">
        <v>949</v>
      </c>
      <c r="G24" s="11">
        <v>1011</v>
      </c>
      <c r="H24" s="11">
        <v>929</v>
      </c>
      <c r="I24" s="11">
        <v>1414</v>
      </c>
      <c r="J24" s="25">
        <f t="shared" si="0"/>
        <v>-1197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6326</v>
      </c>
      <c r="C25" s="11">
        <v>5488</v>
      </c>
      <c r="D25" s="11">
        <v>2017</v>
      </c>
      <c r="E25" s="11">
        <v>1000</v>
      </c>
      <c r="F25" s="129">
        <v>921</v>
      </c>
      <c r="G25" s="11">
        <v>1011</v>
      </c>
      <c r="H25" s="11">
        <v>1534</v>
      </c>
      <c r="I25" s="11">
        <v>1414</v>
      </c>
      <c r="J25" s="25">
        <f t="shared" si="0"/>
        <v>-1885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6116</v>
      </c>
      <c r="C26" s="11">
        <v>5688</v>
      </c>
      <c r="D26" s="11">
        <v>1932</v>
      </c>
      <c r="E26" s="11">
        <v>2300</v>
      </c>
      <c r="F26" s="129">
        <v>925</v>
      </c>
      <c r="G26" s="11">
        <v>1011</v>
      </c>
      <c r="H26" s="11">
        <v>1840</v>
      </c>
      <c r="I26" s="11">
        <v>1414</v>
      </c>
      <c r="J26" s="25">
        <f t="shared" si="0"/>
        <v>-400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6167</v>
      </c>
      <c r="C27" s="11">
        <v>5688</v>
      </c>
      <c r="D27" s="11">
        <v>1860</v>
      </c>
      <c r="E27" s="11">
        <v>2300</v>
      </c>
      <c r="F27" s="129">
        <v>915</v>
      </c>
      <c r="G27" s="11">
        <v>1011</v>
      </c>
      <c r="H27" s="11">
        <v>1725</v>
      </c>
      <c r="I27" s="11">
        <v>1414</v>
      </c>
      <c r="J27" s="25">
        <f t="shared" si="0"/>
        <v>-254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5989</v>
      </c>
      <c r="C28" s="11">
        <v>5688</v>
      </c>
      <c r="D28" s="11">
        <v>1807</v>
      </c>
      <c r="E28" s="11">
        <v>2300</v>
      </c>
      <c r="F28" s="129">
        <v>960</v>
      </c>
      <c r="G28" s="11">
        <v>1011</v>
      </c>
      <c r="H28" s="11">
        <v>1894</v>
      </c>
      <c r="I28" s="11">
        <v>1414</v>
      </c>
      <c r="J28" s="25">
        <f t="shared" si="0"/>
        <v>-237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5734</v>
      </c>
      <c r="C29" s="11">
        <v>5688</v>
      </c>
      <c r="D29" s="11">
        <v>1732</v>
      </c>
      <c r="E29" s="11">
        <v>2300</v>
      </c>
      <c r="F29" s="129">
        <v>937</v>
      </c>
      <c r="G29" s="11">
        <v>1011</v>
      </c>
      <c r="H29" s="11">
        <v>1915</v>
      </c>
      <c r="I29" s="11">
        <v>1414</v>
      </c>
      <c r="J29" s="25">
        <f t="shared" si="0"/>
        <v>95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5510</v>
      </c>
      <c r="C30" s="11">
        <v>5688</v>
      </c>
      <c r="D30" s="11">
        <v>1652</v>
      </c>
      <c r="E30" s="11">
        <v>2300</v>
      </c>
      <c r="F30" s="129">
        <v>921</v>
      </c>
      <c r="G30" s="11">
        <v>1011</v>
      </c>
      <c r="H30" s="11">
        <v>1733</v>
      </c>
      <c r="I30" s="11">
        <v>1414</v>
      </c>
      <c r="J30" s="25">
        <f t="shared" si="0"/>
        <v>597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5377</v>
      </c>
      <c r="C31" s="11">
        <v>5688</v>
      </c>
      <c r="D31" s="11">
        <v>1567</v>
      </c>
      <c r="E31" s="11">
        <v>2300</v>
      </c>
      <c r="F31" s="129">
        <v>307</v>
      </c>
      <c r="G31" s="11">
        <v>1011</v>
      </c>
      <c r="H31" s="11">
        <v>1634</v>
      </c>
      <c r="I31" s="11">
        <v>1414</v>
      </c>
      <c r="J31" s="25">
        <f t="shared" si="0"/>
        <v>1528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5763</v>
      </c>
      <c r="C32" s="11">
        <v>5688</v>
      </c>
      <c r="D32" s="11">
        <v>1512</v>
      </c>
      <c r="E32" s="11">
        <v>2300</v>
      </c>
      <c r="F32" s="129">
        <v>1048</v>
      </c>
      <c r="G32" s="11">
        <v>1011</v>
      </c>
      <c r="H32" s="11">
        <v>1565</v>
      </c>
      <c r="I32" s="11">
        <v>1414</v>
      </c>
      <c r="J32" s="25">
        <f t="shared" si="0"/>
        <v>525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>
        <v>6013</v>
      </c>
      <c r="C33" s="11">
        <v>5688</v>
      </c>
      <c r="D33" s="11">
        <v>1450</v>
      </c>
      <c r="E33" s="11">
        <v>2300</v>
      </c>
      <c r="F33" s="129">
        <v>1107</v>
      </c>
      <c r="G33" s="11">
        <v>1011</v>
      </c>
      <c r="H33" s="11">
        <v>1519</v>
      </c>
      <c r="I33" s="11">
        <v>1414</v>
      </c>
      <c r="J33" s="25">
        <f t="shared" si="0"/>
        <v>324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>
        <v>5935</v>
      </c>
      <c r="C34" s="11">
        <v>5688</v>
      </c>
      <c r="D34" s="11">
        <v>1378</v>
      </c>
      <c r="E34" s="11">
        <v>2300</v>
      </c>
      <c r="F34" s="129">
        <v>991</v>
      </c>
      <c r="G34" s="11">
        <v>1011</v>
      </c>
      <c r="H34" s="11">
        <v>1526</v>
      </c>
      <c r="I34" s="11">
        <v>1414</v>
      </c>
      <c r="J34" s="25">
        <f t="shared" si="0"/>
        <v>583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>
        <v>5801</v>
      </c>
      <c r="C35" s="11">
        <v>5688</v>
      </c>
      <c r="D35" s="11">
        <v>1313</v>
      </c>
      <c r="E35" s="11">
        <v>2300</v>
      </c>
      <c r="F35" s="129">
        <v>1040</v>
      </c>
      <c r="G35" s="11">
        <v>1011</v>
      </c>
      <c r="H35" s="11">
        <v>1637</v>
      </c>
      <c r="I35" s="11">
        <v>1414</v>
      </c>
      <c r="J35" s="25">
        <f t="shared" si="0"/>
        <v>622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>
        <v>5812</v>
      </c>
      <c r="C36" s="11">
        <v>5688</v>
      </c>
      <c r="D36" s="11">
        <v>1243</v>
      </c>
      <c r="E36" s="11">
        <v>2300</v>
      </c>
      <c r="F36" s="129">
        <v>1061</v>
      </c>
      <c r="G36" s="11">
        <v>1011</v>
      </c>
      <c r="H36" s="11">
        <v>1641</v>
      </c>
      <c r="I36" s="11">
        <v>1414</v>
      </c>
      <c r="J36" s="25">
        <f t="shared" si="0"/>
        <v>656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162883</v>
      </c>
      <c r="C39" s="11">
        <f t="shared" si="1"/>
        <v>161352</v>
      </c>
      <c r="D39" s="11">
        <f t="shared" si="1"/>
        <v>45372</v>
      </c>
      <c r="E39" s="11">
        <f t="shared" si="1"/>
        <v>36300</v>
      </c>
      <c r="F39" s="129">
        <f t="shared" si="1"/>
        <v>27756</v>
      </c>
      <c r="G39" s="11">
        <f t="shared" si="1"/>
        <v>28655</v>
      </c>
      <c r="H39" s="11">
        <f t="shared" si="1"/>
        <v>43531</v>
      </c>
      <c r="I39" s="11">
        <f t="shared" si="1"/>
        <v>41006</v>
      </c>
      <c r="J39" s="25">
        <f t="shared" si="1"/>
        <v>-12229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+summary!H4</f>
        <v>2.21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-27026.09</v>
      </c>
      <c r="L41"/>
      <c r="R41" s="138"/>
      <c r="X41" s="138"/>
    </row>
    <row r="42" spans="1:24" x14ac:dyDescent="0.2">
      <c r="A42" s="57">
        <v>37225</v>
      </c>
      <c r="C42" s="15"/>
      <c r="J42" s="519">
        <v>423166.07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37254</v>
      </c>
      <c r="C43" s="48"/>
      <c r="J43" s="138">
        <f>+J42+J41</f>
        <v>396139.98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152</v>
      </c>
      <c r="B46" s="32"/>
      <c r="C46" s="32"/>
      <c r="D46" s="32"/>
      <c r="L46"/>
    </row>
    <row r="47" spans="1:24" x14ac:dyDescent="0.2">
      <c r="A47" s="49">
        <f>+A42</f>
        <v>37225</v>
      </c>
      <c r="B47" s="32"/>
      <c r="C47" s="32"/>
      <c r="D47" s="509">
        <v>174196</v>
      </c>
      <c r="L47"/>
    </row>
    <row r="48" spans="1:24" x14ac:dyDescent="0.2">
      <c r="A48" s="49">
        <f>+A43</f>
        <v>37254</v>
      </c>
      <c r="B48" s="32"/>
      <c r="C48" s="32"/>
      <c r="D48" s="355">
        <f>+J39</f>
        <v>-12229</v>
      </c>
      <c r="L48"/>
    </row>
    <row r="49" spans="1:12" x14ac:dyDescent="0.2">
      <c r="A49" s="32"/>
      <c r="B49" s="32"/>
      <c r="C49" s="32"/>
      <c r="D49" s="14">
        <f>+D48+D47</f>
        <v>161967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1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188</v>
      </c>
      <c r="C6" s="285"/>
      <c r="D6" s="34" t="s">
        <v>189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11</v>
      </c>
      <c r="B7" s="437" t="s">
        <v>20</v>
      </c>
      <c r="C7" s="437" t="s">
        <v>21</v>
      </c>
      <c r="D7" s="437" t="s">
        <v>20</v>
      </c>
      <c r="E7" s="437" t="s">
        <v>21</v>
      </c>
      <c r="F7" s="437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8">
        <v>1</v>
      </c>
      <c r="B8" s="419">
        <v>12873</v>
      </c>
      <c r="C8" s="419">
        <v>10932</v>
      </c>
      <c r="D8" s="419"/>
      <c r="E8" s="419"/>
      <c r="F8" s="310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8">
        <v>2</v>
      </c>
      <c r="B9" s="419">
        <v>13275</v>
      </c>
      <c r="C9" s="419">
        <v>10932</v>
      </c>
      <c r="D9" s="419"/>
      <c r="E9" s="419"/>
      <c r="F9" s="310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8">
        <v>3</v>
      </c>
      <c r="B10" s="419">
        <v>15491</v>
      </c>
      <c r="C10" s="419">
        <v>10932</v>
      </c>
      <c r="D10" s="419">
        <v>-1</v>
      </c>
      <c r="E10" s="419"/>
      <c r="F10" s="310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8">
        <v>4</v>
      </c>
      <c r="B11" s="419">
        <v>14090</v>
      </c>
      <c r="C11" s="419">
        <v>10897</v>
      </c>
      <c r="D11" s="419">
        <v>-2</v>
      </c>
      <c r="E11" s="419"/>
      <c r="F11" s="310">
        <f t="shared" si="0"/>
        <v>-3191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8">
        <v>5</v>
      </c>
      <c r="B12" s="419">
        <v>14451</v>
      </c>
      <c r="C12" s="419">
        <v>10932</v>
      </c>
      <c r="D12" s="419">
        <v>-6</v>
      </c>
      <c r="E12" s="419"/>
      <c r="F12" s="310">
        <f t="shared" si="0"/>
        <v>-3513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8">
        <v>6</v>
      </c>
      <c r="B13" s="419">
        <v>13027</v>
      </c>
      <c r="C13" s="419">
        <v>10932</v>
      </c>
      <c r="D13" s="419">
        <v>-56</v>
      </c>
      <c r="E13" s="419"/>
      <c r="F13" s="310">
        <f t="shared" si="0"/>
        <v>-2039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8">
        <v>7</v>
      </c>
      <c r="B14" s="419">
        <v>11185</v>
      </c>
      <c r="C14" s="419">
        <v>10932</v>
      </c>
      <c r="D14" s="419">
        <v>-97</v>
      </c>
      <c r="E14" s="419"/>
      <c r="F14" s="310">
        <f t="shared" si="0"/>
        <v>-156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8">
        <v>8</v>
      </c>
      <c r="B15" s="419">
        <v>10651</v>
      </c>
      <c r="C15" s="419">
        <v>10866</v>
      </c>
      <c r="D15" s="419">
        <v>-111</v>
      </c>
      <c r="E15" s="419"/>
      <c r="F15" s="310">
        <f t="shared" si="0"/>
        <v>326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8">
        <v>9</v>
      </c>
      <c r="B16" s="419">
        <v>10898</v>
      </c>
      <c r="C16" s="419">
        <v>10932</v>
      </c>
      <c r="D16" s="419">
        <v>-36</v>
      </c>
      <c r="E16" s="419"/>
      <c r="F16" s="310">
        <f t="shared" si="0"/>
        <v>70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8">
        <v>10</v>
      </c>
      <c r="B17" s="419">
        <v>11139</v>
      </c>
      <c r="C17" s="419">
        <v>10932</v>
      </c>
      <c r="D17" s="419">
        <v>-13</v>
      </c>
      <c r="E17" s="419"/>
      <c r="F17" s="310">
        <f t="shared" si="0"/>
        <v>-194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8">
        <v>11</v>
      </c>
      <c r="B18" s="419">
        <v>11928</v>
      </c>
      <c r="C18" s="419">
        <v>10932</v>
      </c>
      <c r="D18" s="419">
        <v>-37</v>
      </c>
      <c r="E18" s="419"/>
      <c r="F18" s="310">
        <f t="shared" si="0"/>
        <v>-959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8">
        <v>12</v>
      </c>
      <c r="B19" s="419">
        <v>11557</v>
      </c>
      <c r="C19" s="419">
        <v>10157</v>
      </c>
      <c r="D19" s="419">
        <v>-23</v>
      </c>
      <c r="E19" s="419"/>
      <c r="F19" s="310">
        <f t="shared" si="0"/>
        <v>-1377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8">
        <v>13</v>
      </c>
      <c r="B20" s="419">
        <v>10718</v>
      </c>
      <c r="C20" s="419">
        <v>10157</v>
      </c>
      <c r="D20" s="419">
        <v>-36</v>
      </c>
      <c r="E20" s="419"/>
      <c r="F20" s="310">
        <f t="shared" si="0"/>
        <v>-525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8">
        <v>14</v>
      </c>
      <c r="B21" s="419">
        <v>11228</v>
      </c>
      <c r="C21" s="419">
        <v>10157</v>
      </c>
      <c r="D21" s="419">
        <v>-64</v>
      </c>
      <c r="E21" s="419"/>
      <c r="F21" s="310">
        <f t="shared" si="0"/>
        <v>-1007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8">
        <v>15</v>
      </c>
      <c r="B22" s="419">
        <v>11959</v>
      </c>
      <c r="C22" s="419">
        <v>10157</v>
      </c>
      <c r="D22" s="419">
        <v>-98</v>
      </c>
      <c r="E22" s="419"/>
      <c r="F22" s="310">
        <f t="shared" si="0"/>
        <v>-1704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8">
        <v>16</v>
      </c>
      <c r="B23" s="419">
        <v>10946</v>
      </c>
      <c r="C23" s="419">
        <v>10157</v>
      </c>
      <c r="D23" s="419">
        <v>-89</v>
      </c>
      <c r="E23" s="419"/>
      <c r="F23" s="310">
        <f t="shared" si="0"/>
        <v>-700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8">
        <v>17</v>
      </c>
      <c r="B24" s="419">
        <v>11993</v>
      </c>
      <c r="C24" s="419">
        <v>10157</v>
      </c>
      <c r="D24" s="419">
        <v>-250</v>
      </c>
      <c r="E24" s="419"/>
      <c r="F24" s="310">
        <f t="shared" si="0"/>
        <v>-1586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8">
        <v>18</v>
      </c>
      <c r="B25" s="419">
        <v>13205</v>
      </c>
      <c r="C25" s="419">
        <v>10157</v>
      </c>
      <c r="D25" s="419">
        <v>-31</v>
      </c>
      <c r="E25" s="419"/>
      <c r="F25" s="310">
        <f t="shared" si="0"/>
        <v>-3017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8">
        <v>19</v>
      </c>
      <c r="B26" s="419">
        <v>12992</v>
      </c>
      <c r="C26" s="419">
        <v>10157</v>
      </c>
      <c r="D26" s="419">
        <v>-57</v>
      </c>
      <c r="E26" s="419"/>
      <c r="F26" s="310">
        <f t="shared" si="0"/>
        <v>-2778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8">
        <v>20</v>
      </c>
      <c r="B27" s="445">
        <v>14614</v>
      </c>
      <c r="C27" s="419">
        <v>10157</v>
      </c>
      <c r="D27" s="419">
        <v>-110</v>
      </c>
      <c r="E27" s="419"/>
      <c r="F27" s="310">
        <f t="shared" si="0"/>
        <v>-4347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8">
        <v>21</v>
      </c>
      <c r="B28" s="419">
        <v>15993</v>
      </c>
      <c r="C28" s="419">
        <v>10157</v>
      </c>
      <c r="D28" s="419">
        <v>-1190</v>
      </c>
      <c r="E28" s="419"/>
      <c r="F28" s="310">
        <f t="shared" si="0"/>
        <v>-4646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8">
        <v>22</v>
      </c>
      <c r="B29" s="419">
        <v>19902</v>
      </c>
      <c r="C29" s="419">
        <v>10157</v>
      </c>
      <c r="D29" s="419">
        <v>-3524</v>
      </c>
      <c r="E29" s="419"/>
      <c r="F29" s="310">
        <f t="shared" si="0"/>
        <v>-6221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8">
        <v>23</v>
      </c>
      <c r="B30" s="419">
        <v>23570</v>
      </c>
      <c r="C30" s="419">
        <v>10157</v>
      </c>
      <c r="D30" s="419">
        <v>-3480</v>
      </c>
      <c r="E30" s="419"/>
      <c r="F30" s="310">
        <f t="shared" si="0"/>
        <v>-9933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8">
        <v>24</v>
      </c>
      <c r="B31" s="419">
        <v>17900</v>
      </c>
      <c r="C31" s="419">
        <v>10157</v>
      </c>
      <c r="D31" s="419">
        <v>-3553</v>
      </c>
      <c r="E31" s="419"/>
      <c r="F31" s="310">
        <f t="shared" si="0"/>
        <v>-4190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8">
        <v>25</v>
      </c>
      <c r="B32" s="419">
        <v>17626</v>
      </c>
      <c r="C32" s="419">
        <v>10157</v>
      </c>
      <c r="D32" s="419">
        <v>-3522</v>
      </c>
      <c r="E32" s="419"/>
      <c r="F32" s="310">
        <f t="shared" si="0"/>
        <v>-3947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8">
        <v>26</v>
      </c>
      <c r="B33" s="419">
        <v>17384</v>
      </c>
      <c r="C33" s="419">
        <v>10157</v>
      </c>
      <c r="D33" s="419">
        <v>-3519</v>
      </c>
      <c r="E33" s="419"/>
      <c r="F33" s="310">
        <f t="shared" si="0"/>
        <v>-3708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8">
        <v>27</v>
      </c>
      <c r="B34" s="419">
        <v>19657</v>
      </c>
      <c r="C34" s="419">
        <v>10157</v>
      </c>
      <c r="D34" s="419">
        <v>-3511</v>
      </c>
      <c r="E34" s="419"/>
      <c r="F34" s="310">
        <f t="shared" si="0"/>
        <v>-5989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8">
        <v>28</v>
      </c>
      <c r="B35" s="419">
        <v>20402</v>
      </c>
      <c r="C35" s="419">
        <v>10157</v>
      </c>
      <c r="D35" s="419">
        <v>-2399</v>
      </c>
      <c r="E35" s="419"/>
      <c r="F35" s="310">
        <f t="shared" si="0"/>
        <v>-7846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8">
        <v>29</v>
      </c>
      <c r="B36" s="419">
        <v>14734</v>
      </c>
      <c r="C36" s="419">
        <v>10157</v>
      </c>
      <c r="D36" s="419">
        <v>-1930</v>
      </c>
      <c r="E36" s="419"/>
      <c r="F36" s="310">
        <f t="shared" si="0"/>
        <v>-2647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8">
        <v>30</v>
      </c>
      <c r="B37" s="419"/>
      <c r="C37" s="419"/>
      <c r="D37" s="419"/>
      <c r="E37" s="419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8">
        <v>31</v>
      </c>
      <c r="B38" s="419"/>
      <c r="C38" s="419"/>
      <c r="D38" s="419"/>
      <c r="E38" s="419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8"/>
      <c r="B39" s="419">
        <f>SUM(B8:B38)</f>
        <v>415388</v>
      </c>
      <c r="C39" s="419">
        <f>SUM(C8:C38)</f>
        <v>302977</v>
      </c>
      <c r="D39" s="419">
        <f>SUM(D8:D38)</f>
        <v>-27745</v>
      </c>
      <c r="E39" s="419">
        <f>SUM(E8:E38)</f>
        <v>0</v>
      </c>
      <c r="F39" s="419">
        <f>SUM(F8:F38)</f>
        <v>-84666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9"/>
      <c r="B40" s="285"/>
      <c r="C40" s="440"/>
      <c r="D40" s="440"/>
      <c r="E40" s="440"/>
      <c r="F40" s="441">
        <f>+summary!H4</f>
        <v>2.21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42">
        <f>+F40*F39</f>
        <v>-187111.86</v>
      </c>
      <c r="J41" s="138"/>
      <c r="N41" s="138"/>
      <c r="R41" s="138"/>
      <c r="V41" s="138"/>
      <c r="Z41" s="138"/>
    </row>
    <row r="42" spans="1:26" ht="15" customHeight="1" x14ac:dyDescent="0.2">
      <c r="A42" s="56">
        <v>37225</v>
      </c>
      <c r="B42" s="285"/>
      <c r="C42" s="443"/>
      <c r="D42" s="443"/>
      <c r="E42" s="443"/>
      <c r="F42" s="510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37254</v>
      </c>
      <c r="B43" s="285"/>
      <c r="C43" s="444"/>
      <c r="D43" s="444"/>
      <c r="E43" s="444"/>
      <c r="F43" s="425">
        <f>+F42+F41</f>
        <v>205277.72000000003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152</v>
      </c>
      <c r="B46" s="32"/>
      <c r="C46" s="32"/>
      <c r="D46" s="32"/>
      <c r="E46" s="11"/>
    </row>
    <row r="47" spans="1:26" x14ac:dyDescent="0.2">
      <c r="A47" s="49">
        <f>+A42</f>
        <v>37225</v>
      </c>
      <c r="B47" s="32"/>
      <c r="C47" s="32"/>
      <c r="D47" s="509">
        <v>-260608</v>
      </c>
      <c r="E47" s="11"/>
    </row>
    <row r="48" spans="1:26" x14ac:dyDescent="0.2">
      <c r="A48" s="49">
        <f>+A43</f>
        <v>37254</v>
      </c>
      <c r="B48" s="32"/>
      <c r="C48" s="32"/>
      <c r="D48" s="355">
        <f>+F39</f>
        <v>-84666</v>
      </c>
      <c r="E48" s="11"/>
    </row>
    <row r="49" spans="1:5" x14ac:dyDescent="0.2">
      <c r="A49" s="32"/>
      <c r="B49" s="32"/>
      <c r="C49" s="32"/>
      <c r="D49" s="14">
        <f>+D48+D47</f>
        <v>-345274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topLeftCell="A35" workbookViewId="0">
      <selection activeCell="C6" sqref="C6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6" width="12.85546875" bestFit="1" customWidth="1"/>
    <col min="8" max="8" width="9.2851562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482" bestFit="1" customWidth="1"/>
    <col min="14" max="14" width="9" style="64" bestFit="1" customWidth="1"/>
  </cols>
  <sheetData>
    <row r="2" spans="1:32" ht="20.100000000000001" customHeight="1" x14ac:dyDescent="0.25">
      <c r="A2" s="346" t="s">
        <v>142</v>
      </c>
      <c r="G2" s="370" t="s">
        <v>79</v>
      </c>
      <c r="H2" s="350"/>
    </row>
    <row r="3" spans="1:32" ht="15" customHeight="1" x14ac:dyDescent="0.2">
      <c r="G3" s="289" t="s">
        <v>30</v>
      </c>
      <c r="H3" s="349">
        <f>+'[1]1001'!$K$39</f>
        <v>2.2000000000000002</v>
      </c>
      <c r="I3" s="381">
        <f ca="1">NOW()</f>
        <v>37256.655859606479</v>
      </c>
    </row>
    <row r="4" spans="1:32" ht="15" customHeight="1" x14ac:dyDescent="0.2">
      <c r="A4" s="34" t="s">
        <v>148</v>
      </c>
      <c r="C4" s="34" t="s">
        <v>5</v>
      </c>
      <c r="G4" s="290" t="s">
        <v>31</v>
      </c>
      <c r="H4" s="291">
        <f>+'[1]1001'!$M$39</f>
        <v>2.21</v>
      </c>
    </row>
    <row r="5" spans="1:32" ht="15" customHeight="1" x14ac:dyDescent="0.2">
      <c r="B5" s="348"/>
      <c r="G5" s="289" t="s">
        <v>118</v>
      </c>
      <c r="H5" s="349">
        <f>+'[1]1001'!$E$39</f>
        <v>2.2200000000000002</v>
      </c>
    </row>
    <row r="6" spans="1:32" ht="12" customHeight="1" x14ac:dyDescent="0.2">
      <c r="C6" s="448"/>
    </row>
    <row r="7" spans="1:32" ht="15" customHeight="1" x14ac:dyDescent="0.2">
      <c r="A7" s="338" t="s">
        <v>90</v>
      </c>
      <c r="B7" s="339" t="s">
        <v>17</v>
      </c>
      <c r="C7" s="340" t="s">
        <v>0</v>
      </c>
      <c r="D7" s="5" t="s">
        <v>149</v>
      </c>
      <c r="E7" s="338" t="s">
        <v>91</v>
      </c>
      <c r="F7" s="341" t="s">
        <v>102</v>
      </c>
      <c r="G7" s="338" t="s">
        <v>99</v>
      </c>
    </row>
    <row r="8" spans="1:32" ht="15" customHeight="1" x14ac:dyDescent="0.2">
      <c r="A8" s="204" t="s">
        <v>257</v>
      </c>
      <c r="B8" s="493">
        <f>+Duke!$C$20</f>
        <v>1534123.3199999998</v>
      </c>
      <c r="C8" s="206">
        <f>+B8/$H$5</f>
        <v>691046.54054054036</v>
      </c>
      <c r="D8" s="371">
        <f>+Duke!A7</f>
        <v>37251</v>
      </c>
      <c r="E8" s="204" t="s">
        <v>86</v>
      </c>
      <c r="F8" s="204" t="s">
        <v>101</v>
      </c>
      <c r="G8" s="204" t="s">
        <v>320</v>
      </c>
      <c r="H8" s="70"/>
      <c r="I8" s="47"/>
      <c r="J8" s="32"/>
      <c r="K8" s="32"/>
      <c r="L8" s="32"/>
      <c r="M8" s="38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04" t="s">
        <v>264</v>
      </c>
      <c r="B9" s="493">
        <f>+Duke!$C$54+Duke!$C$53+Duke!$C$48+Duke!$C$33</f>
        <v>1212050.78</v>
      </c>
      <c r="C9" s="206">
        <f>+B9/$H$5</f>
        <v>545968.81981981976</v>
      </c>
      <c r="D9" s="371">
        <f>+DEFS!A40</f>
        <v>37250</v>
      </c>
      <c r="E9" s="204" t="s">
        <v>86</v>
      </c>
      <c r="F9" s="204" t="s">
        <v>101</v>
      </c>
      <c r="G9" s="204" t="s">
        <v>322</v>
      </c>
      <c r="H9" s="32"/>
      <c r="I9" s="47"/>
      <c r="J9" s="32"/>
      <c r="K9" s="32"/>
      <c r="L9" s="32"/>
      <c r="M9" s="38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480" t="s">
        <v>83</v>
      </c>
      <c r="B10" s="493">
        <f>+PNM!$D$23</f>
        <v>697802</v>
      </c>
      <c r="C10" s="275">
        <f>+B10/$H$4</f>
        <v>315747.51131221722</v>
      </c>
      <c r="D10" s="372">
        <f>+PNM!A23</f>
        <v>37254</v>
      </c>
      <c r="E10" s="32" t="s">
        <v>86</v>
      </c>
      <c r="F10" s="32" t="s">
        <v>116</v>
      </c>
      <c r="G10" s="32"/>
      <c r="H10" s="32"/>
      <c r="I10" s="32"/>
      <c r="J10" s="32"/>
      <c r="K10" s="32"/>
      <c r="L10" s="32"/>
      <c r="M10" s="38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480" t="s">
        <v>81</v>
      </c>
      <c r="B11" s="493">
        <f>+Conoco!$F$41</f>
        <v>441086.55</v>
      </c>
      <c r="C11" s="275">
        <f>+B11/$H$4</f>
        <v>199586.6742081448</v>
      </c>
      <c r="D11" s="371">
        <f>+Conoco!A41</f>
        <v>37254</v>
      </c>
      <c r="E11" s="32" t="s">
        <v>86</v>
      </c>
      <c r="F11" s="32" t="s">
        <v>114</v>
      </c>
      <c r="G11" s="32" t="s">
        <v>145</v>
      </c>
      <c r="H11" s="32"/>
      <c r="I11" s="32"/>
      <c r="J11" s="32"/>
      <c r="K11" s="32"/>
      <c r="L11" s="32"/>
      <c r="M11" s="38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480" t="s">
        <v>95</v>
      </c>
      <c r="B12" s="493">
        <f>+C12*$H$4</f>
        <v>408204.68</v>
      </c>
      <c r="C12" s="275">
        <f>+Mojave!D40</f>
        <v>184708</v>
      </c>
      <c r="D12" s="372">
        <f>+Mojave!A40</f>
        <v>37250</v>
      </c>
      <c r="E12" s="32" t="s">
        <v>85</v>
      </c>
      <c r="F12" s="32" t="s">
        <v>101</v>
      </c>
      <c r="G12" s="32"/>
      <c r="H12" s="32"/>
      <c r="I12" s="32"/>
      <c r="J12" s="32"/>
      <c r="K12" s="32"/>
      <c r="L12" s="32"/>
      <c r="M12" s="38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480" t="s">
        <v>2</v>
      </c>
      <c r="B13" s="493">
        <f>+mewborne!$J$43</f>
        <v>396139.98</v>
      </c>
      <c r="C13" s="275">
        <f>+B13/$H$4</f>
        <v>179248.8597285068</v>
      </c>
      <c r="D13" s="372">
        <f>+mewborne!A43</f>
        <v>37254</v>
      </c>
      <c r="E13" s="32" t="s">
        <v>86</v>
      </c>
      <c r="F13" s="32" t="s">
        <v>100</v>
      </c>
      <c r="G13" s="32"/>
      <c r="H13" s="32"/>
      <c r="I13" s="32"/>
      <c r="J13" s="32"/>
      <c r="K13" s="32"/>
      <c r="L13" s="32"/>
      <c r="M13" s="38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480" t="s">
        <v>108</v>
      </c>
      <c r="B14" s="493">
        <f>+KN_Westar!F41</f>
        <v>375813.96</v>
      </c>
      <c r="C14" s="275">
        <f>+B14/$H$4</f>
        <v>170051.56561085975</v>
      </c>
      <c r="D14" s="372">
        <f>+KN_Westar!A41</f>
        <v>37250</v>
      </c>
      <c r="E14" s="32" t="s">
        <v>86</v>
      </c>
      <c r="F14" s="32" t="s">
        <v>101</v>
      </c>
      <c r="G14" s="32"/>
      <c r="H14" s="32"/>
      <c r="I14" s="32"/>
      <c r="J14" s="32"/>
      <c r="K14" s="32"/>
      <c r="L14" s="32"/>
      <c r="M14" s="38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480" t="s">
        <v>89</v>
      </c>
      <c r="B15" s="493">
        <f>+C15*$H$5</f>
        <v>257702.04</v>
      </c>
      <c r="C15" s="275">
        <f>+NGPL!F38</f>
        <v>116082</v>
      </c>
      <c r="D15" s="372">
        <f>+NGPL!A38</f>
        <v>37254</v>
      </c>
      <c r="E15" s="204" t="s">
        <v>85</v>
      </c>
      <c r="F15" s="32" t="s">
        <v>116</v>
      </c>
      <c r="G15" s="32"/>
      <c r="H15" s="32"/>
      <c r="I15" s="32"/>
      <c r="J15" s="32"/>
      <c r="K15" s="32"/>
      <c r="L15" s="32"/>
      <c r="M15" s="387">
        <f>+B8+B9+B37</f>
        <v>14001.709999999031</v>
      </c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479" t="s">
        <v>33</v>
      </c>
      <c r="B16" s="493">
        <f>+C16*$H$4</f>
        <v>236518.62</v>
      </c>
      <c r="C16" s="206">
        <f>+SoCal!F40</f>
        <v>107022</v>
      </c>
      <c r="D16" s="371">
        <f>+SoCal!A40</f>
        <v>37254</v>
      </c>
      <c r="E16" s="204" t="s">
        <v>85</v>
      </c>
      <c r="F16" s="204" t="s">
        <v>103</v>
      </c>
      <c r="G16" s="32"/>
      <c r="H16" s="32"/>
      <c r="I16" s="32"/>
      <c r="J16" s="32"/>
      <c r="K16" s="32"/>
      <c r="L16" s="32"/>
      <c r="M16" s="38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479" t="s">
        <v>129</v>
      </c>
      <c r="B17" s="493">
        <f>+Calpine!D41</f>
        <v>231414.48</v>
      </c>
      <c r="C17" s="206">
        <f>+B17/$H$4</f>
        <v>104712.43438914028</v>
      </c>
      <c r="D17" s="371">
        <f>+Calpine!A41</f>
        <v>37254</v>
      </c>
      <c r="E17" s="204" t="s">
        <v>86</v>
      </c>
      <c r="F17" s="204" t="s">
        <v>100</v>
      </c>
      <c r="G17" s="204"/>
      <c r="H17" s="32"/>
      <c r="I17" s="32"/>
      <c r="J17" s="32"/>
      <c r="K17" s="32"/>
      <c r="L17" s="32"/>
      <c r="M17" s="38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480" t="s">
        <v>3</v>
      </c>
      <c r="B18" s="493">
        <f>+'Amoco Abo'!$F$43</f>
        <v>205277.72000000003</v>
      </c>
      <c r="C18" s="275">
        <f>+B18/$H$4</f>
        <v>92885.846153846171</v>
      </c>
      <c r="D18" s="372">
        <f>+'Amoco Abo'!A43</f>
        <v>37254</v>
      </c>
      <c r="E18" s="32" t="s">
        <v>86</v>
      </c>
      <c r="F18" s="32" t="s">
        <v>116</v>
      </c>
      <c r="G18" s="32"/>
      <c r="H18" s="32"/>
      <c r="I18" s="32"/>
      <c r="J18" s="32"/>
      <c r="K18" s="32"/>
      <c r="L18" s="32"/>
      <c r="M18" s="38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480" t="s">
        <v>214</v>
      </c>
      <c r="B19" s="493">
        <f>+Dominion!D41</f>
        <v>179619.41</v>
      </c>
      <c r="C19" s="275">
        <f>+B19/$H$5</f>
        <v>80909.644144144142</v>
      </c>
      <c r="D19" s="372">
        <f>+Dominion!A41</f>
        <v>37254</v>
      </c>
      <c r="E19" s="32" t="s">
        <v>86</v>
      </c>
      <c r="F19" s="32" t="s">
        <v>100</v>
      </c>
      <c r="G19" s="32"/>
      <c r="H19" s="32"/>
      <c r="I19" s="32"/>
      <c r="J19" s="32"/>
      <c r="K19" s="32"/>
      <c r="L19" s="32"/>
      <c r="M19" s="38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480" t="s">
        <v>217</v>
      </c>
      <c r="B20" s="493">
        <f>+Devon!D41</f>
        <v>158884.53</v>
      </c>
      <c r="C20" s="275">
        <f>+B20/$H$5</f>
        <v>71569.608108108107</v>
      </c>
      <c r="D20" s="372">
        <f>+Devon!A41</f>
        <v>37254</v>
      </c>
      <c r="E20" s="32" t="s">
        <v>86</v>
      </c>
      <c r="F20" s="32" t="s">
        <v>100</v>
      </c>
      <c r="G20" s="32"/>
      <c r="H20" s="32"/>
      <c r="I20" s="32"/>
      <c r="J20" s="32"/>
      <c r="K20" s="32"/>
      <c r="L20" s="32"/>
      <c r="M20" s="38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480" t="s">
        <v>115</v>
      </c>
      <c r="B21" s="493">
        <f>+C21*$H$4</f>
        <v>124321.34</v>
      </c>
      <c r="C21" s="206">
        <f>+'PG&amp;E'!D40</f>
        <v>56254</v>
      </c>
      <c r="D21" s="372">
        <f>+'PG&amp;E'!A40</f>
        <v>37254</v>
      </c>
      <c r="E21" s="32" t="s">
        <v>85</v>
      </c>
      <c r="F21" s="32" t="s">
        <v>103</v>
      </c>
      <c r="G21" s="32"/>
      <c r="H21" s="32"/>
      <c r="I21" s="32"/>
      <c r="J21" s="32"/>
      <c r="K21" s="32"/>
      <c r="L21" s="32" t="s">
        <v>251</v>
      </c>
      <c r="M21" s="387">
        <v>23995</v>
      </c>
      <c r="N21" s="70">
        <v>-1023166</v>
      </c>
      <c r="O21" s="32" t="s">
        <v>253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480" t="s">
        <v>225</v>
      </c>
      <c r="B22" s="493">
        <f>+Amarillo!P41</f>
        <v>113319.47</v>
      </c>
      <c r="C22" s="275">
        <f>+B22/$H$4</f>
        <v>51275.778280542989</v>
      </c>
      <c r="D22" s="372">
        <f>+Amarillo!A41</f>
        <v>37250</v>
      </c>
      <c r="E22" s="32" t="s">
        <v>86</v>
      </c>
      <c r="F22" s="32" t="s">
        <v>114</v>
      </c>
      <c r="G22" s="32"/>
      <c r="H22" s="32"/>
      <c r="I22" s="32"/>
      <c r="J22" s="32"/>
      <c r="K22" s="32"/>
      <c r="L22" s="32" t="s">
        <v>251</v>
      </c>
      <c r="M22" s="387">
        <v>22051</v>
      </c>
      <c r="N22" s="70">
        <v>-527215</v>
      </c>
      <c r="O22" s="32" t="s">
        <v>254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480" t="s">
        <v>131</v>
      </c>
      <c r="B23" s="493">
        <f>+EPFS!D41</f>
        <v>87941.75</v>
      </c>
      <c r="C23" s="206">
        <f>+B23/$H$5</f>
        <v>39613.400900900895</v>
      </c>
      <c r="D23" s="371">
        <f>+EPFS!A41</f>
        <v>37254</v>
      </c>
      <c r="E23" s="32" t="s">
        <v>86</v>
      </c>
      <c r="F23" s="32" t="s">
        <v>103</v>
      </c>
      <c r="G23" s="32"/>
      <c r="H23" s="32"/>
      <c r="I23" s="32"/>
      <c r="J23" s="32"/>
      <c r="K23" s="32"/>
      <c r="L23" s="32" t="s">
        <v>251</v>
      </c>
      <c r="M23" s="387">
        <v>22864</v>
      </c>
      <c r="N23" s="70">
        <v>-58339.66</v>
      </c>
      <c r="O23" s="32" t="s">
        <v>255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5" customHeight="1" x14ac:dyDescent="0.2">
      <c r="A24" s="480" t="s">
        <v>24</v>
      </c>
      <c r="B24" s="493">
        <f>+C24*$H$3</f>
        <v>78733.600000000006</v>
      </c>
      <c r="C24" s="353">
        <f>+'Red C'!$F$45</f>
        <v>35788</v>
      </c>
      <c r="D24" s="371">
        <f>+'Red C'!A45</f>
        <v>37254</v>
      </c>
      <c r="E24" s="204" t="s">
        <v>85</v>
      </c>
      <c r="F24" s="32" t="s">
        <v>116</v>
      </c>
      <c r="G24" s="32"/>
      <c r="H24" s="15"/>
      <c r="I24" s="32"/>
      <c r="J24" s="32"/>
      <c r="K24" s="32"/>
      <c r="L24" s="32" t="s">
        <v>251</v>
      </c>
      <c r="M24" s="387">
        <v>20379</v>
      </c>
      <c r="N24" s="70">
        <v>-51695.87</v>
      </c>
      <c r="O24" s="32" t="s">
        <v>255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04" t="s">
        <v>34</v>
      </c>
      <c r="B25" s="493">
        <f>+'El Paso'!C39*summary!H4+'El Paso'!E39*summary!H3</f>
        <v>70643.459999999977</v>
      </c>
      <c r="C25" s="275">
        <f>+'El Paso'!H39</f>
        <v>31819</v>
      </c>
      <c r="D25" s="371">
        <f>+'El Paso'!A39</f>
        <v>37254</v>
      </c>
      <c r="E25" s="204" t="s">
        <v>85</v>
      </c>
      <c r="F25" s="204" t="s">
        <v>101</v>
      </c>
      <c r="G25" s="204"/>
      <c r="H25" s="204"/>
      <c r="I25" s="32"/>
      <c r="J25" s="32"/>
      <c r="K25" s="32"/>
      <c r="L25" s="32" t="s">
        <v>251</v>
      </c>
      <c r="M25" s="387">
        <v>26357</v>
      </c>
      <c r="N25" s="70">
        <v>44144.84</v>
      </c>
      <c r="O25" s="32" t="s">
        <v>255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479" t="s">
        <v>141</v>
      </c>
      <c r="B26" s="493">
        <f>+'Citizens-Griffith'!D41</f>
        <v>67511.320000000007</v>
      </c>
      <c r="C26" s="275">
        <f>+B26/$H$4</f>
        <v>30548.108597285071</v>
      </c>
      <c r="D26" s="371">
        <f>+'Citizens-Griffith'!A41</f>
        <v>37250</v>
      </c>
      <c r="E26" s="204" t="s">
        <v>86</v>
      </c>
      <c r="F26" s="204" t="s">
        <v>100</v>
      </c>
      <c r="G26" s="204"/>
      <c r="H26" s="32"/>
      <c r="I26" s="32"/>
      <c r="J26" s="32"/>
      <c r="K26" s="32"/>
      <c r="L26" s="32" t="s">
        <v>251</v>
      </c>
      <c r="M26" s="387">
        <v>21544</v>
      </c>
      <c r="N26" s="70">
        <v>61340.160000000003</v>
      </c>
      <c r="O26" s="32" t="s">
        <v>255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93" customFormat="1" ht="12.95" customHeight="1" x14ac:dyDescent="0.2">
      <c r="A27" s="481" t="s">
        <v>80</v>
      </c>
      <c r="B27" s="492">
        <f>+Agave!$D$24</f>
        <v>66175.759999999995</v>
      </c>
      <c r="C27" s="472">
        <f>+B27/$H$4</f>
        <v>29943.782805429862</v>
      </c>
      <c r="D27" s="471">
        <f>+Agave!A24</f>
        <v>37254</v>
      </c>
      <c r="E27" s="451" t="s">
        <v>86</v>
      </c>
      <c r="F27" s="451" t="s">
        <v>103</v>
      </c>
      <c r="G27" s="451"/>
      <c r="H27" s="32"/>
      <c r="I27" s="204"/>
      <c r="J27" s="204"/>
      <c r="K27" s="204"/>
      <c r="L27" s="32" t="s">
        <v>251</v>
      </c>
      <c r="M27" s="483">
        <v>24532</v>
      </c>
      <c r="N27" s="273">
        <v>-956477</v>
      </c>
      <c r="O27" s="273">
        <f>SUM(N21:N27)</f>
        <v>-2511408.5300000003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</row>
    <row r="28" spans="1:32" s="293" customFormat="1" ht="13.5" customHeight="1" x14ac:dyDescent="0.2">
      <c r="A28" s="480" t="s">
        <v>133</v>
      </c>
      <c r="B28" s="493">
        <f>+SidR!D41</f>
        <v>47538.85</v>
      </c>
      <c r="C28" s="275">
        <f>+B28/$H$5</f>
        <v>21413.896396396394</v>
      </c>
      <c r="D28" s="372">
        <f>+SidR!A41</f>
        <v>37254</v>
      </c>
      <c r="E28" s="32" t="s">
        <v>86</v>
      </c>
      <c r="F28" s="32" t="s">
        <v>103</v>
      </c>
      <c r="G28" s="32"/>
      <c r="H28" s="204"/>
      <c r="I28" s="204"/>
      <c r="J28" s="204"/>
      <c r="K28" s="204"/>
      <c r="L28" s="204" t="s">
        <v>250</v>
      </c>
      <c r="M28" s="483">
        <v>24268</v>
      </c>
      <c r="N28" s="273">
        <v>1481856.66</v>
      </c>
      <c r="O28" s="273">
        <f>+N28</f>
        <v>1481856.66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</row>
    <row r="29" spans="1:32" s="293" customFormat="1" ht="13.5" customHeight="1" x14ac:dyDescent="0.2">
      <c r="A29" s="204" t="s">
        <v>96</v>
      </c>
      <c r="B29" s="493">
        <f>+burlington!D42</f>
        <v>47418.600000000006</v>
      </c>
      <c r="C29" s="275">
        <f>+B29/$H$3</f>
        <v>21553.909090909092</v>
      </c>
      <c r="D29" s="371">
        <f>+burlington!A42</f>
        <v>37254</v>
      </c>
      <c r="E29" s="204" t="s">
        <v>86</v>
      </c>
      <c r="F29" s="32" t="s">
        <v>114</v>
      </c>
      <c r="G29" s="32"/>
      <c r="H29" s="204"/>
      <c r="I29" s="204"/>
      <c r="J29" s="204"/>
      <c r="K29" s="204"/>
      <c r="L29" s="204"/>
      <c r="M29" s="483"/>
      <c r="N29" s="273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</row>
    <row r="30" spans="1:32" s="293" customFormat="1" ht="13.5" customHeight="1" x14ac:dyDescent="0.2">
      <c r="A30" s="480" t="s">
        <v>111</v>
      </c>
      <c r="B30" s="493">
        <f>+C30*$H$4</f>
        <v>36084.879999999997</v>
      </c>
      <c r="C30" s="275">
        <f>+CIG!D42</f>
        <v>16328</v>
      </c>
      <c r="D30" s="372">
        <f>+CIG!A42</f>
        <v>37250</v>
      </c>
      <c r="E30" s="204" t="s">
        <v>85</v>
      </c>
      <c r="F30" s="32" t="s">
        <v>114</v>
      </c>
      <c r="G30" s="32"/>
      <c r="H30" s="204"/>
      <c r="I30" s="204"/>
      <c r="J30" s="204"/>
      <c r="K30" s="204"/>
      <c r="L30" s="204"/>
      <c r="M30" s="483"/>
      <c r="N30" s="273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</row>
    <row r="31" spans="1:32" s="293" customFormat="1" ht="13.5" customHeight="1" x14ac:dyDescent="0.2">
      <c r="A31" s="480" t="s">
        <v>313</v>
      </c>
      <c r="B31" s="493">
        <f>+'WTG inc'!N43</f>
        <v>35152.19</v>
      </c>
      <c r="C31" s="275">
        <f>+B31/$H$4</f>
        <v>15905.968325791857</v>
      </c>
      <c r="D31" s="372">
        <f>+'WTG inc'!A43</f>
        <v>37254</v>
      </c>
      <c r="E31" s="32" t="s">
        <v>86</v>
      </c>
      <c r="F31" s="32" t="s">
        <v>103</v>
      </c>
      <c r="G31" s="204"/>
      <c r="H31" s="204"/>
      <c r="I31" s="204"/>
      <c r="J31" s="204"/>
      <c r="K31" s="204"/>
      <c r="L31" s="204"/>
      <c r="M31" s="483"/>
      <c r="N31" s="273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</row>
    <row r="32" spans="1:32" ht="13.5" customHeight="1" x14ac:dyDescent="0.2">
      <c r="A32" s="479" t="s">
        <v>110</v>
      </c>
      <c r="B32" s="493">
        <f>+Continental!F43</f>
        <v>32702.49</v>
      </c>
      <c r="C32" s="206">
        <f>+B32/$H$4</f>
        <v>14797.506787330318</v>
      </c>
      <c r="D32" s="371">
        <f>+Continental!A43</f>
        <v>37250</v>
      </c>
      <c r="E32" s="204" t="s">
        <v>86</v>
      </c>
      <c r="F32" s="204" t="s">
        <v>116</v>
      </c>
      <c r="G32" s="204"/>
      <c r="H32" s="32"/>
      <c r="I32" s="32"/>
      <c r="J32" s="32"/>
      <c r="K32" s="32"/>
      <c r="L32" s="32"/>
      <c r="M32" s="387"/>
      <c r="N32" s="70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293" customFormat="1" ht="13.5" customHeight="1" x14ac:dyDescent="0.2">
      <c r="A33" s="480" t="s">
        <v>32</v>
      </c>
      <c r="B33" s="532">
        <f>+Lonestar!F43</f>
        <v>23912.880000000001</v>
      </c>
      <c r="C33" s="71">
        <f>+B33/$H$5</f>
        <v>10771.567567567567</v>
      </c>
      <c r="D33" s="371">
        <f>+Lonestar!A43</f>
        <v>37254</v>
      </c>
      <c r="E33" s="32" t="s">
        <v>85</v>
      </c>
      <c r="F33" s="32" t="s">
        <v>103</v>
      </c>
      <c r="G33" s="32" t="s">
        <v>323</v>
      </c>
      <c r="H33" s="204"/>
      <c r="I33" s="204"/>
      <c r="J33" s="204"/>
      <c r="K33" s="204"/>
      <c r="L33" s="32" t="s">
        <v>252</v>
      </c>
      <c r="M33" s="387">
        <v>24361</v>
      </c>
      <c r="N33" s="70">
        <v>811179.69</v>
      </c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</row>
    <row r="34" spans="1:32" ht="18" customHeight="1" x14ac:dyDescent="0.2">
      <c r="A34" s="32" t="s">
        <v>97</v>
      </c>
      <c r="B34" s="47">
        <f>SUM(B8:B33)</f>
        <v>7166094.6599999983</v>
      </c>
      <c r="C34" s="69">
        <f>SUM(C8:C33)</f>
        <v>3235552.4227674813</v>
      </c>
      <c r="D34" s="203"/>
      <c r="E34" s="32"/>
      <c r="F34" s="32"/>
      <c r="G34" s="32"/>
      <c r="H34" s="32"/>
      <c r="I34" s="32"/>
      <c r="J34" s="32"/>
      <c r="K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2"/>
      <c r="B35" s="47"/>
      <c r="C35" s="69"/>
      <c r="D35" s="203"/>
      <c r="E35" s="32"/>
      <c r="F35" s="356"/>
      <c r="G35" s="32"/>
      <c r="H35" s="32"/>
      <c r="I35" s="32"/>
      <c r="J35" s="32"/>
      <c r="K35" s="32"/>
      <c r="L35" s="32"/>
      <c r="M35" s="387"/>
      <c r="N35" s="70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38" t="s">
        <v>90</v>
      </c>
      <c r="B36" s="339" t="s">
        <v>17</v>
      </c>
      <c r="C36" s="340" t="s">
        <v>0</v>
      </c>
      <c r="D36" s="347" t="s">
        <v>149</v>
      </c>
      <c r="E36" s="338" t="s">
        <v>91</v>
      </c>
      <c r="F36" s="341" t="s">
        <v>102</v>
      </c>
      <c r="G36" s="338" t="s">
        <v>99</v>
      </c>
      <c r="H36" s="32"/>
      <c r="I36" s="32"/>
      <c r="J36" s="32"/>
      <c r="K36" s="32"/>
      <c r="L36" s="32"/>
      <c r="M36" s="387"/>
      <c r="N36" s="70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204" t="s">
        <v>256</v>
      </c>
      <c r="B37" s="495">
        <f>+DEFS!$C$40+DEFS!$E$40+DEFS!$F$44+DEFS!$F$45+DEFS!$F$46+DEFS!$F$47+DEFS!$F$48</f>
        <v>-2732172.3900000006</v>
      </c>
      <c r="C37" s="353">
        <f>+B37/$H$5</f>
        <v>-1230708.2837837839</v>
      </c>
      <c r="D37" s="371">
        <f>+DEFS!A40</f>
        <v>37250</v>
      </c>
      <c r="E37" s="204" t="s">
        <v>86</v>
      </c>
      <c r="F37" s="32" t="s">
        <v>101</v>
      </c>
      <c r="G37" s="32" t="s">
        <v>321</v>
      </c>
      <c r="H37" s="32"/>
      <c r="I37" s="32"/>
      <c r="J37" s="32"/>
      <c r="K37" s="32"/>
      <c r="L37" s="32"/>
      <c r="M37" s="387"/>
      <c r="N37" s="70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204" t="s">
        <v>137</v>
      </c>
      <c r="B38" s="493">
        <f>+Citizens!D18</f>
        <v>-533028.96</v>
      </c>
      <c r="C38" s="206">
        <f>+B38/$H$4</f>
        <v>-241189.57466063346</v>
      </c>
      <c r="D38" s="371">
        <f>+Citizens!A18</f>
        <v>37251</v>
      </c>
      <c r="E38" s="204" t="s">
        <v>86</v>
      </c>
      <c r="F38" s="204" t="s">
        <v>100</v>
      </c>
      <c r="G38" s="357"/>
      <c r="H38" s="32"/>
      <c r="I38" s="32"/>
      <c r="J38" s="32"/>
      <c r="K38" s="32"/>
      <c r="L38" s="32"/>
      <c r="M38" s="387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32" t="s">
        <v>135</v>
      </c>
      <c r="B39" s="493">
        <f>+'NS Steel'!D41</f>
        <v>-355639.34</v>
      </c>
      <c r="C39" s="206">
        <f>+B39/$H$4</f>
        <v>-160922.77828054299</v>
      </c>
      <c r="D39" s="372">
        <f>+'NS Steel'!A41</f>
        <v>37250</v>
      </c>
      <c r="E39" s="32" t="s">
        <v>86</v>
      </c>
      <c r="F39" s="32" t="s">
        <v>101</v>
      </c>
      <c r="G39" s="357"/>
      <c r="H39" s="32"/>
      <c r="I39" s="32"/>
      <c r="J39" s="32"/>
      <c r="K39" s="32"/>
      <c r="L39" s="32"/>
      <c r="M39" s="38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04" t="s">
        <v>268</v>
      </c>
      <c r="B40" s="493">
        <f>+MiVida_Rich!D41</f>
        <v>-195699.5</v>
      </c>
      <c r="C40" s="206">
        <f>+B40/$H$5</f>
        <v>-88152.927927927914</v>
      </c>
      <c r="D40" s="371">
        <f>+MiVida_Rich!A41</f>
        <v>37225</v>
      </c>
      <c r="E40" s="204" t="s">
        <v>86</v>
      </c>
      <c r="F40" s="204" t="s">
        <v>100</v>
      </c>
      <c r="G40" s="357"/>
      <c r="H40" s="32"/>
      <c r="I40" s="32"/>
      <c r="J40" s="32"/>
      <c r="K40" s="32"/>
      <c r="L40" s="32"/>
      <c r="M40" s="38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32" t="s">
        <v>223</v>
      </c>
      <c r="B41" s="493">
        <f>+crosstex!F41</f>
        <v>-129182.78</v>
      </c>
      <c r="C41" s="206">
        <f>+B41/$H$4</f>
        <v>-58453.74660633484</v>
      </c>
      <c r="D41" s="372">
        <f>+crosstex!A41</f>
        <v>37254</v>
      </c>
      <c r="E41" s="32" t="s">
        <v>86</v>
      </c>
      <c r="F41" s="32" t="s">
        <v>101</v>
      </c>
      <c r="G41" s="357"/>
      <c r="H41" s="32"/>
      <c r="I41" s="32"/>
      <c r="J41" s="32"/>
      <c r="K41" s="32"/>
      <c r="L41" s="32"/>
      <c r="M41" s="38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s="293" customFormat="1" ht="12.95" customHeight="1" x14ac:dyDescent="0.2">
      <c r="A42" s="479" t="s">
        <v>29</v>
      </c>
      <c r="B42" s="493">
        <f>+C42*$H$3</f>
        <v>-106810.00000000001</v>
      </c>
      <c r="C42" s="275">
        <f>+williams!J35</f>
        <v>-48550</v>
      </c>
      <c r="D42" s="371">
        <f>+williams!A40</f>
        <v>37254</v>
      </c>
      <c r="E42" s="204" t="s">
        <v>86</v>
      </c>
      <c r="F42" s="204" t="s">
        <v>147</v>
      </c>
      <c r="G42" s="2"/>
      <c r="H42" s="204"/>
      <c r="I42" s="204"/>
      <c r="J42" s="204"/>
      <c r="K42" s="204"/>
      <c r="L42" s="204"/>
      <c r="M42" s="483"/>
      <c r="N42" s="273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4"/>
      <c r="AF42" s="204"/>
    </row>
    <row r="43" spans="1:32" s="293" customFormat="1" ht="13.5" customHeight="1" x14ac:dyDescent="0.2">
      <c r="A43" s="32" t="s">
        <v>150</v>
      </c>
      <c r="B43" s="493">
        <f>+PGETX!$H$39</f>
        <v>-72097.48</v>
      </c>
      <c r="C43" s="275">
        <f>+B43/$H$4</f>
        <v>-32623.294117647056</v>
      </c>
      <c r="D43" s="372">
        <f>+PGETX!E39</f>
        <v>37254</v>
      </c>
      <c r="E43" s="32" t="s">
        <v>86</v>
      </c>
      <c r="F43" s="32" t="s">
        <v>103</v>
      </c>
      <c r="G43" s="32"/>
      <c r="H43" s="204"/>
      <c r="I43" s="204"/>
      <c r="J43" s="204"/>
      <c r="K43" s="204"/>
      <c r="L43" s="204"/>
      <c r="M43" s="483"/>
      <c r="N43" s="273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</row>
    <row r="44" spans="1:32" s="246" customFormat="1" ht="13.5" customHeight="1" x14ac:dyDescent="0.2">
      <c r="A44" s="32" t="s">
        <v>6</v>
      </c>
      <c r="B44" s="493">
        <f>+C44*$H$3</f>
        <v>-60011.600000000006</v>
      </c>
      <c r="C44" s="275">
        <f>+Amoco!D40</f>
        <v>-27278</v>
      </c>
      <c r="D44" s="372">
        <f>+Amoco!A40</f>
        <v>37254</v>
      </c>
      <c r="E44" s="32" t="s">
        <v>85</v>
      </c>
      <c r="F44" s="32" t="s">
        <v>116</v>
      </c>
      <c r="G44" s="32"/>
      <c r="H44" s="249"/>
      <c r="I44" s="249"/>
      <c r="J44" s="249"/>
      <c r="K44" s="249"/>
      <c r="L44" s="32"/>
      <c r="M44" s="483"/>
      <c r="N44" s="273"/>
      <c r="O44" s="249"/>
      <c r="P44" s="249"/>
      <c r="Q44" s="249"/>
      <c r="R44" s="249"/>
      <c r="S44" s="249"/>
      <c r="T44" s="249"/>
      <c r="U44" s="249"/>
      <c r="V44" s="249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</row>
    <row r="45" spans="1:32" s="293" customFormat="1" ht="13.5" customHeight="1" x14ac:dyDescent="0.2">
      <c r="A45" s="480" t="s">
        <v>1</v>
      </c>
      <c r="B45" s="493">
        <f>+C45*$H$3</f>
        <v>-42697.600000000006</v>
      </c>
      <c r="C45" s="206">
        <f>+NW!$F$41</f>
        <v>-19408</v>
      </c>
      <c r="D45" s="371">
        <f>+NW!B41</f>
        <v>37251</v>
      </c>
      <c r="E45" s="32" t="s">
        <v>85</v>
      </c>
      <c r="F45" s="32" t="s">
        <v>116</v>
      </c>
      <c r="G45" s="357"/>
      <c r="H45" s="204"/>
      <c r="I45" s="204"/>
      <c r="J45" s="204">
        <f>135710*1.98</f>
        <v>268705.8</v>
      </c>
      <c r="K45" s="204"/>
      <c r="L45" s="204"/>
      <c r="M45" s="483"/>
      <c r="N45" s="273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</row>
    <row r="46" spans="1:32" ht="13.5" customHeight="1" x14ac:dyDescent="0.2">
      <c r="A46" s="204" t="s">
        <v>211</v>
      </c>
      <c r="B46" s="495">
        <f>+WTGmktg!J43</f>
        <v>-41416.959999999999</v>
      </c>
      <c r="C46" s="206">
        <f>+B46/$H$4</f>
        <v>-18740.705882352941</v>
      </c>
      <c r="D46" s="371">
        <f>+WTGmktg!A43</f>
        <v>37250</v>
      </c>
      <c r="E46" s="32" t="s">
        <v>86</v>
      </c>
      <c r="F46" s="204" t="s">
        <v>116</v>
      </c>
      <c r="G46" s="204"/>
      <c r="H46" s="32"/>
      <c r="I46" s="32"/>
      <c r="J46" s="32"/>
      <c r="K46" s="32"/>
      <c r="L46" s="32"/>
      <c r="M46" s="387"/>
      <c r="N46" s="70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ht="13.5" customHeight="1" x14ac:dyDescent="0.2">
      <c r="A47" s="32" t="s">
        <v>7</v>
      </c>
      <c r="B47" s="493">
        <f>+Oasis!$D$40</f>
        <v>-35820.99</v>
      </c>
      <c r="C47" s="206">
        <f>+B47/$H$5</f>
        <v>-16135.581081081078</v>
      </c>
      <c r="D47" s="372">
        <f>+Oasis!A40</f>
        <v>37254</v>
      </c>
      <c r="E47" s="32" t="s">
        <v>86</v>
      </c>
      <c r="F47" s="32" t="s">
        <v>103</v>
      </c>
      <c r="G47" s="32"/>
      <c r="H47" s="32"/>
      <c r="I47" s="32"/>
      <c r="J47" s="32"/>
      <c r="K47" s="32"/>
      <c r="L47" s="32"/>
      <c r="M47" s="387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s="293" customFormat="1" ht="13.5" customHeight="1" x14ac:dyDescent="0.2">
      <c r="A48" s="204" t="s">
        <v>144</v>
      </c>
      <c r="B48" s="495">
        <f>+C48*$H$4</f>
        <v>-29722.29</v>
      </c>
      <c r="C48" s="353">
        <f>+PEPL!D41</f>
        <v>-13449</v>
      </c>
      <c r="D48" s="371">
        <f>+PEPL!A41</f>
        <v>37253</v>
      </c>
      <c r="E48" s="204" t="s">
        <v>85</v>
      </c>
      <c r="F48" s="204" t="s">
        <v>101</v>
      </c>
      <c r="G48" s="32"/>
      <c r="H48" s="204"/>
      <c r="I48" s="204"/>
      <c r="J48" s="204"/>
      <c r="K48" s="204"/>
      <c r="L48" s="32" t="s">
        <v>252</v>
      </c>
      <c r="M48" s="387">
        <v>21665</v>
      </c>
      <c r="N48" s="70">
        <v>73449</v>
      </c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</row>
    <row r="49" spans="1:32" s="293" customFormat="1" ht="13.5" customHeight="1" x14ac:dyDescent="0.2">
      <c r="A49" s="32" t="s">
        <v>104</v>
      </c>
      <c r="B49" s="493">
        <f>+EOG!$J$41</f>
        <v>-12998.11</v>
      </c>
      <c r="C49" s="275">
        <f>+B49/$H$4</f>
        <v>-5881.4977375565613</v>
      </c>
      <c r="D49" s="371">
        <f>+EOG!A41</f>
        <v>37250</v>
      </c>
      <c r="E49" s="32" t="s">
        <v>86</v>
      </c>
      <c r="F49" s="32" t="s">
        <v>103</v>
      </c>
      <c r="G49" s="32"/>
      <c r="H49" s="204"/>
      <c r="I49" s="204"/>
      <c r="J49" s="204"/>
      <c r="K49" s="204"/>
      <c r="L49" s="32"/>
      <c r="M49" s="387"/>
      <c r="N49" s="70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</row>
    <row r="50" spans="1:32" ht="13.5" customHeight="1" x14ac:dyDescent="0.2">
      <c r="A50" s="479" t="s">
        <v>88</v>
      </c>
      <c r="B50" s="493">
        <f>+NNG!$D$24</f>
        <v>-12597</v>
      </c>
      <c r="C50" s="275">
        <f>+B50/$H$4</f>
        <v>-5700</v>
      </c>
      <c r="D50" s="371">
        <f>+NNG!A24</f>
        <v>37250</v>
      </c>
      <c r="E50" s="204" t="s">
        <v>86</v>
      </c>
      <c r="F50" s="204" t="s">
        <v>101</v>
      </c>
      <c r="G50" s="32"/>
      <c r="H50" s="32"/>
      <c r="I50" s="32"/>
      <c r="J50" s="32"/>
      <c r="K50" s="32"/>
      <c r="L50" s="32"/>
      <c r="M50" s="387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3.5" customHeight="1" x14ac:dyDescent="0.2">
      <c r="A51" s="32" t="s">
        <v>308</v>
      </c>
      <c r="B51" s="493">
        <f>+SWGasTrans!$D$41</f>
        <v>-14564.4</v>
      </c>
      <c r="C51" s="275">
        <f>+B51/$H$4</f>
        <v>-6590.2262443438913</v>
      </c>
      <c r="D51" s="371">
        <f>+SWGasTrans!A41</f>
        <v>37254</v>
      </c>
      <c r="E51" s="32" t="s">
        <v>86</v>
      </c>
      <c r="F51" s="32" t="s">
        <v>100</v>
      </c>
      <c r="G51" s="32"/>
      <c r="H51" s="32"/>
      <c r="I51" s="32"/>
      <c r="J51" s="32"/>
      <c r="K51" s="32"/>
      <c r="L51" s="32"/>
      <c r="M51" s="387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5" customHeight="1" x14ac:dyDescent="0.2">
      <c r="A52" s="479" t="s">
        <v>72</v>
      </c>
      <c r="B52" s="543">
        <f>+transcol!$D$43</f>
        <v>-994.36000000000058</v>
      </c>
      <c r="C52" s="283">
        <f>+B52/$H$4</f>
        <v>-449.93665158371067</v>
      </c>
      <c r="D52" s="371">
        <f>+transcol!A43</f>
        <v>37254</v>
      </c>
      <c r="E52" s="204" t="s">
        <v>86</v>
      </c>
      <c r="F52" s="204" t="s">
        <v>116</v>
      </c>
      <c r="G52" s="32"/>
      <c r="H52" s="32"/>
      <c r="I52" s="32"/>
      <c r="J52" s="32"/>
      <c r="K52" s="32"/>
      <c r="L52" s="32"/>
      <c r="M52" s="387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5" customHeight="1" x14ac:dyDescent="0.2">
      <c r="A53" s="32" t="s">
        <v>98</v>
      </c>
      <c r="B53" s="351">
        <f>SUM(B37:B52)</f>
        <v>-4375453.7600000016</v>
      </c>
      <c r="C53" s="206">
        <f>SUM(C37:C52)</f>
        <v>-1974233.5529737882</v>
      </c>
      <c r="D53" s="358"/>
      <c r="E53" s="32"/>
      <c r="F53" s="32"/>
      <c r="G53" s="32"/>
      <c r="H53" s="32"/>
      <c r="I53" s="32"/>
      <c r="J53" s="32"/>
      <c r="K53" s="32"/>
      <c r="L53" s="32"/>
      <c r="M53" s="38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5" customHeight="1" x14ac:dyDescent="0.2">
      <c r="A54" s="32"/>
      <c r="B54" s="354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8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5" thickBot="1" x14ac:dyDescent="0.25">
      <c r="A55" s="2" t="s">
        <v>92</v>
      </c>
      <c r="B55" s="359">
        <f>+B53+B34</f>
        <v>2790640.8999999966</v>
      </c>
      <c r="C55" s="360">
        <f>+C53+C34</f>
        <v>1261318.8697936931</v>
      </c>
      <c r="D55" s="203"/>
      <c r="E55" s="32"/>
      <c r="F55" s="32"/>
      <c r="G55" s="32"/>
      <c r="H55" s="32"/>
      <c r="I55" s="32"/>
      <c r="J55" s="32"/>
      <c r="K55" s="32"/>
      <c r="L55" s="32"/>
      <c r="M55" s="38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5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8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2" t="s">
        <v>93</v>
      </c>
      <c r="B57" s="47"/>
      <c r="C57" s="294"/>
      <c r="D57" s="203"/>
      <c r="E57" s="32"/>
      <c r="F57" s="32"/>
      <c r="G57" s="32"/>
      <c r="H57" s="32"/>
      <c r="I57" s="32"/>
      <c r="J57" s="32"/>
      <c r="K57" s="32"/>
      <c r="L57" s="32"/>
      <c r="M57" s="38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8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8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8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8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8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B63" s="47"/>
      <c r="C63" s="14"/>
      <c r="D63" s="203"/>
      <c r="E63" s="136"/>
      <c r="F63" s="32"/>
      <c r="G63" s="32"/>
      <c r="H63" s="32"/>
      <c r="I63" s="32"/>
      <c r="J63" s="32"/>
      <c r="K63" s="32"/>
      <c r="L63" s="32"/>
      <c r="M63" s="38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8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8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8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H67" s="32"/>
      <c r="I67" s="32"/>
      <c r="J67" s="32"/>
      <c r="K67" s="32"/>
      <c r="L67" s="32"/>
      <c r="M67" s="38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H68" s="32"/>
      <c r="I68" s="32"/>
      <c r="J68" s="32"/>
      <c r="K68" s="32"/>
      <c r="L68" s="32"/>
      <c r="M68" s="38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H69" s="32"/>
      <c r="I69" s="32"/>
      <c r="J69" s="32"/>
      <c r="K69" s="32"/>
      <c r="L69" s="32"/>
      <c r="M69" s="38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H70" s="32"/>
      <c r="I70" s="32"/>
      <c r="J70" s="32"/>
      <c r="K70" s="32"/>
      <c r="L70" s="32"/>
      <c r="M70" s="38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H71" s="32"/>
      <c r="I71" s="32"/>
      <c r="J71" s="32"/>
      <c r="K71" s="32"/>
      <c r="L71" s="32"/>
      <c r="M71" s="38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H72" s="32"/>
      <c r="I72" s="32"/>
      <c r="J72" s="32"/>
      <c r="K72" s="32"/>
      <c r="L72" s="32"/>
      <c r="M72" s="38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H73" s="32"/>
      <c r="I73" s="32"/>
      <c r="J73" s="32"/>
      <c r="K73" s="32"/>
      <c r="L73" s="32"/>
      <c r="M73" s="38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H74" s="32"/>
      <c r="I74" s="32"/>
      <c r="J74" s="32"/>
      <c r="K74" s="32"/>
      <c r="L74" s="32"/>
      <c r="M74" s="38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H75" s="32"/>
      <c r="I75" s="32"/>
      <c r="J75" s="32"/>
      <c r="K75" s="32"/>
      <c r="L75" s="32"/>
      <c r="M75" s="38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H76" s="32"/>
      <c r="I76" s="32"/>
      <c r="J76" s="32"/>
      <c r="K76" s="32"/>
      <c r="L76" s="32"/>
      <c r="M76" s="38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H77" s="32"/>
      <c r="I77" s="32"/>
      <c r="J77" s="32"/>
      <c r="K77" s="32"/>
      <c r="L77" s="32"/>
      <c r="M77" s="38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H78" s="32"/>
      <c r="I78" s="32"/>
      <c r="J78" s="32"/>
      <c r="K78" s="32"/>
      <c r="L78" s="32"/>
      <c r="M78" s="38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H79" s="32"/>
      <c r="I79" s="32"/>
      <c r="J79" s="32"/>
      <c r="K79" s="32"/>
      <c r="L79" s="32"/>
      <c r="M79" s="38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H80" s="32"/>
      <c r="I80" s="32"/>
      <c r="J80" s="32"/>
      <c r="K80" s="32"/>
      <c r="L80" s="32"/>
      <c r="M80" s="38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">
      <c r="H81" s="32"/>
      <c r="I81" s="32"/>
      <c r="J81" s="32"/>
      <c r="K81" s="32"/>
      <c r="L81" s="32"/>
      <c r="M81" s="38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">
      <c r="H82" s="32"/>
      <c r="I82" s="32"/>
      <c r="J82" s="32"/>
      <c r="K82" s="32"/>
      <c r="L82" s="32"/>
      <c r="M82" s="38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">
      <c r="H83" s="32"/>
      <c r="I83" s="32"/>
      <c r="J83" s="32"/>
      <c r="K83" s="32"/>
      <c r="L83" s="32"/>
      <c r="M83" s="38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">
      <c r="H84" s="32"/>
      <c r="I84" s="32"/>
      <c r="J84" s="32"/>
      <c r="K84" s="32"/>
      <c r="L84" s="32"/>
      <c r="M84" s="38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">
      <c r="H85" s="32"/>
      <c r="I85" s="32"/>
      <c r="J85" s="32"/>
      <c r="K85" s="32"/>
      <c r="L85" s="32"/>
      <c r="M85" s="38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">
      <c r="H86" s="32"/>
      <c r="I86" s="32"/>
      <c r="J86" s="32"/>
      <c r="K86" s="32"/>
      <c r="L86" s="32"/>
      <c r="M86" s="38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">
      <c r="H87" s="32"/>
      <c r="I87" s="32"/>
      <c r="J87" s="32"/>
      <c r="K87" s="32"/>
      <c r="L87" s="32"/>
      <c r="M87" s="38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">
      <c r="H88" s="32"/>
      <c r="I88" s="32"/>
      <c r="J88" s="32"/>
      <c r="K88" s="32"/>
      <c r="L88" s="32"/>
      <c r="M88" s="38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">
      <c r="H89" s="32"/>
      <c r="I89" s="32"/>
      <c r="J89" s="32"/>
      <c r="K89" s="32"/>
      <c r="L89" s="32"/>
      <c r="M89" s="38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">
      <c r="H90" s="32"/>
      <c r="I90" s="32"/>
      <c r="J90" s="32"/>
      <c r="K90" s="32"/>
      <c r="L90" s="32"/>
      <c r="M90" s="38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">
      <c r="H91" s="32"/>
      <c r="I91" s="32"/>
      <c r="J91" s="32"/>
      <c r="K91" s="32"/>
      <c r="L91" s="32"/>
      <c r="M91" s="38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">
      <c r="H92" s="32"/>
      <c r="I92" s="32"/>
      <c r="J92" s="32"/>
      <c r="K92" s="32"/>
      <c r="L92" s="32"/>
      <c r="M92" s="38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">
      <c r="H93" s="32"/>
      <c r="I93" s="32"/>
      <c r="J93" s="32"/>
      <c r="K93" s="32"/>
      <c r="L93" s="32"/>
      <c r="M93" s="38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">
      <c r="H94" s="32"/>
      <c r="I94" s="32"/>
      <c r="J94" s="32"/>
      <c r="K94" s="32"/>
      <c r="L94" s="32"/>
      <c r="M94" s="38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">
      <c r="H95" s="32"/>
      <c r="I95" s="32"/>
      <c r="J95" s="32"/>
      <c r="K95" s="32"/>
      <c r="L95" s="32"/>
      <c r="M95" s="38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">
      <c r="H96" s="32"/>
      <c r="I96" s="32"/>
      <c r="J96" s="32"/>
      <c r="K96" s="32"/>
      <c r="L96" s="32"/>
      <c r="M96" s="38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H97" s="32"/>
      <c r="I97" s="32"/>
      <c r="J97" s="32"/>
      <c r="K97" s="32"/>
      <c r="L97" s="32"/>
      <c r="M97" s="38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H98" s="32"/>
      <c r="I98" s="32"/>
      <c r="J98" s="32"/>
      <c r="K98" s="32"/>
      <c r="L98" s="32"/>
      <c r="M98" s="38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H99" s="32"/>
      <c r="I99" s="32"/>
      <c r="J99" s="32"/>
      <c r="K99" s="32"/>
      <c r="L99" s="32"/>
      <c r="M99" s="38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2" t="s">
        <v>271</v>
      </c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8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 t="s">
        <v>269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8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 t="s">
        <v>270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8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361"/>
      <c r="C103" s="362"/>
      <c r="D103" s="203"/>
      <c r="E103" s="32"/>
      <c r="F103" s="32"/>
      <c r="G103" s="32"/>
      <c r="H103" s="32"/>
      <c r="I103" s="32"/>
      <c r="J103" s="32"/>
      <c r="K103" s="32"/>
      <c r="L103" s="32"/>
      <c r="M103" s="38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 t="s">
        <v>272</v>
      </c>
      <c r="B104" s="75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8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 t="s">
        <v>273</v>
      </c>
      <c r="B105" s="75">
        <v>16841.21</v>
      </c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8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 t="s">
        <v>275</v>
      </c>
      <c r="B106" s="75">
        <v>-8065.83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8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 t="s">
        <v>276</v>
      </c>
      <c r="B107" s="75">
        <v>8689.86</v>
      </c>
      <c r="C107" s="69" t="s">
        <v>277</v>
      </c>
      <c r="D107" s="363"/>
      <c r="E107" s="32"/>
      <c r="F107" s="32"/>
      <c r="G107" s="32"/>
      <c r="H107" s="32"/>
      <c r="I107" s="32"/>
      <c r="J107" s="32"/>
      <c r="K107" s="32"/>
      <c r="L107" s="32"/>
      <c r="M107" s="38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 t="s">
        <v>278</v>
      </c>
      <c r="B108" s="75">
        <v>75737.570000000007</v>
      </c>
      <c r="C108" s="294"/>
      <c r="D108" s="203"/>
      <c r="E108" s="32"/>
      <c r="F108" s="32"/>
      <c r="G108" s="32"/>
      <c r="H108" s="32"/>
      <c r="I108" s="32"/>
      <c r="J108" s="32"/>
      <c r="K108" s="32"/>
      <c r="L108" s="32"/>
      <c r="M108" s="38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 t="s">
        <v>279</v>
      </c>
      <c r="B109" s="528" t="s">
        <v>281</v>
      </c>
      <c r="C109" s="294"/>
      <c r="D109" s="364"/>
      <c r="E109" s="365"/>
      <c r="F109" s="32"/>
      <c r="G109" s="32"/>
      <c r="H109" s="32"/>
      <c r="I109" s="32"/>
      <c r="J109" s="32"/>
      <c r="K109" s="32"/>
      <c r="L109" s="32"/>
      <c r="M109" s="38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 t="s">
        <v>280</v>
      </c>
      <c r="B110" s="528" t="s">
        <v>282</v>
      </c>
      <c r="C110" s="294"/>
      <c r="D110" s="366"/>
      <c r="E110" s="32"/>
      <c r="F110" s="32"/>
      <c r="G110" s="32"/>
      <c r="H110" s="32"/>
      <c r="I110" s="32"/>
      <c r="J110" s="32"/>
      <c r="K110" s="32"/>
      <c r="L110" s="32"/>
      <c r="M110" s="38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 t="s">
        <v>285</v>
      </c>
      <c r="B111" s="15">
        <v>97267.53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8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 t="s">
        <v>283</v>
      </c>
      <c r="B112" s="75">
        <v>-1590.44</v>
      </c>
      <c r="C112" s="294"/>
      <c r="D112" s="367"/>
      <c r="E112" s="32"/>
      <c r="F112" s="32"/>
      <c r="G112" s="32"/>
      <c r="H112" s="32"/>
      <c r="I112" s="32"/>
      <c r="J112" s="32"/>
      <c r="K112" s="32"/>
      <c r="L112" s="32"/>
      <c r="M112" s="38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 t="s">
        <v>286</v>
      </c>
      <c r="B113" s="75">
        <v>4290.5</v>
      </c>
      <c r="C113" s="294"/>
      <c r="D113" s="368"/>
      <c r="E113" s="32"/>
      <c r="F113" s="32"/>
      <c r="G113" s="32"/>
      <c r="H113" s="32"/>
      <c r="I113" s="32"/>
      <c r="J113" s="32"/>
      <c r="K113" s="32"/>
      <c r="L113" s="32"/>
      <c r="M113" s="38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 t="s">
        <v>290</v>
      </c>
      <c r="B114" s="75">
        <v>9780.35</v>
      </c>
      <c r="C114" s="524"/>
      <c r="D114" s="203"/>
      <c r="E114" s="32"/>
      <c r="F114" s="32"/>
      <c r="G114" s="32"/>
      <c r="H114" s="32"/>
      <c r="I114" s="32"/>
      <c r="J114" s="32"/>
      <c r="K114" s="32"/>
      <c r="L114" s="32"/>
      <c r="M114" s="38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 t="s">
        <v>293</v>
      </c>
      <c r="B115" s="75">
        <v>47610.18</v>
      </c>
      <c r="C115" s="524"/>
      <c r="D115" s="363"/>
      <c r="E115" s="32"/>
      <c r="F115" s="32"/>
      <c r="G115" s="32"/>
      <c r="H115" s="32"/>
      <c r="I115" s="32"/>
      <c r="J115" s="32"/>
      <c r="K115" s="32"/>
      <c r="L115" s="32"/>
      <c r="M115" s="38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 t="s">
        <v>297</v>
      </c>
      <c r="B116" s="15">
        <v>-1548.84</v>
      </c>
      <c r="C116" s="524"/>
      <c r="D116" s="203"/>
      <c r="E116" s="32"/>
      <c r="F116" s="32"/>
      <c r="G116" s="32"/>
      <c r="H116" s="32"/>
      <c r="I116" s="32"/>
      <c r="J116" s="32"/>
      <c r="K116" s="32"/>
      <c r="L116" s="32"/>
      <c r="M116" s="38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 t="s">
        <v>301</v>
      </c>
      <c r="B117" s="15">
        <v>-10776.55</v>
      </c>
      <c r="C117" s="524"/>
      <c r="D117" s="203"/>
      <c r="E117" s="32"/>
      <c r="F117" s="32"/>
      <c r="G117" s="32"/>
      <c r="H117" s="32"/>
      <c r="I117" s="32"/>
      <c r="J117" s="32"/>
      <c r="K117" s="32"/>
      <c r="L117" s="32"/>
      <c r="M117" s="38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 t="s">
        <v>302</v>
      </c>
      <c r="B118" s="15">
        <v>9125.5499999999993</v>
      </c>
      <c r="C118" s="525"/>
      <c r="D118" s="363"/>
      <c r="E118" s="32"/>
      <c r="F118" s="32"/>
      <c r="G118" s="32"/>
      <c r="H118" s="32"/>
      <c r="I118" s="32"/>
      <c r="J118" s="32"/>
      <c r="K118" s="32"/>
      <c r="L118" s="32"/>
      <c r="M118" s="38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 t="s">
        <v>304</v>
      </c>
      <c r="B119" s="530" t="s">
        <v>305</v>
      </c>
      <c r="C119" s="525"/>
      <c r="D119" s="363"/>
      <c r="E119" s="32"/>
      <c r="F119" s="32"/>
      <c r="G119" s="32"/>
      <c r="H119" s="32"/>
      <c r="I119" s="32"/>
      <c r="J119" s="32"/>
      <c r="K119" s="32"/>
      <c r="L119" s="32"/>
      <c r="M119" s="38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 t="s">
        <v>309</v>
      </c>
      <c r="B120" s="15">
        <v>1357.88</v>
      </c>
      <c r="C120" s="525"/>
      <c r="D120" s="363"/>
      <c r="E120" s="32"/>
      <c r="F120" s="32"/>
      <c r="G120" s="32"/>
      <c r="H120" s="32"/>
      <c r="I120" s="32"/>
      <c r="J120" s="32"/>
      <c r="K120" s="32"/>
      <c r="L120" s="32"/>
      <c r="M120" s="38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 t="s">
        <v>300</v>
      </c>
      <c r="B121" s="15">
        <f>44144.84-58339.66</f>
        <v>-14194.820000000007</v>
      </c>
      <c r="C121" s="525">
        <v>26357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8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 t="s">
        <v>300</v>
      </c>
      <c r="B122" s="15">
        <v>-51695.87</v>
      </c>
      <c r="C122" s="525">
        <v>20379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8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 t="s">
        <v>300</v>
      </c>
      <c r="B123" s="15">
        <v>61340.160000000003</v>
      </c>
      <c r="C123" s="525">
        <v>21544</v>
      </c>
      <c r="D123" s="203"/>
      <c r="E123" s="32"/>
      <c r="F123" s="32"/>
      <c r="G123" s="32"/>
      <c r="H123" s="32"/>
      <c r="I123" s="32"/>
      <c r="J123" s="32"/>
      <c r="K123" s="32"/>
      <c r="L123" s="32"/>
      <c r="M123" s="38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 t="s">
        <v>300</v>
      </c>
      <c r="B124" s="259"/>
      <c r="C124" s="525"/>
      <c r="D124" s="203"/>
      <c r="E124" s="32"/>
      <c r="F124" s="32"/>
      <c r="G124" s="32"/>
      <c r="H124" s="32"/>
      <c r="I124" s="32"/>
      <c r="J124" s="32"/>
      <c r="K124" s="32"/>
      <c r="L124" s="32"/>
      <c r="M124" s="38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 t="s">
        <v>310</v>
      </c>
      <c r="B125" s="259">
        <v>828.64</v>
      </c>
      <c r="C125" s="525"/>
      <c r="D125" s="203"/>
      <c r="E125" s="32"/>
      <c r="F125" s="32"/>
      <c r="G125" s="32"/>
      <c r="H125" s="32"/>
      <c r="I125" s="32"/>
      <c r="J125" s="32"/>
      <c r="K125" s="32"/>
      <c r="L125" s="32"/>
      <c r="M125" s="38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 t="s">
        <v>311</v>
      </c>
      <c r="B126" s="259">
        <v>8282.6</v>
      </c>
      <c r="C126" s="525"/>
      <c r="D126" s="203"/>
      <c r="E126" s="32"/>
      <c r="F126" s="32"/>
      <c r="G126" s="32"/>
      <c r="H126" s="32"/>
      <c r="I126" s="32"/>
      <c r="J126" s="32"/>
      <c r="K126" s="32"/>
      <c r="L126" s="32"/>
      <c r="M126" s="38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 t="s">
        <v>303</v>
      </c>
      <c r="B127" s="259">
        <v>17432.3</v>
      </c>
      <c r="C127" s="525"/>
      <c r="D127" s="203"/>
      <c r="E127" s="32"/>
      <c r="F127" s="32"/>
      <c r="G127" s="32"/>
      <c r="H127" s="32"/>
      <c r="I127" s="32"/>
      <c r="J127" s="32"/>
      <c r="K127" s="32"/>
      <c r="L127" s="32"/>
      <c r="M127" s="38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 t="s">
        <v>296</v>
      </c>
      <c r="B128" s="259">
        <v>-7228.77</v>
      </c>
      <c r="C128" s="524"/>
      <c r="D128" s="203"/>
      <c r="E128" s="32"/>
      <c r="F128" s="32"/>
      <c r="G128" s="32"/>
      <c r="H128" s="32"/>
      <c r="I128" s="32"/>
      <c r="J128" s="32"/>
      <c r="K128" s="32"/>
      <c r="L128" s="32"/>
      <c r="M128" s="38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285" t="s">
        <v>295</v>
      </c>
      <c r="B129" s="15">
        <v>249009.74</v>
      </c>
      <c r="C129" s="524"/>
      <c r="D129" s="203"/>
      <c r="E129" s="32"/>
      <c r="F129" s="32"/>
      <c r="G129" s="32"/>
      <c r="H129" s="32"/>
      <c r="I129" s="32"/>
      <c r="J129" s="32"/>
      <c r="K129" s="32"/>
      <c r="L129" s="32"/>
      <c r="M129" s="38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 t="s">
        <v>289</v>
      </c>
      <c r="B130" s="15">
        <v>1974.11</v>
      </c>
      <c r="C130" s="524"/>
      <c r="D130" s="203"/>
      <c r="E130" s="32"/>
      <c r="F130" s="32"/>
      <c r="G130" s="32"/>
      <c r="H130" s="32"/>
      <c r="I130" s="32"/>
      <c r="J130" s="32"/>
      <c r="K130" s="32"/>
      <c r="L130" s="32"/>
      <c r="M130" s="38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 t="s">
        <v>274</v>
      </c>
      <c r="B131" s="75">
        <v>-35893</v>
      </c>
      <c r="C131" s="524"/>
      <c r="D131" s="203"/>
      <c r="E131" s="32"/>
      <c r="F131" s="32"/>
      <c r="G131" s="32"/>
      <c r="H131" s="32"/>
      <c r="I131" s="32"/>
      <c r="J131" s="32"/>
      <c r="K131" s="32"/>
      <c r="L131" s="32"/>
      <c r="M131" s="38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 t="s">
        <v>284</v>
      </c>
      <c r="B132" s="75">
        <v>27281.87</v>
      </c>
      <c r="C132" s="524"/>
      <c r="D132" s="203"/>
      <c r="E132" s="32"/>
      <c r="F132" s="32"/>
      <c r="G132" s="32"/>
      <c r="H132" s="32"/>
      <c r="I132" s="32"/>
      <c r="J132" s="32"/>
      <c r="K132" s="32"/>
      <c r="L132" s="32"/>
      <c r="M132" s="38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 t="s">
        <v>287</v>
      </c>
      <c r="B133" s="75">
        <v>-2614.58</v>
      </c>
      <c r="C133" s="524"/>
      <c r="D133" s="203"/>
      <c r="E133" s="32"/>
      <c r="F133" s="32"/>
      <c r="G133" s="32"/>
      <c r="H133" s="32"/>
      <c r="I133" s="32"/>
      <c r="J133" s="32"/>
      <c r="K133" s="32"/>
      <c r="L133" s="32"/>
      <c r="M133" s="38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 t="s">
        <v>288</v>
      </c>
      <c r="B134" s="75">
        <v>-177733.88</v>
      </c>
      <c r="C134" s="524"/>
      <c r="D134" s="203"/>
      <c r="E134" s="32"/>
      <c r="F134" s="32"/>
      <c r="G134" s="32"/>
      <c r="H134" s="32"/>
      <c r="I134" s="32"/>
      <c r="J134" s="32"/>
      <c r="K134" s="32"/>
      <c r="L134" s="32"/>
      <c r="M134" s="38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 t="s">
        <v>291</v>
      </c>
      <c r="B135" s="15">
        <v>3338.45</v>
      </c>
      <c r="C135" s="524"/>
      <c r="D135" s="203"/>
      <c r="E135" s="32"/>
      <c r="F135" s="32"/>
      <c r="G135" s="32"/>
      <c r="H135" s="32"/>
      <c r="I135" s="32"/>
      <c r="J135" s="32"/>
      <c r="K135" s="32"/>
      <c r="L135" s="32"/>
      <c r="M135" s="38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 t="s">
        <v>292</v>
      </c>
      <c r="B136" s="15">
        <v>15325.21</v>
      </c>
      <c r="C136" s="524"/>
      <c r="D136" s="203"/>
      <c r="E136" s="32"/>
      <c r="F136" s="32"/>
      <c r="G136" s="32"/>
      <c r="H136" s="32"/>
      <c r="I136" s="32"/>
      <c r="J136" s="32"/>
      <c r="K136" s="32"/>
      <c r="L136" s="32"/>
      <c r="M136" s="38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 t="s">
        <v>294</v>
      </c>
      <c r="B137" s="15">
        <v>-33878.81</v>
      </c>
      <c r="C137" s="524"/>
      <c r="D137" s="203"/>
      <c r="E137" s="32"/>
      <c r="F137" s="32"/>
      <c r="G137" s="32"/>
      <c r="H137" s="32"/>
      <c r="I137" s="32"/>
      <c r="J137" s="32"/>
      <c r="K137" s="32"/>
      <c r="L137" s="32"/>
      <c r="M137" s="38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 t="s">
        <v>298</v>
      </c>
      <c r="B138" s="15">
        <v>-726.96</v>
      </c>
      <c r="C138" s="524"/>
      <c r="D138" s="203"/>
      <c r="E138" s="32"/>
      <c r="F138" s="32"/>
      <c r="G138" s="32"/>
      <c r="H138" s="32"/>
      <c r="I138" s="32"/>
      <c r="J138" s="32"/>
      <c r="K138" s="32"/>
      <c r="L138" s="32"/>
      <c r="M138" s="38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 t="s">
        <v>299</v>
      </c>
      <c r="B139" s="47">
        <v>-4405.4799999999996</v>
      </c>
      <c r="C139" s="524"/>
      <c r="D139" s="203"/>
      <c r="E139" s="32"/>
      <c r="F139" s="32"/>
      <c r="G139" s="32"/>
      <c r="H139" s="32"/>
      <c r="I139" s="32"/>
      <c r="J139" s="32"/>
      <c r="K139" s="32"/>
      <c r="L139" s="32"/>
      <c r="M139" s="38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524"/>
      <c r="D140" s="203"/>
      <c r="E140" s="32"/>
      <c r="F140" s="32"/>
      <c r="G140" s="32"/>
      <c r="H140" s="32"/>
      <c r="I140" s="32"/>
      <c r="J140" s="32"/>
      <c r="K140" s="32"/>
      <c r="L140" s="32"/>
      <c r="M140" s="38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524"/>
      <c r="D141" s="203"/>
      <c r="E141" s="32"/>
      <c r="F141" s="32"/>
      <c r="G141" s="32"/>
      <c r="H141" s="32"/>
      <c r="I141" s="32"/>
      <c r="J141" s="32"/>
      <c r="K141" s="32"/>
      <c r="L141" s="32"/>
      <c r="M141" s="38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524"/>
      <c r="D142" s="203"/>
      <c r="E142" s="32"/>
      <c r="F142" s="32"/>
      <c r="G142" s="32"/>
      <c r="H142" s="32"/>
      <c r="I142" s="32"/>
      <c r="J142" s="32"/>
      <c r="K142" s="32"/>
      <c r="L142" s="32"/>
      <c r="M142" s="38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8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16">
        <f>SUM(B105:B143)</f>
        <v>305159.88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8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8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8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8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8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8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8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8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8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8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8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8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8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8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8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8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8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8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8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8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8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8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8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8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8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8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8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8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8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8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8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8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8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8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8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8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8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8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8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8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8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8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8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8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8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8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8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8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8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8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8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8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8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8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8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8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8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8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8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8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8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8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8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8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8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8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8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8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8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8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8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8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8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8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8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8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8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8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8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8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8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8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8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8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8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8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8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8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8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8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8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8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8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8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8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8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8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8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8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8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8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8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8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8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8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8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8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8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8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8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8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8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8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8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8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8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8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8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8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8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8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8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8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8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8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8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8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8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8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8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8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8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8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8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8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8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8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8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8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8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8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8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8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8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8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8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8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8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8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8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8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8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8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8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8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8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8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8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8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8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8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8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8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8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8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8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8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8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8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8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8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8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8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8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8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8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8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8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8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8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8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8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8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8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8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8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8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8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8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8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8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8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8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8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8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8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8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8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8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8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8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8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8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8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8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8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8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8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8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8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8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8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8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8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8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8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8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8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8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8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8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8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8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8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">
      <c r="A368" s="32"/>
      <c r="B368" s="47"/>
      <c r="C368" s="69"/>
      <c r="D368" s="203"/>
      <c r="E368" s="32"/>
      <c r="F368" s="32"/>
      <c r="G368" s="32"/>
      <c r="H368" s="32"/>
      <c r="I368" s="32"/>
      <c r="J368" s="32"/>
      <c r="K368" s="32"/>
      <c r="L368" s="32"/>
      <c r="M368" s="38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">
      <c r="A369" s="32"/>
      <c r="B369" s="47"/>
      <c r="C369" s="69"/>
      <c r="D369" s="203"/>
      <c r="E369" s="32"/>
      <c r="F369" s="32"/>
      <c r="G369" s="32"/>
      <c r="H369" s="32"/>
      <c r="I369" s="32"/>
      <c r="J369" s="32"/>
      <c r="K369" s="32"/>
      <c r="L369" s="32"/>
      <c r="M369" s="38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">
      <c r="A370" s="32"/>
      <c r="B370" s="47"/>
      <c r="C370" s="69"/>
      <c r="D370" s="203"/>
      <c r="E370" s="32"/>
      <c r="F370" s="32"/>
      <c r="G370" s="32"/>
      <c r="H370" s="32"/>
      <c r="I370" s="32"/>
      <c r="J370" s="32"/>
      <c r="K370" s="32"/>
      <c r="L370" s="32"/>
      <c r="M370" s="387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C8" sqref="C8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88</v>
      </c>
      <c r="B4" s="69"/>
      <c r="C4" s="281"/>
      <c r="D4" s="69"/>
    </row>
    <row r="5" spans="1:4" x14ac:dyDescent="0.2">
      <c r="B5" s="282" t="s">
        <v>20</v>
      </c>
      <c r="C5" s="282" t="s">
        <v>21</v>
      </c>
      <c r="D5" s="283" t="s">
        <v>50</v>
      </c>
    </row>
    <row r="6" spans="1:4" x14ac:dyDescent="0.2">
      <c r="A6" s="32">
        <v>1635</v>
      </c>
      <c r="B6" s="328">
        <v>-1082823</v>
      </c>
      <c r="C6" s="80"/>
      <c r="D6" s="80">
        <f t="shared" ref="D6:D14" si="0">+C6-B6</f>
        <v>1082823</v>
      </c>
    </row>
    <row r="7" spans="1:4" x14ac:dyDescent="0.2">
      <c r="A7" s="32">
        <v>3531</v>
      </c>
      <c r="B7" s="312">
        <v>-770723</v>
      </c>
      <c r="C7" s="80">
        <v>-300325</v>
      </c>
      <c r="D7" s="80">
        <f t="shared" si="0"/>
        <v>470398</v>
      </c>
    </row>
    <row r="8" spans="1:4" x14ac:dyDescent="0.2">
      <c r="A8" s="32">
        <v>60667</v>
      </c>
      <c r="B8" s="312">
        <v>-208777</v>
      </c>
      <c r="C8" s="80">
        <v>-1857279</v>
      </c>
      <c r="D8" s="80">
        <f t="shared" si="0"/>
        <v>-1648502</v>
      </c>
    </row>
    <row r="9" spans="1:4" x14ac:dyDescent="0.2">
      <c r="A9" s="32">
        <v>60749</v>
      </c>
      <c r="B9" s="312">
        <v>39225</v>
      </c>
      <c r="C9" s="80">
        <v>-145330</v>
      </c>
      <c r="D9" s="80">
        <f t="shared" si="0"/>
        <v>-184555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-274136</v>
      </c>
      <c r="C11" s="80"/>
      <c r="D11" s="80">
        <f t="shared" si="0"/>
        <v>274136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-5700</v>
      </c>
    </row>
    <row r="19" spans="1:5" x14ac:dyDescent="0.2">
      <c r="A19" s="32" t="s">
        <v>82</v>
      </c>
      <c r="B19" s="69"/>
      <c r="C19" s="69"/>
      <c r="D19" s="73">
        <f>+summary!H4</f>
        <v>2.21</v>
      </c>
    </row>
    <row r="20" spans="1:5" x14ac:dyDescent="0.2">
      <c r="B20" s="69"/>
      <c r="C20" s="69"/>
      <c r="D20" s="75">
        <f>+D19*D18</f>
        <v>-12597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37225</v>
      </c>
      <c r="B22" s="69"/>
      <c r="C22" s="80"/>
      <c r="D22" s="499">
        <v>0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37250</v>
      </c>
      <c r="B24" s="69"/>
      <c r="C24" s="69"/>
      <c r="D24" s="335">
        <f>+D22+D20</f>
        <v>-12597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00">
        <v>0</v>
      </c>
    </row>
    <row r="33" spans="1:4" x14ac:dyDescent="0.2">
      <c r="A33" s="49">
        <f>+A24</f>
        <v>37250</v>
      </c>
      <c r="D33" s="355">
        <f>+D18</f>
        <v>-5700</v>
      </c>
    </row>
    <row r="34" spans="1:4" x14ac:dyDescent="0.2">
      <c r="D34" s="14">
        <f>+D33+D32</f>
        <v>-5700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8" workbookViewId="0">
      <selection activeCell="A25" sqref="A25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84</v>
      </c>
      <c r="B3" s="88"/>
      <c r="C3" s="257"/>
      <c r="D3" s="88"/>
    </row>
    <row r="4" spans="1:13" x14ac:dyDescent="0.2">
      <c r="A4" s="87"/>
      <c r="B4" s="254" t="s">
        <v>20</v>
      </c>
      <c r="C4" s="254" t="s">
        <v>21</v>
      </c>
      <c r="D4" s="255" t="s">
        <v>50</v>
      </c>
    </row>
    <row r="5" spans="1:13" x14ac:dyDescent="0.2">
      <c r="A5" s="87">
        <v>9236</v>
      </c>
      <c r="B5" s="90">
        <v>-116054</v>
      </c>
      <c r="C5" s="90">
        <v>-52276</v>
      </c>
      <c r="D5" s="90">
        <f t="shared" ref="D5:D13" si="0">+C5-B5</f>
        <v>63778</v>
      </c>
      <c r="E5" s="69"/>
      <c r="F5" s="201"/>
    </row>
    <row r="6" spans="1:13" x14ac:dyDescent="0.2">
      <c r="A6" s="87">
        <v>9238</v>
      </c>
      <c r="B6" s="90"/>
      <c r="C6" s="90"/>
      <c r="D6" s="90">
        <f t="shared" si="0"/>
        <v>0</v>
      </c>
      <c r="E6" s="275"/>
      <c r="F6" s="201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v>-2606188</v>
      </c>
      <c r="C7" s="90">
        <v>-3093743</v>
      </c>
      <c r="D7" s="90">
        <f t="shared" si="0"/>
        <v>-487555</v>
      </c>
      <c r="E7" s="275"/>
      <c r="F7" s="201"/>
    </row>
    <row r="8" spans="1:13" x14ac:dyDescent="0.2">
      <c r="A8" s="87">
        <v>58710</v>
      </c>
      <c r="B8" s="90">
        <v>-122483</v>
      </c>
      <c r="C8" s="90">
        <v>-85443</v>
      </c>
      <c r="D8" s="90">
        <f t="shared" si="0"/>
        <v>37040</v>
      </c>
      <c r="E8" s="275"/>
      <c r="F8" s="201"/>
    </row>
    <row r="9" spans="1:13" x14ac:dyDescent="0.2">
      <c r="A9" s="87">
        <v>60921</v>
      </c>
      <c r="B9" s="90">
        <v>-1544787</v>
      </c>
      <c r="C9" s="90">
        <v>-1131806</v>
      </c>
      <c r="D9" s="90">
        <f t="shared" si="0"/>
        <v>412981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5"/>
    </row>
    <row r="11" spans="1:13" x14ac:dyDescent="0.2">
      <c r="A11" s="87">
        <v>500084</v>
      </c>
      <c r="B11" s="90">
        <v>-65762</v>
      </c>
      <c r="C11" s="90">
        <v>-87000</v>
      </c>
      <c r="D11" s="90">
        <f t="shared" si="0"/>
        <v>-21238</v>
      </c>
      <c r="E11" s="276"/>
      <c r="F11" s="475"/>
    </row>
    <row r="12" spans="1:13" x14ac:dyDescent="0.2">
      <c r="A12" s="320">
        <v>500085</v>
      </c>
      <c r="B12" s="90">
        <v>-54387</v>
      </c>
      <c r="C12" s="90"/>
      <c r="D12" s="90">
        <f t="shared" si="0"/>
        <v>54387</v>
      </c>
      <c r="E12" s="275"/>
      <c r="F12" s="475"/>
    </row>
    <row r="13" spans="1:13" x14ac:dyDescent="0.2">
      <c r="A13" s="87">
        <v>500097</v>
      </c>
      <c r="B13" s="90">
        <v>-83940</v>
      </c>
      <c r="C13" s="90">
        <v>-56000</v>
      </c>
      <c r="D13" s="90">
        <f t="shared" si="0"/>
        <v>27940</v>
      </c>
      <c r="E13" s="275"/>
      <c r="F13" s="475"/>
    </row>
    <row r="14" spans="1:13" x14ac:dyDescent="0.2">
      <c r="A14" s="87"/>
      <c r="B14" s="90"/>
      <c r="C14" s="90"/>
      <c r="D14" s="90"/>
      <c r="E14" s="275"/>
      <c r="F14" s="475"/>
    </row>
    <row r="15" spans="1:13" x14ac:dyDescent="0.2">
      <c r="A15" s="87"/>
      <c r="B15" s="90"/>
      <c r="C15" s="90"/>
      <c r="D15" s="90"/>
      <c r="E15" s="275"/>
      <c r="F15" s="475"/>
    </row>
    <row r="16" spans="1:13" x14ac:dyDescent="0.2">
      <c r="A16" s="87"/>
      <c r="B16" s="88"/>
      <c r="C16" s="88"/>
      <c r="D16" s="94"/>
      <c r="E16" s="275"/>
      <c r="F16" s="475"/>
    </row>
    <row r="17" spans="1:7" x14ac:dyDescent="0.2">
      <c r="A17" s="87"/>
      <c r="B17" s="88"/>
      <c r="C17" s="88"/>
      <c r="D17" s="88">
        <f>SUM(D5:D16)</f>
        <v>87333</v>
      </c>
      <c r="E17" s="275"/>
      <c r="F17" s="475"/>
    </row>
    <row r="18" spans="1:7" x14ac:dyDescent="0.2">
      <c r="A18" s="87" t="s">
        <v>82</v>
      </c>
      <c r="B18" s="88"/>
      <c r="C18" s="88"/>
      <c r="D18" s="95">
        <f>+summary!H4</f>
        <v>2.21</v>
      </c>
      <c r="E18" s="277"/>
      <c r="F18" s="475"/>
    </row>
    <row r="19" spans="1:7" x14ac:dyDescent="0.2">
      <c r="A19" s="87"/>
      <c r="B19" s="88"/>
      <c r="C19" s="88"/>
      <c r="D19" s="96">
        <f>+D18*D17</f>
        <v>193005.93</v>
      </c>
      <c r="E19" s="207"/>
      <c r="F19" s="47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37225</v>
      </c>
      <c r="B21" s="88"/>
      <c r="C21" s="88"/>
      <c r="D21" s="516">
        <v>504796.07</v>
      </c>
      <c r="E21" s="207"/>
      <c r="F21" s="476"/>
    </row>
    <row r="22" spans="1:7" x14ac:dyDescent="0.2">
      <c r="A22" s="87"/>
      <c r="B22" s="88"/>
      <c r="C22" s="88"/>
      <c r="D22" s="311"/>
      <c r="E22" s="207"/>
      <c r="F22" s="476"/>
    </row>
    <row r="23" spans="1:7" ht="13.5" thickBot="1" x14ac:dyDescent="0.25">
      <c r="A23" s="99">
        <v>37254</v>
      </c>
      <c r="B23" s="88"/>
      <c r="C23" s="88"/>
      <c r="D23" s="321">
        <f>+D21+D19</f>
        <v>697802</v>
      </c>
      <c r="E23" s="207"/>
      <c r="F23" s="476"/>
    </row>
    <row r="24" spans="1:7" ht="13.5" thickTop="1" x14ac:dyDescent="0.2">
      <c r="E24" s="278"/>
    </row>
    <row r="25" spans="1:7" x14ac:dyDescent="0.2">
      <c r="E25" s="544"/>
    </row>
    <row r="27" spans="1:7" x14ac:dyDescent="0.2">
      <c r="A27" s="32" t="s">
        <v>152</v>
      </c>
      <c r="B27" s="32"/>
      <c r="C27" s="32"/>
      <c r="D27" s="32"/>
    </row>
    <row r="28" spans="1:7" x14ac:dyDescent="0.2">
      <c r="A28" s="49">
        <f>+A21</f>
        <v>37225</v>
      </c>
      <c r="B28" s="32"/>
      <c r="C28" s="32"/>
      <c r="D28" s="509">
        <v>190825</v>
      </c>
    </row>
    <row r="29" spans="1:7" x14ac:dyDescent="0.2">
      <c r="A29" s="49">
        <f>+A23</f>
        <v>37254</v>
      </c>
      <c r="B29" s="32"/>
      <c r="C29" s="32"/>
      <c r="D29" s="355">
        <f>+D17</f>
        <v>87333</v>
      </c>
    </row>
    <row r="30" spans="1:7" x14ac:dyDescent="0.2">
      <c r="A30" s="32"/>
      <c r="B30" s="32"/>
      <c r="C30" s="32"/>
      <c r="D30" s="14">
        <f>+D29+D28</f>
        <v>278158</v>
      </c>
      <c r="E30" s="34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5"/>
      <c r="G44" s="204"/>
    </row>
    <row r="45" spans="1:7" x14ac:dyDescent="0.2">
      <c r="B45" s="69"/>
      <c r="C45" s="69"/>
      <c r="D45" s="295"/>
      <c r="E45" s="275"/>
      <c r="F45" s="475"/>
      <c r="G45" s="204"/>
    </row>
    <row r="46" spans="1:7" x14ac:dyDescent="0.2">
      <c r="A46" s="32"/>
      <c r="B46" s="69"/>
      <c r="C46" s="69"/>
      <c r="D46" s="275"/>
      <c r="E46" s="275"/>
      <c r="F46" s="475"/>
      <c r="G46" s="204"/>
    </row>
    <row r="47" spans="1:7" x14ac:dyDescent="0.2">
      <c r="A47" s="32"/>
      <c r="B47" s="69"/>
      <c r="C47" s="69"/>
      <c r="D47" s="277"/>
      <c r="E47" s="277"/>
      <c r="F47" s="475"/>
      <c r="G47" s="204"/>
    </row>
    <row r="48" spans="1:7" x14ac:dyDescent="0.2">
      <c r="B48" s="69"/>
      <c r="C48" s="69"/>
      <c r="D48" s="275"/>
      <c r="E48" s="275"/>
      <c r="F48" s="475"/>
      <c r="G48" s="204"/>
    </row>
    <row r="49" spans="1:7" x14ac:dyDescent="0.2">
      <c r="B49" s="69"/>
      <c r="C49" s="69"/>
      <c r="D49" s="275"/>
      <c r="E49" s="275"/>
      <c r="F49" s="475"/>
      <c r="G49" s="204"/>
    </row>
    <row r="50" spans="1:7" x14ac:dyDescent="0.2">
      <c r="C50" s="292"/>
      <c r="D50" s="292"/>
      <c r="E50" s="292"/>
      <c r="F50" s="477"/>
      <c r="G50" s="293"/>
    </row>
    <row r="51" spans="1:7" x14ac:dyDescent="0.2">
      <c r="A51" s="32"/>
      <c r="C51" s="292"/>
      <c r="D51" s="292"/>
      <c r="E51" s="292"/>
      <c r="F51" s="477"/>
    </row>
    <row r="52" spans="1:7" x14ac:dyDescent="0.2">
      <c r="A52" s="32"/>
      <c r="C52" s="292"/>
      <c r="D52" s="292"/>
      <c r="E52" s="292"/>
      <c r="F52" s="477"/>
    </row>
    <row r="53" spans="1:7" x14ac:dyDescent="0.2">
      <c r="A53" s="32"/>
      <c r="C53" s="292"/>
      <c r="D53" s="292"/>
      <c r="E53" s="292"/>
      <c r="F53" s="477"/>
    </row>
    <row r="54" spans="1:7" x14ac:dyDescent="0.2">
      <c r="A54" s="32"/>
      <c r="C54" s="292"/>
      <c r="D54" s="292"/>
      <c r="E54" s="292"/>
      <c r="F54" s="477"/>
    </row>
    <row r="55" spans="1:7" x14ac:dyDescent="0.2">
      <c r="A55" s="32"/>
      <c r="C55" s="292"/>
      <c r="D55" s="292"/>
      <c r="E55" s="278"/>
      <c r="F55" s="430"/>
    </row>
    <row r="56" spans="1:7" x14ac:dyDescent="0.2">
      <c r="C56" s="292"/>
      <c r="D56" s="292"/>
      <c r="E56" s="278"/>
      <c r="F56" s="430"/>
    </row>
    <row r="57" spans="1:7" x14ac:dyDescent="0.2">
      <c r="C57" s="292"/>
      <c r="D57" s="292"/>
      <c r="E57" s="278"/>
      <c r="F57" s="430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6"/>
    </row>
    <row r="101" spans="1:6" x14ac:dyDescent="0.2">
      <c r="A101" s="32"/>
      <c r="E101" s="63"/>
      <c r="F101" s="476"/>
    </row>
    <row r="102" spans="1:6" ht="13.5" thickBot="1" x14ac:dyDescent="0.25">
      <c r="A102" s="32"/>
      <c r="D102" s="68"/>
      <c r="E102" s="68"/>
      <c r="F102" s="47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6"/>
    </row>
    <row r="127" spans="1:6" x14ac:dyDescent="0.2">
      <c r="A127" s="32"/>
      <c r="D127" s="75"/>
      <c r="E127" s="75"/>
      <c r="F127" s="476"/>
    </row>
    <row r="128" spans="1:6" ht="13.5" thickBot="1" x14ac:dyDescent="0.25">
      <c r="A128" s="32"/>
      <c r="D128" s="77"/>
      <c r="E128" s="77"/>
      <c r="F128" s="47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6"/>
    </row>
    <row r="152" spans="1:6" x14ac:dyDescent="0.2">
      <c r="A152" s="32"/>
      <c r="D152" s="75"/>
      <c r="E152" s="75"/>
      <c r="F152" s="476"/>
    </row>
    <row r="153" spans="1:6" ht="13.5" thickBot="1" x14ac:dyDescent="0.25">
      <c r="A153" s="32"/>
      <c r="D153" s="77"/>
      <c r="E153" s="77"/>
      <c r="F153" s="47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6"/>
    </row>
    <row r="177" spans="1:6" x14ac:dyDescent="0.2">
      <c r="A177" s="32"/>
      <c r="D177" s="75"/>
      <c r="E177" s="75"/>
      <c r="F177" s="476"/>
    </row>
    <row r="178" spans="1:6" ht="13.5" thickBot="1" x14ac:dyDescent="0.25">
      <c r="A178" s="32"/>
      <c r="D178" s="77"/>
      <c r="E178" s="77"/>
      <c r="F178" s="47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6"/>
    </row>
    <row r="201" spans="1:6" x14ac:dyDescent="0.2">
      <c r="A201" s="32"/>
      <c r="D201" s="75"/>
      <c r="E201" s="75"/>
      <c r="F201" s="476"/>
    </row>
    <row r="202" spans="1:6" ht="13.5" thickBot="1" x14ac:dyDescent="0.25">
      <c r="A202" s="32"/>
      <c r="D202" s="83"/>
      <c r="E202" s="77"/>
      <c r="F202" s="47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6"/>
    </row>
    <row r="227" spans="1:6" x14ac:dyDescent="0.2">
      <c r="A227" s="32"/>
      <c r="D227" s="75"/>
      <c r="E227" s="75"/>
      <c r="F227" s="476"/>
    </row>
    <row r="228" spans="1:6" ht="13.5" thickBot="1" x14ac:dyDescent="0.25">
      <c r="A228" s="32"/>
      <c r="D228" s="83"/>
      <c r="E228" s="77"/>
      <c r="F228" s="47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6"/>
    </row>
    <row r="251" spans="1:6" x14ac:dyDescent="0.2">
      <c r="A251" s="32"/>
      <c r="D251" s="75"/>
      <c r="E251" s="75"/>
      <c r="F251" s="476"/>
    </row>
    <row r="252" spans="1:6" ht="13.5" thickBot="1" x14ac:dyDescent="0.25">
      <c r="A252" s="32"/>
      <c r="D252" s="86"/>
      <c r="E252" s="77"/>
      <c r="F252" s="47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6"/>
    </row>
    <row r="275" spans="1:6" x14ac:dyDescent="0.2">
      <c r="A275" s="87"/>
      <c r="B275" s="88"/>
      <c r="C275" s="88"/>
      <c r="D275" s="96"/>
      <c r="E275" s="75"/>
      <c r="F275" s="476"/>
    </row>
    <row r="276" spans="1:6" ht="13.5" thickBot="1" x14ac:dyDescent="0.25">
      <c r="A276" s="87"/>
      <c r="B276" s="88"/>
      <c r="C276" s="88"/>
      <c r="D276" s="98"/>
      <c r="E276" s="77"/>
      <c r="F276" s="47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6"/>
    </row>
    <row r="300" spans="1:6" x14ac:dyDescent="0.2">
      <c r="A300" s="87"/>
      <c r="B300" s="88"/>
      <c r="C300" s="88"/>
      <c r="D300" s="96"/>
      <c r="E300" s="75"/>
      <c r="F300" s="476"/>
    </row>
    <row r="301" spans="1:6" ht="13.5" thickBot="1" x14ac:dyDescent="0.25">
      <c r="A301" s="87"/>
      <c r="B301" s="88"/>
      <c r="C301" s="88"/>
      <c r="D301" s="98"/>
      <c r="E301" s="77"/>
      <c r="F301" s="47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6"/>
    </row>
    <row r="327" spans="1:6" x14ac:dyDescent="0.2">
      <c r="A327" s="87"/>
      <c r="B327" s="88"/>
      <c r="C327" s="88"/>
      <c r="D327" s="96"/>
      <c r="E327" s="75"/>
      <c r="F327" s="476"/>
    </row>
    <row r="328" spans="1:6" ht="13.5" thickBot="1" x14ac:dyDescent="0.25">
      <c r="A328" s="87"/>
      <c r="B328" s="88"/>
      <c r="C328" s="88"/>
      <c r="D328" s="98"/>
      <c r="E328" s="77"/>
      <c r="F328" s="47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2" workbookViewId="0">
      <selection activeCell="E32" sqref="E32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20</v>
      </c>
      <c r="C2" s="254" t="s">
        <v>21</v>
      </c>
      <c r="D2" s="254" t="s">
        <v>20</v>
      </c>
      <c r="E2" s="254" t="s">
        <v>21</v>
      </c>
      <c r="F2" s="255" t="s">
        <v>50</v>
      </c>
    </row>
    <row r="3" spans="1:24" x14ac:dyDescent="0.2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">
      <c r="A6">
        <v>4</v>
      </c>
      <c r="B6" s="90">
        <v>19712</v>
      </c>
      <c r="C6" s="90">
        <v>19737</v>
      </c>
      <c r="D6" s="90"/>
      <c r="E6" s="90">
        <v>-10000</v>
      </c>
      <c r="F6" s="90">
        <f t="shared" ref="F6:F33" si="0">+E6-D6+C6-B6</f>
        <v>-9975</v>
      </c>
      <c r="I6" t="s">
        <v>242</v>
      </c>
      <c r="P6" t="s">
        <v>243</v>
      </c>
    </row>
    <row r="7" spans="1:24" x14ac:dyDescent="0.2">
      <c r="A7">
        <v>5</v>
      </c>
      <c r="B7" s="90">
        <v>19700</v>
      </c>
      <c r="C7" s="90">
        <v>19737</v>
      </c>
      <c r="D7" s="90"/>
      <c r="E7" s="90">
        <v>-50</v>
      </c>
      <c r="F7" s="90">
        <f t="shared" si="0"/>
        <v>-13</v>
      </c>
    </row>
    <row r="8" spans="1:24" x14ac:dyDescent="0.2">
      <c r="A8">
        <v>6</v>
      </c>
      <c r="B8" s="90">
        <v>19696</v>
      </c>
      <c r="C8" s="90">
        <v>19737</v>
      </c>
      <c r="D8" s="90"/>
      <c r="E8" s="90"/>
      <c r="F8" s="90">
        <f t="shared" si="0"/>
        <v>41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">
      <c r="A9">
        <v>7</v>
      </c>
      <c r="B9" s="90">
        <v>22849</v>
      </c>
      <c r="C9" s="90">
        <v>22895</v>
      </c>
      <c r="D9" s="90"/>
      <c r="E9" s="90"/>
      <c r="F9" s="90">
        <f t="shared" si="0"/>
        <v>46</v>
      </c>
      <c r="I9" s="455"/>
      <c r="J9" s="330"/>
      <c r="K9" s="330"/>
      <c r="L9" s="330"/>
      <c r="M9" s="454"/>
      <c r="N9" s="454"/>
      <c r="O9" s="454"/>
      <c r="P9" s="455"/>
      <c r="Q9" s="330"/>
      <c r="R9" s="330"/>
      <c r="S9" s="330"/>
      <c r="T9" s="454"/>
      <c r="U9" s="454"/>
    </row>
    <row r="10" spans="1:24" x14ac:dyDescent="0.2">
      <c r="A10">
        <v>8</v>
      </c>
      <c r="B10" s="90">
        <v>19738</v>
      </c>
      <c r="C10" s="90">
        <v>19737</v>
      </c>
      <c r="D10" s="90"/>
      <c r="E10" s="90"/>
      <c r="F10" s="90">
        <f t="shared" si="0"/>
        <v>-1</v>
      </c>
      <c r="I10" s="455">
        <v>37012</v>
      </c>
      <c r="J10" s="330">
        <v>1103057</v>
      </c>
      <c r="K10" s="330">
        <v>1120793</v>
      </c>
      <c r="L10" s="330">
        <f>+K10-J10</f>
        <v>17736</v>
      </c>
      <c r="M10" s="454">
        <v>4.01</v>
      </c>
      <c r="N10" s="454">
        <f>+L10*M10</f>
        <v>71121.36</v>
      </c>
      <c r="O10" s="454"/>
      <c r="P10" s="455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4">
        <v>4.01</v>
      </c>
      <c r="U10" s="454">
        <f>+S10*T10</f>
        <v>71081.259999999995</v>
      </c>
      <c r="W10" s="456">
        <v>37012</v>
      </c>
      <c r="X10">
        <v>4.01</v>
      </c>
    </row>
    <row r="11" spans="1:24" x14ac:dyDescent="0.2">
      <c r="A11">
        <v>9</v>
      </c>
      <c r="B11" s="90">
        <v>19291</v>
      </c>
      <c r="C11" s="90">
        <v>19737</v>
      </c>
      <c r="D11" s="90">
        <v>-10996</v>
      </c>
      <c r="E11" s="90">
        <v>-25000</v>
      </c>
      <c r="F11" s="90">
        <f t="shared" si="0"/>
        <v>-13558</v>
      </c>
      <c r="I11" s="455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4">
        <v>3.51</v>
      </c>
      <c r="N11" s="454">
        <f>+L11*M11</f>
        <v>96809.31</v>
      </c>
      <c r="O11" s="454"/>
      <c r="P11" s="455">
        <v>37043</v>
      </c>
      <c r="Q11" s="330">
        <v>-153623</v>
      </c>
      <c r="R11" s="330">
        <v>-88473</v>
      </c>
      <c r="S11" s="330">
        <f t="shared" si="1"/>
        <v>65150</v>
      </c>
      <c r="T11" s="454">
        <v>3.51</v>
      </c>
      <c r="U11" s="454">
        <f>+S11*T11</f>
        <v>228676.5</v>
      </c>
      <c r="W11" s="456">
        <v>37043</v>
      </c>
      <c r="X11">
        <v>3.51</v>
      </c>
    </row>
    <row r="12" spans="1:24" x14ac:dyDescent="0.2">
      <c r="A12">
        <v>10</v>
      </c>
      <c r="B12" s="90">
        <v>19791</v>
      </c>
      <c r="C12" s="90">
        <v>19737</v>
      </c>
      <c r="D12" s="90">
        <v>-1092</v>
      </c>
      <c r="E12" s="90">
        <v>-9593</v>
      </c>
      <c r="F12" s="90">
        <f t="shared" si="0"/>
        <v>-8555</v>
      </c>
      <c r="I12" s="455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4">
        <v>2.94</v>
      </c>
      <c r="N12" s="454">
        <f>+L12*M12</f>
        <v>-114736.44</v>
      </c>
      <c r="O12" s="454"/>
      <c r="P12" s="455">
        <v>37104</v>
      </c>
      <c r="Q12" s="330">
        <v>-34269</v>
      </c>
      <c r="R12" s="330">
        <v>-27046</v>
      </c>
      <c r="S12" s="330">
        <f t="shared" si="1"/>
        <v>7223</v>
      </c>
      <c r="T12" s="454">
        <v>2.85</v>
      </c>
      <c r="U12" s="454">
        <f>+S12*T12</f>
        <v>20585.55</v>
      </c>
      <c r="W12" s="456">
        <v>37073</v>
      </c>
      <c r="X12">
        <v>2.94</v>
      </c>
    </row>
    <row r="13" spans="1:24" x14ac:dyDescent="0.2">
      <c r="A13">
        <v>11</v>
      </c>
      <c r="B13" s="90">
        <v>39582</v>
      </c>
      <c r="C13" s="90">
        <v>39737</v>
      </c>
      <c r="D13" s="90">
        <v>-16072</v>
      </c>
      <c r="E13" s="90">
        <v>-25000</v>
      </c>
      <c r="F13" s="90">
        <f t="shared" si="0"/>
        <v>-8773</v>
      </c>
      <c r="I13" s="455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4">
        <v>2.85</v>
      </c>
      <c r="N13" s="454">
        <f>+L13*M13</f>
        <v>-55210.200000000004</v>
      </c>
      <c r="O13" s="454"/>
      <c r="P13" s="455">
        <v>37135</v>
      </c>
      <c r="Q13" s="330">
        <v>-1191628</v>
      </c>
      <c r="R13" s="330">
        <v>-1210937</v>
      </c>
      <c r="S13" s="330">
        <f t="shared" si="1"/>
        <v>-19309</v>
      </c>
      <c r="T13" s="454">
        <v>1.96</v>
      </c>
      <c r="U13" s="454">
        <f>+S13*T13</f>
        <v>-37845.64</v>
      </c>
      <c r="W13" s="456">
        <v>37104</v>
      </c>
      <c r="X13">
        <v>2.85</v>
      </c>
    </row>
    <row r="14" spans="1:24" x14ac:dyDescent="0.2">
      <c r="A14">
        <v>12</v>
      </c>
      <c r="B14" s="88">
        <v>27328</v>
      </c>
      <c r="C14" s="90">
        <v>27256</v>
      </c>
      <c r="D14" s="88">
        <v>-473</v>
      </c>
      <c r="E14" s="88"/>
      <c r="F14" s="90">
        <f t="shared" si="0"/>
        <v>401</v>
      </c>
      <c r="I14" s="455">
        <v>37135</v>
      </c>
      <c r="J14" s="330">
        <v>1109912</v>
      </c>
      <c r="K14" s="330">
        <v>1111335</v>
      </c>
      <c r="L14" s="330">
        <f>+K14-J14</f>
        <v>1423</v>
      </c>
      <c r="M14" s="454">
        <v>1.96</v>
      </c>
      <c r="N14" s="457">
        <f>+L14*M14</f>
        <v>2789.08</v>
      </c>
      <c r="O14" s="454"/>
      <c r="P14" s="455"/>
      <c r="Q14" s="330"/>
      <c r="R14" s="330"/>
      <c r="S14" s="330">
        <f t="shared" si="1"/>
        <v>0</v>
      </c>
      <c r="T14" s="454"/>
      <c r="U14" s="454"/>
      <c r="W14" s="456">
        <v>37135</v>
      </c>
      <c r="X14">
        <v>1.96</v>
      </c>
    </row>
    <row r="15" spans="1:24" x14ac:dyDescent="0.2">
      <c r="A15">
        <v>13</v>
      </c>
      <c r="B15" s="88">
        <v>11955</v>
      </c>
      <c r="C15" s="88">
        <v>27895</v>
      </c>
      <c r="D15" s="88"/>
      <c r="E15" s="88">
        <v>-4731</v>
      </c>
      <c r="F15" s="90">
        <f t="shared" si="0"/>
        <v>11209</v>
      </c>
      <c r="I15" s="455"/>
      <c r="J15" s="330"/>
      <c r="K15" s="330"/>
      <c r="L15" s="330"/>
      <c r="M15" s="454"/>
      <c r="N15" s="454"/>
      <c r="O15" s="454"/>
      <c r="P15" s="455"/>
      <c r="Q15" s="330"/>
      <c r="R15" s="330"/>
      <c r="S15" s="330">
        <f t="shared" si="1"/>
        <v>0</v>
      </c>
      <c r="T15" s="454"/>
      <c r="U15" s="454"/>
    </row>
    <row r="16" spans="1:24" x14ac:dyDescent="0.2">
      <c r="A16">
        <v>14</v>
      </c>
      <c r="B16" s="88">
        <v>22276</v>
      </c>
      <c r="C16" s="88">
        <v>22895</v>
      </c>
      <c r="D16" s="88"/>
      <c r="E16" s="88"/>
      <c r="F16" s="90">
        <f t="shared" si="0"/>
        <v>619</v>
      </c>
      <c r="I16" s="455" t="s">
        <v>244</v>
      </c>
      <c r="J16" s="330"/>
      <c r="K16" s="330"/>
      <c r="L16" s="330">
        <f>SUM(L10:L15)</f>
        <v>-11658</v>
      </c>
      <c r="M16" s="454"/>
      <c r="N16" s="454">
        <f>SUM(N9:N15)</f>
        <v>773.10999999997694</v>
      </c>
      <c r="O16" s="454"/>
      <c r="P16" s="455" t="s">
        <v>244</v>
      </c>
      <c r="Q16" s="330"/>
      <c r="R16" s="330"/>
      <c r="S16" s="330">
        <f>SUM(S9:S15)</f>
        <v>70790</v>
      </c>
      <c r="T16" s="454"/>
      <c r="U16" s="454">
        <f>SUM(U9:U15)</f>
        <v>282497.67</v>
      </c>
    </row>
    <row r="17" spans="1:21" x14ac:dyDescent="0.2">
      <c r="A17">
        <v>15</v>
      </c>
      <c r="B17" s="88">
        <v>22817</v>
      </c>
      <c r="C17" s="88">
        <v>22895</v>
      </c>
      <c r="D17" s="330"/>
      <c r="E17" s="330"/>
      <c r="F17" s="90">
        <f t="shared" si="0"/>
        <v>78</v>
      </c>
    </row>
    <row r="18" spans="1:21" x14ac:dyDescent="0.2">
      <c r="A18">
        <v>16</v>
      </c>
      <c r="B18" s="88">
        <v>22888</v>
      </c>
      <c r="C18" s="88">
        <v>22895</v>
      </c>
      <c r="D18" s="330"/>
      <c r="E18" s="330"/>
      <c r="F18" s="90">
        <f t="shared" si="0"/>
        <v>7</v>
      </c>
      <c r="I18" s="455" t="s">
        <v>245</v>
      </c>
      <c r="J18" s="330"/>
      <c r="K18" s="330"/>
      <c r="L18" s="330">
        <v>19880</v>
      </c>
      <c r="M18" s="454"/>
      <c r="N18" s="454"/>
      <c r="O18" s="454"/>
      <c r="P18" s="455" t="s">
        <v>245</v>
      </c>
      <c r="Q18" s="330"/>
      <c r="R18" s="330"/>
      <c r="S18" s="330">
        <v>37185</v>
      </c>
      <c r="T18" s="454"/>
      <c r="U18" s="454"/>
    </row>
    <row r="19" spans="1:21" x14ac:dyDescent="0.2">
      <c r="A19">
        <v>17</v>
      </c>
      <c r="B19" s="88">
        <v>22877</v>
      </c>
      <c r="C19" s="88">
        <v>22895</v>
      </c>
      <c r="D19" s="330"/>
      <c r="E19" s="330"/>
      <c r="F19" s="90">
        <f t="shared" si="0"/>
        <v>18</v>
      </c>
      <c r="I19" s="455"/>
      <c r="J19" s="330"/>
      <c r="K19" s="330"/>
      <c r="L19" s="330"/>
      <c r="M19" s="454"/>
      <c r="N19" s="454"/>
      <c r="O19" s="454"/>
      <c r="P19" s="455"/>
      <c r="Q19" s="330"/>
      <c r="R19" s="330"/>
      <c r="S19" s="330"/>
      <c r="T19" s="454"/>
      <c r="U19" s="454"/>
    </row>
    <row r="20" spans="1:21" x14ac:dyDescent="0.2">
      <c r="A20">
        <v>18</v>
      </c>
      <c r="B20" s="330">
        <v>22876</v>
      </c>
      <c r="C20" s="330">
        <v>22895</v>
      </c>
      <c r="D20" s="330"/>
      <c r="E20" s="330"/>
      <c r="F20" s="90">
        <f t="shared" si="0"/>
        <v>19</v>
      </c>
      <c r="I20" s="455"/>
      <c r="J20" s="330"/>
      <c r="K20" s="330"/>
      <c r="L20" s="330"/>
      <c r="M20" s="454"/>
      <c r="N20" s="454"/>
      <c r="O20" s="454"/>
      <c r="P20" s="455"/>
      <c r="Q20" s="330"/>
      <c r="R20" s="330"/>
      <c r="S20" s="330"/>
      <c r="T20" s="454"/>
      <c r="U20" s="454"/>
    </row>
    <row r="21" spans="1:21" x14ac:dyDescent="0.2">
      <c r="A21">
        <v>19</v>
      </c>
      <c r="B21" s="330">
        <v>22876</v>
      </c>
      <c r="C21" s="330">
        <v>22895</v>
      </c>
      <c r="D21" s="330"/>
      <c r="E21" s="330"/>
      <c r="F21" s="90">
        <f t="shared" si="0"/>
        <v>19</v>
      </c>
      <c r="I21" s="455"/>
      <c r="J21" s="330"/>
      <c r="K21" s="330"/>
      <c r="L21" s="330"/>
      <c r="M21" s="454"/>
      <c r="N21" s="454"/>
      <c r="O21" s="454"/>
      <c r="P21" s="455"/>
      <c r="Q21" s="330"/>
      <c r="R21" s="330"/>
      <c r="S21" s="330"/>
      <c r="T21" s="454"/>
      <c r="U21" s="454"/>
    </row>
    <row r="22" spans="1:21" x14ac:dyDescent="0.2">
      <c r="A22">
        <v>20</v>
      </c>
      <c r="B22" s="436">
        <v>19733</v>
      </c>
      <c r="C22" s="330">
        <v>19737</v>
      </c>
      <c r="D22" s="330">
        <v>-14512</v>
      </c>
      <c r="E22" s="330">
        <v>-15000</v>
      </c>
      <c r="F22" s="90">
        <f t="shared" si="0"/>
        <v>-484</v>
      </c>
      <c r="I22" s="455"/>
      <c r="J22" s="330"/>
      <c r="K22" s="330"/>
      <c r="L22" s="330"/>
      <c r="M22" s="454"/>
      <c r="N22" s="454"/>
      <c r="O22" s="454"/>
      <c r="P22" s="455"/>
      <c r="Q22" s="330"/>
      <c r="R22" s="330"/>
      <c r="S22" s="330"/>
      <c r="T22" s="454"/>
      <c r="U22" s="454"/>
    </row>
    <row r="23" spans="1:21" x14ac:dyDescent="0.2">
      <c r="A23">
        <v>21</v>
      </c>
      <c r="B23" s="330">
        <v>22844</v>
      </c>
      <c r="C23" s="330">
        <v>22895</v>
      </c>
      <c r="D23" s="330"/>
      <c r="E23" s="330">
        <v>-4995</v>
      </c>
      <c r="F23" s="90">
        <f t="shared" si="0"/>
        <v>-4944</v>
      </c>
      <c r="I23" s="455"/>
      <c r="J23" s="330"/>
      <c r="K23" s="330"/>
      <c r="L23" s="330"/>
      <c r="M23" s="454"/>
      <c r="N23" s="454"/>
      <c r="O23" s="454"/>
      <c r="P23" s="455"/>
      <c r="Q23" s="330"/>
      <c r="R23" s="330"/>
      <c r="S23" s="330"/>
      <c r="T23" s="454"/>
      <c r="U23" s="454"/>
    </row>
    <row r="24" spans="1:21" x14ac:dyDescent="0.2">
      <c r="A24">
        <v>22</v>
      </c>
      <c r="B24" s="330">
        <v>19731</v>
      </c>
      <c r="C24" s="330">
        <v>19737</v>
      </c>
      <c r="D24" s="330"/>
      <c r="E24" s="330"/>
      <c r="F24" s="90">
        <f t="shared" si="0"/>
        <v>6</v>
      </c>
      <c r="I24" s="87"/>
      <c r="J24" s="87"/>
      <c r="K24" s="87"/>
      <c r="L24" s="87"/>
      <c r="M24" s="454"/>
      <c r="N24" s="454"/>
      <c r="O24" s="454"/>
      <c r="P24" s="87"/>
      <c r="Q24" s="87"/>
      <c r="R24" s="87"/>
      <c r="S24" s="330"/>
      <c r="T24" s="454"/>
      <c r="U24" s="454"/>
    </row>
    <row r="25" spans="1:21" x14ac:dyDescent="0.2">
      <c r="A25">
        <v>23</v>
      </c>
      <c r="B25" s="330">
        <v>19709</v>
      </c>
      <c r="C25" s="330">
        <v>19737</v>
      </c>
      <c r="D25" s="330"/>
      <c r="E25" s="330"/>
      <c r="F25" s="90">
        <f t="shared" si="0"/>
        <v>28</v>
      </c>
      <c r="I25" s="87"/>
      <c r="J25" s="87"/>
      <c r="K25" s="87"/>
      <c r="L25" s="87"/>
      <c r="M25" s="454"/>
      <c r="N25" s="454"/>
      <c r="O25" s="454"/>
      <c r="P25" s="87"/>
      <c r="Q25" s="87"/>
      <c r="R25" s="87"/>
      <c r="S25" s="330"/>
      <c r="T25" s="454"/>
      <c r="U25" s="454"/>
    </row>
    <row r="26" spans="1:21" x14ac:dyDescent="0.2">
      <c r="A26">
        <v>24</v>
      </c>
      <c r="B26" s="330">
        <v>19716</v>
      </c>
      <c r="C26" s="330">
        <v>19737</v>
      </c>
      <c r="D26" s="330"/>
      <c r="E26" s="330"/>
      <c r="F26" s="90">
        <f t="shared" si="0"/>
        <v>21</v>
      </c>
      <c r="I26" s="87"/>
      <c r="J26" s="87"/>
      <c r="K26" s="87"/>
      <c r="L26" s="87"/>
      <c r="M26" s="454"/>
      <c r="N26" s="454"/>
      <c r="O26" s="454"/>
      <c r="P26" s="87"/>
      <c r="Q26" s="87"/>
      <c r="R26" s="87"/>
      <c r="S26" s="330"/>
      <c r="T26" s="454"/>
      <c r="U26" s="454"/>
    </row>
    <row r="27" spans="1:21" x14ac:dyDescent="0.2">
      <c r="A27">
        <v>25</v>
      </c>
      <c r="B27" s="330">
        <v>19708</v>
      </c>
      <c r="C27" s="330">
        <v>19737</v>
      </c>
      <c r="D27" s="330"/>
      <c r="E27" s="330"/>
      <c r="F27" s="90">
        <f t="shared" si="0"/>
        <v>29</v>
      </c>
      <c r="I27" s="87"/>
      <c r="J27" s="87"/>
      <c r="K27" s="87"/>
      <c r="L27" s="87"/>
      <c r="M27" s="454"/>
      <c r="N27" s="454"/>
      <c r="O27" s="454"/>
      <c r="P27" s="87"/>
      <c r="Q27" s="87"/>
      <c r="R27" s="87"/>
      <c r="S27" s="330"/>
      <c r="T27" s="454"/>
      <c r="U27" s="454"/>
    </row>
    <row r="28" spans="1:21" x14ac:dyDescent="0.2">
      <c r="A28">
        <v>26</v>
      </c>
      <c r="B28" s="330">
        <v>29624</v>
      </c>
      <c r="C28" s="330">
        <v>19737</v>
      </c>
      <c r="D28" s="14"/>
      <c r="E28" s="14"/>
      <c r="F28" s="90">
        <f t="shared" si="0"/>
        <v>-9887</v>
      </c>
      <c r="I28" s="87"/>
      <c r="J28" s="87"/>
      <c r="K28" s="87"/>
      <c r="L28" s="87"/>
      <c r="M28" s="454"/>
      <c r="N28" s="454"/>
      <c r="O28" s="454"/>
      <c r="P28" s="87"/>
      <c r="Q28" s="87"/>
      <c r="R28" s="87"/>
      <c r="S28" s="87"/>
      <c r="T28" s="454"/>
      <c r="U28" s="454"/>
    </row>
    <row r="29" spans="1:21" x14ac:dyDescent="0.2">
      <c r="A29">
        <v>27</v>
      </c>
      <c r="B29" s="330">
        <v>19812</v>
      </c>
      <c r="C29" s="330">
        <v>19737</v>
      </c>
      <c r="D29" s="14">
        <v>-18198</v>
      </c>
      <c r="E29" s="14">
        <v>-17600</v>
      </c>
      <c r="F29" s="90">
        <f t="shared" si="0"/>
        <v>523</v>
      </c>
      <c r="I29" s="87"/>
      <c r="J29" s="87"/>
      <c r="K29" s="87"/>
      <c r="L29" s="87"/>
      <c r="M29" s="454"/>
      <c r="N29" s="454"/>
      <c r="O29" s="454"/>
      <c r="P29" s="87"/>
      <c r="Q29" s="87"/>
      <c r="R29" s="87"/>
      <c r="S29" s="87"/>
      <c r="T29" s="454"/>
      <c r="U29" s="454"/>
    </row>
    <row r="30" spans="1:21" x14ac:dyDescent="0.2">
      <c r="A30">
        <v>28</v>
      </c>
      <c r="B30" s="436">
        <v>30623</v>
      </c>
      <c r="C30" s="330">
        <v>25737</v>
      </c>
      <c r="D30" s="14">
        <v>-29923</v>
      </c>
      <c r="E30" s="14">
        <v>-53791</v>
      </c>
      <c r="F30" s="90">
        <f t="shared" si="0"/>
        <v>-28754</v>
      </c>
      <c r="I30" s="87"/>
      <c r="J30" s="87"/>
      <c r="K30" s="87"/>
      <c r="L30" s="87"/>
      <c r="M30" s="454"/>
      <c r="N30" s="454"/>
      <c r="O30" s="454"/>
      <c r="P30" s="87"/>
      <c r="Q30" s="87"/>
      <c r="R30" s="87"/>
      <c r="S30" s="87"/>
      <c r="T30" s="454"/>
      <c r="U30" s="454"/>
    </row>
    <row r="31" spans="1:21" x14ac:dyDescent="0.2">
      <c r="A31">
        <v>29</v>
      </c>
      <c r="B31" s="330">
        <v>22766</v>
      </c>
      <c r="C31" s="330">
        <v>22737</v>
      </c>
      <c r="D31" s="14">
        <v>-402</v>
      </c>
      <c r="E31" s="14">
        <v>0</v>
      </c>
      <c r="F31" s="90">
        <f t="shared" si="0"/>
        <v>373</v>
      </c>
      <c r="I31" s="87"/>
      <c r="J31" s="87"/>
      <c r="K31" s="87"/>
      <c r="L31" s="87"/>
      <c r="M31" s="454"/>
      <c r="N31" s="454"/>
      <c r="O31" s="454"/>
      <c r="P31" s="87"/>
      <c r="Q31" s="87"/>
      <c r="R31" s="87"/>
      <c r="S31" s="87"/>
      <c r="T31" s="454"/>
      <c r="U31" s="454"/>
    </row>
    <row r="32" spans="1:21" x14ac:dyDescent="0.2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">
      <c r="B34" s="287">
        <f>SUM(B3:B33)</f>
        <v>639503</v>
      </c>
      <c r="C34" s="287">
        <f>SUM(C3:C33)</f>
        <v>642314</v>
      </c>
      <c r="D34" s="14">
        <f>SUM(D3:D33)</f>
        <v>-91668</v>
      </c>
      <c r="E34" s="14">
        <f>SUM(E3:E33)</f>
        <v>-165760</v>
      </c>
      <c r="F34" s="14">
        <f>SUM(F3:F33)</f>
        <v>-71281</v>
      </c>
      <c r="M34" s="259"/>
      <c r="N34" s="259"/>
      <c r="O34" s="259"/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37225</v>
      </c>
      <c r="B37" s="14"/>
      <c r="C37" s="14"/>
      <c r="D37" s="14"/>
      <c r="E37" s="14"/>
      <c r="F37" s="501">
        <v>187363</v>
      </c>
      <c r="M37" s="259"/>
      <c r="N37" s="259"/>
      <c r="O37" s="259"/>
      <c r="T37" s="259"/>
      <c r="U37" s="259"/>
    </row>
    <row r="38" spans="1:21" x14ac:dyDescent="0.2">
      <c r="A38" s="256">
        <v>37254</v>
      </c>
      <c r="B38" s="14"/>
      <c r="C38" s="14"/>
      <c r="D38" s="14"/>
      <c r="E38" s="14"/>
      <c r="F38" s="150">
        <f>+F37+F34</f>
        <v>116082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153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37225</v>
      </c>
      <c r="B43" s="32"/>
      <c r="C43" s="32"/>
      <c r="D43" s="508">
        <v>456695.3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37254</v>
      </c>
      <c r="B44" s="32"/>
      <c r="C44" s="32"/>
      <c r="D44" s="382">
        <f>+F34*'by type_area'!J4</f>
        <v>-157531.01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299164.28999999998</v>
      </c>
      <c r="F45" s="293"/>
      <c r="I45" s="540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16" workbookViewId="0">
      <selection activeCell="A56" sqref="A56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">
      <c r="A7" s="10">
        <v>4</v>
      </c>
      <c r="B7" s="11">
        <v>-19990</v>
      </c>
      <c r="C7" s="11">
        <v>-19952</v>
      </c>
      <c r="D7" s="25">
        <f t="shared" si="0"/>
        <v>38</v>
      </c>
    </row>
    <row r="8" spans="1:4" x14ac:dyDescent="0.2">
      <c r="A8" s="10">
        <v>5</v>
      </c>
      <c r="B8" s="11">
        <v>-20010</v>
      </c>
      <c r="C8" s="11">
        <v>-19952</v>
      </c>
      <c r="D8" s="25">
        <f t="shared" si="0"/>
        <v>58</v>
      </c>
    </row>
    <row r="9" spans="1:4" x14ac:dyDescent="0.2">
      <c r="A9" s="10">
        <v>6</v>
      </c>
      <c r="B9" s="11">
        <v>-19999</v>
      </c>
      <c r="C9" s="11">
        <v>-20000</v>
      </c>
      <c r="D9" s="25">
        <f t="shared" si="0"/>
        <v>-1</v>
      </c>
    </row>
    <row r="10" spans="1:4" x14ac:dyDescent="0.2">
      <c r="A10" s="10">
        <v>7</v>
      </c>
      <c r="B10" s="129">
        <v>-20968</v>
      </c>
      <c r="C10" s="11">
        <v>-20000</v>
      </c>
      <c r="D10" s="25">
        <f t="shared" si="0"/>
        <v>968</v>
      </c>
    </row>
    <row r="11" spans="1:4" x14ac:dyDescent="0.2">
      <c r="A11" s="10">
        <v>8</v>
      </c>
      <c r="B11" s="11">
        <v>-20315</v>
      </c>
      <c r="C11" s="11">
        <v>-20000</v>
      </c>
      <c r="D11" s="25">
        <f t="shared" si="0"/>
        <v>315</v>
      </c>
    </row>
    <row r="12" spans="1:4" x14ac:dyDescent="0.2">
      <c r="A12" s="10">
        <v>9</v>
      </c>
      <c r="B12" s="11">
        <v>-20002</v>
      </c>
      <c r="C12" s="11">
        <v>-19153</v>
      </c>
      <c r="D12" s="25">
        <f t="shared" si="0"/>
        <v>849</v>
      </c>
    </row>
    <row r="13" spans="1:4" x14ac:dyDescent="0.2">
      <c r="A13" s="10">
        <v>10</v>
      </c>
      <c r="B13" s="11">
        <v>-19998</v>
      </c>
      <c r="C13" s="11">
        <v>-19490</v>
      </c>
      <c r="D13" s="25">
        <f t="shared" si="0"/>
        <v>508</v>
      </c>
    </row>
    <row r="14" spans="1:4" x14ac:dyDescent="0.2">
      <c r="A14" s="10">
        <v>11</v>
      </c>
      <c r="B14" s="11">
        <v>-20001</v>
      </c>
      <c r="C14" s="11">
        <v>-20000</v>
      </c>
      <c r="D14" s="25">
        <f t="shared" si="0"/>
        <v>1</v>
      </c>
    </row>
    <row r="15" spans="1:4" x14ac:dyDescent="0.2">
      <c r="A15" s="10">
        <v>12</v>
      </c>
      <c r="B15" s="11">
        <v>-19754</v>
      </c>
      <c r="C15" s="11">
        <v>-20000</v>
      </c>
      <c r="D15" s="25">
        <f t="shared" si="0"/>
        <v>-246</v>
      </c>
    </row>
    <row r="16" spans="1:4" x14ac:dyDescent="0.2">
      <c r="A16" s="10">
        <v>13</v>
      </c>
      <c r="B16" s="11">
        <v>-19994</v>
      </c>
      <c r="C16" s="11">
        <v>-20000</v>
      </c>
      <c r="D16" s="25">
        <f t="shared" si="0"/>
        <v>-6</v>
      </c>
    </row>
    <row r="17" spans="1:4" x14ac:dyDescent="0.2">
      <c r="A17" s="10">
        <v>14</v>
      </c>
      <c r="B17" s="11">
        <v>-20804</v>
      </c>
      <c r="C17" s="11">
        <v>-20000</v>
      </c>
      <c r="D17" s="25">
        <f t="shared" si="0"/>
        <v>804</v>
      </c>
    </row>
    <row r="18" spans="1:4" x14ac:dyDescent="0.2">
      <c r="A18" s="10">
        <v>15</v>
      </c>
      <c r="B18" s="11">
        <v>-20472</v>
      </c>
      <c r="C18" s="11">
        <v>-19589</v>
      </c>
      <c r="D18" s="25">
        <f t="shared" si="0"/>
        <v>883</v>
      </c>
    </row>
    <row r="19" spans="1:4" x14ac:dyDescent="0.2">
      <c r="A19" s="10">
        <v>16</v>
      </c>
      <c r="B19" s="11">
        <v>-19997</v>
      </c>
      <c r="C19" s="11">
        <v>-19794</v>
      </c>
      <c r="D19" s="25">
        <f t="shared" si="0"/>
        <v>203</v>
      </c>
    </row>
    <row r="20" spans="1:4" x14ac:dyDescent="0.2">
      <c r="A20" s="10">
        <v>17</v>
      </c>
      <c r="B20" s="11">
        <v>-20007</v>
      </c>
      <c r="C20" s="11">
        <v>-20000</v>
      </c>
      <c r="D20" s="25">
        <f t="shared" si="0"/>
        <v>7</v>
      </c>
    </row>
    <row r="21" spans="1:4" x14ac:dyDescent="0.2">
      <c r="A21" s="10">
        <v>18</v>
      </c>
      <c r="B21" s="11">
        <v>-19796</v>
      </c>
      <c r="C21" s="11">
        <v>-20000</v>
      </c>
      <c r="D21" s="25">
        <f t="shared" si="0"/>
        <v>-204</v>
      </c>
    </row>
    <row r="22" spans="1:4" x14ac:dyDescent="0.2">
      <c r="A22" s="10">
        <v>19</v>
      </c>
      <c r="B22" s="11">
        <v>-20162</v>
      </c>
      <c r="C22" s="11">
        <v>-20000</v>
      </c>
      <c r="D22" s="25">
        <f t="shared" si="0"/>
        <v>162</v>
      </c>
    </row>
    <row r="23" spans="1:4" x14ac:dyDescent="0.2">
      <c r="A23" s="10">
        <v>20</v>
      </c>
      <c r="B23" s="129">
        <v>-21201</v>
      </c>
      <c r="C23" s="11">
        <v>-20000</v>
      </c>
      <c r="D23" s="25">
        <f t="shared" si="0"/>
        <v>1201</v>
      </c>
    </row>
    <row r="24" spans="1:4" x14ac:dyDescent="0.2">
      <c r="A24" s="10">
        <v>21</v>
      </c>
      <c r="B24" s="11">
        <v>-20005</v>
      </c>
      <c r="C24" s="11">
        <v>-20000</v>
      </c>
      <c r="D24" s="25">
        <f t="shared" si="0"/>
        <v>5</v>
      </c>
    </row>
    <row r="25" spans="1:4" x14ac:dyDescent="0.2">
      <c r="A25" s="10">
        <v>22</v>
      </c>
      <c r="B25" s="11">
        <v>-20300</v>
      </c>
      <c r="C25" s="11">
        <v>-20000</v>
      </c>
      <c r="D25" s="25">
        <f t="shared" si="0"/>
        <v>300</v>
      </c>
    </row>
    <row r="26" spans="1:4" x14ac:dyDescent="0.2">
      <c r="A26" s="10">
        <v>23</v>
      </c>
      <c r="B26" s="11">
        <v>-20299</v>
      </c>
      <c r="C26" s="11">
        <v>-20000</v>
      </c>
      <c r="D26" s="25">
        <f t="shared" si="0"/>
        <v>299</v>
      </c>
    </row>
    <row r="27" spans="1:4" x14ac:dyDescent="0.2">
      <c r="A27" s="10">
        <v>24</v>
      </c>
      <c r="B27" s="11">
        <v>-20293</v>
      </c>
      <c r="C27" s="11">
        <v>-20000</v>
      </c>
      <c r="D27" s="25">
        <f t="shared" si="0"/>
        <v>293</v>
      </c>
    </row>
    <row r="28" spans="1:4" x14ac:dyDescent="0.2">
      <c r="A28" s="10">
        <v>25</v>
      </c>
      <c r="B28" s="11">
        <v>-20794</v>
      </c>
      <c r="C28" s="11">
        <v>-20000</v>
      </c>
      <c r="D28" s="25">
        <f t="shared" si="0"/>
        <v>794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-505359</v>
      </c>
      <c r="C35" s="11">
        <f>SUM(C4:C34)</f>
        <v>-497585</v>
      </c>
      <c r="D35" s="11">
        <f>SUM(D4:D34)</f>
        <v>7774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37225</v>
      </c>
      <c r="D38" s="514">
        <v>176934</v>
      </c>
    </row>
    <row r="39" spans="1:4" x14ac:dyDescent="0.2">
      <c r="A39" s="2"/>
      <c r="D39" s="24"/>
    </row>
    <row r="40" spans="1:4" x14ac:dyDescent="0.2">
      <c r="A40" s="57">
        <v>37250</v>
      </c>
      <c r="D40" s="51">
        <f>+D38+D35</f>
        <v>184708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+A38</f>
        <v>37225</v>
      </c>
      <c r="B45" s="32"/>
      <c r="C45" s="32"/>
      <c r="D45" s="512">
        <v>177562.79</v>
      </c>
    </row>
    <row r="46" spans="1:4" x14ac:dyDescent="0.2">
      <c r="A46" s="49">
        <f>+A40</f>
        <v>37250</v>
      </c>
      <c r="B46" s="32"/>
      <c r="C46" s="32"/>
      <c r="D46" s="382">
        <f>+D35*'by type_area'!J4</f>
        <v>17180.54</v>
      </c>
    </row>
    <row r="47" spans="1:4" x14ac:dyDescent="0.2">
      <c r="A47" s="32"/>
      <c r="B47" s="32"/>
      <c r="C47" s="32"/>
      <c r="D47" s="200">
        <f>+D46+D45</f>
        <v>194743.33000000002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1" workbookViewId="0">
      <selection activeCell="A41" sqref="A4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249</v>
      </c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13315</v>
      </c>
      <c r="C7" s="11">
        <v>13500</v>
      </c>
      <c r="D7" s="11">
        <v>8655</v>
      </c>
      <c r="E7" s="11">
        <v>8766</v>
      </c>
      <c r="F7" s="11"/>
      <c r="G7" s="11"/>
      <c r="H7" s="11">
        <v>32</v>
      </c>
      <c r="I7" s="11"/>
      <c r="J7" s="11">
        <f t="shared" si="0"/>
        <v>264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13166</v>
      </c>
      <c r="C8" s="11">
        <v>13500</v>
      </c>
      <c r="D8" s="129">
        <v>8645</v>
      </c>
      <c r="E8" s="11">
        <v>8766</v>
      </c>
      <c r="F8" s="11"/>
      <c r="G8" s="11"/>
      <c r="H8" s="11"/>
      <c r="I8" s="11"/>
      <c r="J8" s="11">
        <f t="shared" si="0"/>
        <v>455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12882</v>
      </c>
      <c r="C9" s="11">
        <v>13500</v>
      </c>
      <c r="D9" s="11">
        <v>8784</v>
      </c>
      <c r="E9" s="11">
        <v>8266</v>
      </c>
      <c r="F9" s="11">
        <v>4</v>
      </c>
      <c r="G9" s="11"/>
      <c r="H9" s="11">
        <v>72</v>
      </c>
      <c r="I9" s="11"/>
      <c r="J9" s="11">
        <f t="shared" si="0"/>
        <v>24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12665</v>
      </c>
      <c r="C10" s="11">
        <v>12936</v>
      </c>
      <c r="D10" s="129">
        <v>8648</v>
      </c>
      <c r="E10" s="11">
        <v>8226</v>
      </c>
      <c r="F10" s="11">
        <v>40</v>
      </c>
      <c r="G10" s="11"/>
      <c r="H10" s="11"/>
      <c r="I10" s="11"/>
      <c r="J10" s="11">
        <f t="shared" si="0"/>
        <v>-191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12571</v>
      </c>
      <c r="C11" s="11">
        <v>13000</v>
      </c>
      <c r="D11" s="11">
        <v>8780</v>
      </c>
      <c r="E11" s="11">
        <v>8266</v>
      </c>
      <c r="F11" s="11"/>
      <c r="G11" s="11"/>
      <c r="H11" s="11"/>
      <c r="I11" s="11"/>
      <c r="J11" s="11">
        <f t="shared" si="0"/>
        <v>-85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12456</v>
      </c>
      <c r="C12" s="11">
        <v>13000</v>
      </c>
      <c r="D12" s="11">
        <v>8879</v>
      </c>
      <c r="E12" s="11">
        <v>8266</v>
      </c>
      <c r="F12" s="11"/>
      <c r="G12" s="11"/>
      <c r="H12" s="11"/>
      <c r="I12" s="11"/>
      <c r="J12" s="11">
        <f t="shared" si="0"/>
        <v>-69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12403</v>
      </c>
      <c r="C13" s="11">
        <v>13000</v>
      </c>
      <c r="D13" s="11">
        <v>9353</v>
      </c>
      <c r="E13" s="11">
        <v>8266</v>
      </c>
      <c r="F13" s="11"/>
      <c r="G13" s="11"/>
      <c r="H13" s="11"/>
      <c r="I13" s="11"/>
      <c r="J13" s="11">
        <f t="shared" si="0"/>
        <v>-490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12278</v>
      </c>
      <c r="C14" s="11">
        <v>13000</v>
      </c>
      <c r="D14" s="11">
        <v>9344</v>
      </c>
      <c r="E14" s="11">
        <v>8266</v>
      </c>
      <c r="F14" s="11"/>
      <c r="G14" s="11"/>
      <c r="H14" s="11"/>
      <c r="I14" s="11"/>
      <c r="J14" s="11">
        <f t="shared" si="0"/>
        <v>-356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12191</v>
      </c>
      <c r="C15" s="11">
        <v>13000</v>
      </c>
      <c r="D15" s="11">
        <v>8907</v>
      </c>
      <c r="E15" s="11">
        <v>8266</v>
      </c>
      <c r="F15" s="11"/>
      <c r="G15" s="11"/>
      <c r="H15" s="11"/>
      <c r="I15" s="11"/>
      <c r="J15" s="11">
        <f t="shared" si="0"/>
        <v>168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12106</v>
      </c>
      <c r="C16" s="11">
        <v>13000</v>
      </c>
      <c r="D16" s="11">
        <v>8638</v>
      </c>
      <c r="E16" s="11">
        <v>8266</v>
      </c>
      <c r="F16" s="11"/>
      <c r="G16" s="11"/>
      <c r="H16" s="11"/>
      <c r="I16" s="11"/>
      <c r="J16" s="11">
        <f t="shared" si="0"/>
        <v>522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11598</v>
      </c>
      <c r="C17" s="11">
        <v>13000</v>
      </c>
      <c r="D17" s="11">
        <v>8646</v>
      </c>
      <c r="E17" s="11">
        <v>8266</v>
      </c>
      <c r="F17" s="11"/>
      <c r="G17" s="11"/>
      <c r="H17" s="11"/>
      <c r="I17" s="11"/>
      <c r="J17" s="11">
        <f t="shared" si="0"/>
        <v>1022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11607</v>
      </c>
      <c r="C18" s="11">
        <v>13000</v>
      </c>
      <c r="D18" s="11">
        <v>9005</v>
      </c>
      <c r="E18" s="11">
        <v>8266</v>
      </c>
      <c r="F18" s="11"/>
      <c r="G18" s="11"/>
      <c r="H18" s="11"/>
      <c r="I18" s="11"/>
      <c r="J18" s="11">
        <f t="shared" si="0"/>
        <v>654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11214</v>
      </c>
      <c r="C19" s="11">
        <v>13000</v>
      </c>
      <c r="D19" s="11">
        <v>8917</v>
      </c>
      <c r="E19" s="11">
        <v>8266</v>
      </c>
      <c r="F19" s="11"/>
      <c r="G19" s="11"/>
      <c r="H19" s="11"/>
      <c r="I19" s="11"/>
      <c r="J19" s="11">
        <f t="shared" si="0"/>
        <v>1135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11141</v>
      </c>
      <c r="C20" s="11">
        <v>13000</v>
      </c>
      <c r="D20" s="11">
        <v>8431</v>
      </c>
      <c r="E20" s="11">
        <v>8266</v>
      </c>
      <c r="F20" s="11"/>
      <c r="G20" s="11"/>
      <c r="H20" s="11"/>
      <c r="I20" s="11"/>
      <c r="J20" s="11">
        <f t="shared" si="0"/>
        <v>1694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11074</v>
      </c>
      <c r="C21" s="11">
        <v>12000</v>
      </c>
      <c r="D21" s="11">
        <v>9003</v>
      </c>
      <c r="E21" s="11">
        <v>8866</v>
      </c>
      <c r="F21" s="11"/>
      <c r="G21" s="11"/>
      <c r="H21" s="11"/>
      <c r="I21" s="11"/>
      <c r="J21" s="11">
        <f t="shared" si="0"/>
        <v>789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11196</v>
      </c>
      <c r="C22" s="11">
        <v>12000</v>
      </c>
      <c r="D22" s="11">
        <v>8165</v>
      </c>
      <c r="E22" s="11">
        <v>8866</v>
      </c>
      <c r="F22" s="11"/>
      <c r="G22" s="11"/>
      <c r="H22" s="11"/>
      <c r="I22" s="11"/>
      <c r="J22" s="11">
        <f t="shared" si="0"/>
        <v>1505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11322</v>
      </c>
      <c r="C23" s="11">
        <v>12000</v>
      </c>
      <c r="D23" s="11">
        <v>8767</v>
      </c>
      <c r="E23" s="11">
        <v>8866</v>
      </c>
      <c r="F23" s="11"/>
      <c r="G23" s="11"/>
      <c r="H23" s="11"/>
      <c r="I23" s="11"/>
      <c r="J23" s="11">
        <f t="shared" si="0"/>
        <v>777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11540</v>
      </c>
      <c r="C24" s="11">
        <v>12000</v>
      </c>
      <c r="D24" s="11">
        <v>8415</v>
      </c>
      <c r="E24" s="11">
        <v>8866</v>
      </c>
      <c r="F24" s="11"/>
      <c r="G24" s="11"/>
      <c r="H24" s="11"/>
      <c r="I24" s="11"/>
      <c r="J24" s="11">
        <f t="shared" si="0"/>
        <v>911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11282</v>
      </c>
      <c r="C25" s="11">
        <v>12000</v>
      </c>
      <c r="D25" s="11">
        <v>8486</v>
      </c>
      <c r="E25" s="11">
        <v>8866</v>
      </c>
      <c r="F25" s="11"/>
      <c r="G25" s="11"/>
      <c r="H25" s="11"/>
      <c r="I25" s="11"/>
      <c r="J25" s="11">
        <f t="shared" si="0"/>
        <v>1098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11398</v>
      </c>
      <c r="C26" s="11">
        <v>12000</v>
      </c>
      <c r="D26" s="11">
        <v>8988</v>
      </c>
      <c r="E26" s="11">
        <v>8866</v>
      </c>
      <c r="F26" s="11"/>
      <c r="G26" s="11"/>
      <c r="H26" s="11"/>
      <c r="I26" s="11"/>
      <c r="J26" s="11">
        <f t="shared" si="0"/>
        <v>480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11434</v>
      </c>
      <c r="C27" s="11">
        <v>12000</v>
      </c>
      <c r="D27" s="11">
        <v>8762</v>
      </c>
      <c r="E27" s="11">
        <v>8866</v>
      </c>
      <c r="F27" s="11"/>
      <c r="G27" s="11"/>
      <c r="H27" s="11">
        <v>97</v>
      </c>
      <c r="I27" s="11"/>
      <c r="J27" s="11">
        <f t="shared" si="0"/>
        <v>573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11137</v>
      </c>
      <c r="C28" s="11">
        <v>12000</v>
      </c>
      <c r="D28" s="11">
        <v>7950</v>
      </c>
      <c r="E28" s="11">
        <v>8866</v>
      </c>
      <c r="F28" s="11"/>
      <c r="G28" s="11"/>
      <c r="H28" s="11"/>
      <c r="I28" s="11"/>
      <c r="J28" s="11">
        <f t="shared" si="0"/>
        <v>1779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302726</v>
      </c>
      <c r="C35" s="11">
        <f t="shared" ref="C35:I35" si="1">SUM(C4:C34)</f>
        <v>319936</v>
      </c>
      <c r="D35" s="11">
        <f t="shared" si="1"/>
        <v>218056</v>
      </c>
      <c r="E35" s="11">
        <f t="shared" si="1"/>
        <v>213910</v>
      </c>
      <c r="F35" s="11">
        <f t="shared" si="1"/>
        <v>44</v>
      </c>
      <c r="G35" s="11">
        <f t="shared" si="1"/>
        <v>0</v>
      </c>
      <c r="H35" s="11">
        <f t="shared" si="1"/>
        <v>1487</v>
      </c>
      <c r="I35" s="11">
        <f t="shared" si="1"/>
        <v>0</v>
      </c>
      <c r="J35" s="11">
        <f>SUM(J4:J34)</f>
        <v>11533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2.21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25487.93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37225</v>
      </c>
      <c r="C39" s="25"/>
      <c r="E39" s="25"/>
      <c r="G39" s="25"/>
      <c r="I39" s="25"/>
      <c r="J39" s="508">
        <v>-38486.04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37250</v>
      </c>
      <c r="J41" s="322">
        <f>+J39+J37</f>
        <v>-12998.11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37225</v>
      </c>
      <c r="B46" s="32"/>
      <c r="C46" s="32"/>
      <c r="D46" s="509">
        <v>-144659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37250</v>
      </c>
      <c r="B47" s="32"/>
      <c r="C47" s="32"/>
      <c r="D47" s="355">
        <f>+J35</f>
        <v>11533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-133126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4" workbookViewId="0">
      <selection activeCell="D37" sqref="D37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76</v>
      </c>
      <c r="AD1" s="38" t="s">
        <v>77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117</v>
      </c>
      <c r="B4" s="231">
        <v>12353</v>
      </c>
      <c r="C4" s="24" t="s">
        <v>127</v>
      </c>
      <c r="D4" s="231">
        <v>500168</v>
      </c>
      <c r="E4" s="24" t="s">
        <v>78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-33275</v>
      </c>
      <c r="E6" s="24">
        <v>-32563</v>
      </c>
      <c r="F6" s="24">
        <f>+C6+E6-B6-D6</f>
        <v>712</v>
      </c>
      <c r="G6" s="14">
        <v>-33275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-32525</v>
      </c>
      <c r="E7" s="24">
        <v>-32563</v>
      </c>
      <c r="F7" s="24">
        <f t="shared" ref="F7:F36" si="1">+C7+E7-B7-D7</f>
        <v>-38</v>
      </c>
      <c r="G7" s="206">
        <v>-32525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-32436</v>
      </c>
      <c r="E8" s="24">
        <v>-32563</v>
      </c>
      <c r="F8" s="24">
        <f t="shared" si="1"/>
        <v>-127</v>
      </c>
      <c r="G8" s="206">
        <v>-32436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-8093</v>
      </c>
      <c r="E9" s="24">
        <v>-827</v>
      </c>
      <c r="F9" s="24">
        <f t="shared" si="1"/>
        <v>7266</v>
      </c>
      <c r="G9" s="206">
        <v>-8093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0</v>
      </c>
      <c r="E10" s="24">
        <v>4660</v>
      </c>
      <c r="F10" s="24">
        <f t="shared" si="1"/>
        <v>4660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-791</v>
      </c>
      <c r="E11" s="24">
        <v>-5816</v>
      </c>
      <c r="F11" s="24">
        <f t="shared" si="1"/>
        <v>-5025</v>
      </c>
      <c r="G11" s="206">
        <v>-791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0</v>
      </c>
      <c r="E12" s="24">
        <v>-5816</v>
      </c>
      <c r="F12" s="24">
        <f t="shared" si="1"/>
        <v>-5816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0</v>
      </c>
      <c r="E13" s="24">
        <v>-816</v>
      </c>
      <c r="F13" s="24">
        <f t="shared" si="1"/>
        <v>-816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-816</v>
      </c>
      <c r="F14" s="24">
        <f t="shared" si="1"/>
        <v>-816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0</v>
      </c>
      <c r="E15" s="24">
        <v>-816</v>
      </c>
      <c r="F15" s="24">
        <f t="shared" si="1"/>
        <v>-816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-38245</v>
      </c>
      <c r="E16" s="24">
        <v>-39554</v>
      </c>
      <c r="F16" s="24">
        <f t="shared" si="1"/>
        <v>-1309</v>
      </c>
      <c r="G16" s="206">
        <v>-38245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-30926</v>
      </c>
      <c r="E17" s="24">
        <v>-30816</v>
      </c>
      <c r="F17" s="24">
        <f t="shared" si="1"/>
        <v>110</v>
      </c>
      <c r="G17" s="206">
        <v>-30926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-22893</v>
      </c>
      <c r="E18" s="24">
        <v>-22622</v>
      </c>
      <c r="F18" s="24">
        <f t="shared" si="1"/>
        <v>271</v>
      </c>
      <c r="G18" s="206">
        <v>-22893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-31770</v>
      </c>
      <c r="E19" s="24">
        <v>-30816</v>
      </c>
      <c r="F19" s="24">
        <f t="shared" si="1"/>
        <v>954</v>
      </c>
      <c r="G19" s="206">
        <v>-31770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-20252</v>
      </c>
      <c r="E20" s="24">
        <v>-21316</v>
      </c>
      <c r="F20" s="24">
        <f t="shared" si="1"/>
        <v>-1064</v>
      </c>
      <c r="G20" s="206">
        <v>-20252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-21892</v>
      </c>
      <c r="E21" s="24">
        <v>-21316</v>
      </c>
      <c r="F21" s="24">
        <f t="shared" si="1"/>
        <v>576</v>
      </c>
      <c r="G21" s="206">
        <v>-21892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-20839</v>
      </c>
      <c r="E22" s="24">
        <v>-21316</v>
      </c>
      <c r="F22" s="24">
        <f t="shared" si="1"/>
        <v>-477</v>
      </c>
      <c r="G22" s="206">
        <v>-20839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-29544</v>
      </c>
      <c r="E23" s="24">
        <v>-30816</v>
      </c>
      <c r="F23" s="24">
        <f t="shared" si="1"/>
        <v>-1272</v>
      </c>
      <c r="G23" s="206">
        <v>-29544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-22158</v>
      </c>
      <c r="E24" s="24">
        <v>-23816</v>
      </c>
      <c r="F24" s="24">
        <f t="shared" si="1"/>
        <v>-1658</v>
      </c>
      <c r="G24" s="206">
        <v>-22158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-15402</v>
      </c>
      <c r="E25" s="24">
        <v>-15816</v>
      </c>
      <c r="F25" s="24">
        <f t="shared" si="1"/>
        <v>-414</v>
      </c>
      <c r="G25" s="206">
        <v>-15402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-30336</v>
      </c>
      <c r="E26" s="24">
        <v>-30816</v>
      </c>
      <c r="F26" s="24">
        <f t="shared" si="1"/>
        <v>-480</v>
      </c>
      <c r="G26" s="206">
        <v>-30336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-28076</v>
      </c>
      <c r="E27" s="24">
        <v>-28054</v>
      </c>
      <c r="F27" s="24">
        <f t="shared" si="1"/>
        <v>22</v>
      </c>
      <c r="G27" s="206">
        <v>-28076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-27998</v>
      </c>
      <c r="E28" s="24">
        <v>-28054</v>
      </c>
      <c r="F28" s="24">
        <f t="shared" si="1"/>
        <v>-56</v>
      </c>
      <c r="G28" s="206">
        <v>-27998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-28157</v>
      </c>
      <c r="E29" s="24">
        <v>-28054</v>
      </c>
      <c r="F29" s="24">
        <f t="shared" si="1"/>
        <v>103</v>
      </c>
      <c r="G29" s="206">
        <v>-28157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-27306</v>
      </c>
      <c r="E30" s="24">
        <v>-28054</v>
      </c>
      <c r="F30" s="24">
        <f t="shared" si="1"/>
        <v>-748</v>
      </c>
      <c r="G30" s="206">
        <v>-27306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-502914</v>
      </c>
      <c r="E37" s="24">
        <f>SUM(E6:E36)</f>
        <v>-509172</v>
      </c>
      <c r="F37" s="24">
        <f>SUM(F6:F36)</f>
        <v>-6258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2.21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-13830.18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37225</v>
      </c>
      <c r="E40" s="14"/>
      <c r="F40" s="517">
        <v>389644.14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37250</v>
      </c>
      <c r="E41" s="14"/>
      <c r="F41" s="104">
        <f>+F40+F39</f>
        <v>375813.96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09">
        <v>-7465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37250</v>
      </c>
      <c r="B47" s="32"/>
      <c r="C47" s="32"/>
      <c r="D47" s="355">
        <f>+F37</f>
        <v>-6258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-13723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7" workbookViewId="0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">
      <c r="A11" s="10">
        <v>4</v>
      </c>
      <c r="B11" s="11"/>
      <c r="C11" s="11"/>
      <c r="D11" s="11"/>
      <c r="E11" s="11">
        <v>68</v>
      </c>
      <c r="F11" s="25">
        <f t="shared" si="0"/>
        <v>68</v>
      </c>
    </row>
    <row r="12" spans="1:6" x14ac:dyDescent="0.2">
      <c r="A12" s="10">
        <v>5</v>
      </c>
      <c r="B12" s="11"/>
      <c r="C12" s="11"/>
      <c r="D12" s="11"/>
      <c r="E12" s="11">
        <v>68</v>
      </c>
      <c r="F12" s="25">
        <f t="shared" si="0"/>
        <v>68</v>
      </c>
    </row>
    <row r="13" spans="1:6" x14ac:dyDescent="0.2">
      <c r="A13" s="10">
        <v>6</v>
      </c>
      <c r="B13" s="11"/>
      <c r="C13" s="11"/>
      <c r="D13" s="11"/>
      <c r="E13" s="11">
        <v>68</v>
      </c>
      <c r="F13" s="25">
        <f t="shared" si="0"/>
        <v>68</v>
      </c>
    </row>
    <row r="14" spans="1:6" x14ac:dyDescent="0.2">
      <c r="A14" s="10">
        <v>7</v>
      </c>
      <c r="B14" s="11"/>
      <c r="C14" s="11"/>
      <c r="D14" s="11"/>
      <c r="E14" s="11">
        <v>68</v>
      </c>
      <c r="F14" s="25">
        <f t="shared" si="0"/>
        <v>68</v>
      </c>
    </row>
    <row r="15" spans="1:6" x14ac:dyDescent="0.2">
      <c r="A15" s="10">
        <v>8</v>
      </c>
      <c r="B15" s="11"/>
      <c r="C15" s="11"/>
      <c r="D15" s="11"/>
      <c r="E15" s="11">
        <v>68</v>
      </c>
      <c r="F15" s="25">
        <f t="shared" si="0"/>
        <v>68</v>
      </c>
    </row>
    <row r="16" spans="1:6" x14ac:dyDescent="0.2">
      <c r="A16" s="10">
        <v>9</v>
      </c>
      <c r="B16" s="11"/>
      <c r="C16" s="11"/>
      <c r="D16" s="11"/>
      <c r="E16" s="11">
        <v>68</v>
      </c>
      <c r="F16" s="25">
        <f t="shared" si="0"/>
        <v>68</v>
      </c>
    </row>
    <row r="17" spans="1:10" x14ac:dyDescent="0.2">
      <c r="A17" s="10">
        <v>10</v>
      </c>
      <c r="B17" s="11"/>
      <c r="C17" s="11"/>
      <c r="D17" s="11"/>
      <c r="E17" s="11">
        <v>68</v>
      </c>
      <c r="F17" s="25">
        <f t="shared" si="0"/>
        <v>68</v>
      </c>
      <c r="J17" s="325"/>
    </row>
    <row r="18" spans="1:10" x14ac:dyDescent="0.2">
      <c r="A18" s="10">
        <v>11</v>
      </c>
      <c r="B18" s="11"/>
      <c r="C18" s="11"/>
      <c r="D18" s="11"/>
      <c r="E18" s="11">
        <v>68</v>
      </c>
      <c r="F18" s="25">
        <f t="shared" si="0"/>
        <v>68</v>
      </c>
      <c r="J18" s="32"/>
    </row>
    <row r="19" spans="1:10" x14ac:dyDescent="0.2">
      <c r="A19" s="10">
        <v>12</v>
      </c>
      <c r="B19" s="11"/>
      <c r="C19" s="11"/>
      <c r="D19" s="11"/>
      <c r="E19" s="11">
        <v>68</v>
      </c>
      <c r="F19" s="25">
        <f t="shared" si="0"/>
        <v>68</v>
      </c>
      <c r="J19" s="136"/>
    </row>
    <row r="20" spans="1:10" x14ac:dyDescent="0.2">
      <c r="A20" s="10">
        <v>13</v>
      </c>
      <c r="B20" s="11"/>
      <c r="C20" s="11"/>
      <c r="D20" s="11"/>
      <c r="E20" s="11">
        <v>68</v>
      </c>
      <c r="F20" s="25">
        <f t="shared" si="0"/>
        <v>68</v>
      </c>
    </row>
    <row r="21" spans="1:10" x14ac:dyDescent="0.2">
      <c r="A21" s="10">
        <v>14</v>
      </c>
      <c r="B21" s="11"/>
      <c r="C21" s="11"/>
      <c r="D21" s="11"/>
      <c r="E21" s="11">
        <v>68</v>
      </c>
      <c r="F21" s="25">
        <f t="shared" si="0"/>
        <v>68</v>
      </c>
    </row>
    <row r="22" spans="1:10" x14ac:dyDescent="0.2">
      <c r="A22" s="10">
        <v>15</v>
      </c>
      <c r="B22" s="11"/>
      <c r="C22" s="11"/>
      <c r="D22" s="11"/>
      <c r="E22" s="11">
        <v>68</v>
      </c>
      <c r="F22" s="25">
        <f t="shared" si="0"/>
        <v>68</v>
      </c>
    </row>
    <row r="23" spans="1:10" x14ac:dyDescent="0.2">
      <c r="A23" s="10">
        <v>16</v>
      </c>
      <c r="B23" s="11"/>
      <c r="C23" s="11"/>
      <c r="D23" s="11"/>
      <c r="E23" s="11">
        <v>68</v>
      </c>
      <c r="F23" s="25">
        <f t="shared" si="0"/>
        <v>68</v>
      </c>
    </row>
    <row r="24" spans="1:10" x14ac:dyDescent="0.2">
      <c r="A24" s="10">
        <v>17</v>
      </c>
      <c r="B24" s="11"/>
      <c r="C24" s="11"/>
      <c r="D24" s="11"/>
      <c r="E24" s="11">
        <v>68</v>
      </c>
      <c r="F24" s="25">
        <f t="shared" si="0"/>
        <v>68</v>
      </c>
    </row>
    <row r="25" spans="1:10" x14ac:dyDescent="0.2">
      <c r="A25" s="10">
        <v>18</v>
      </c>
      <c r="B25" s="11"/>
      <c r="C25" s="11"/>
      <c r="D25" s="11"/>
      <c r="E25" s="11">
        <v>68</v>
      </c>
      <c r="F25" s="25">
        <f t="shared" si="0"/>
        <v>68</v>
      </c>
    </row>
    <row r="26" spans="1:10" x14ac:dyDescent="0.2">
      <c r="A26" s="10">
        <v>19</v>
      </c>
      <c r="B26" s="11"/>
      <c r="C26" s="11"/>
      <c r="D26" s="11"/>
      <c r="E26" s="11">
        <v>68</v>
      </c>
      <c r="F26" s="25">
        <f t="shared" si="0"/>
        <v>68</v>
      </c>
    </row>
    <row r="27" spans="1:10" x14ac:dyDescent="0.2">
      <c r="A27" s="10">
        <v>20</v>
      </c>
      <c r="B27" s="11"/>
      <c r="C27" s="11"/>
      <c r="D27" s="11"/>
      <c r="E27" s="11">
        <v>68</v>
      </c>
      <c r="F27" s="25">
        <f t="shared" si="0"/>
        <v>68</v>
      </c>
    </row>
    <row r="28" spans="1:10" x14ac:dyDescent="0.2">
      <c r="A28" s="10">
        <v>21</v>
      </c>
      <c r="B28" s="11"/>
      <c r="C28" s="11"/>
      <c r="D28" s="11"/>
      <c r="E28" s="11">
        <v>68</v>
      </c>
      <c r="F28" s="25">
        <f t="shared" si="0"/>
        <v>68</v>
      </c>
    </row>
    <row r="29" spans="1:10" x14ac:dyDescent="0.2">
      <c r="A29" s="10">
        <v>22</v>
      </c>
      <c r="B29" s="11"/>
      <c r="C29" s="11"/>
      <c r="D29" s="11"/>
      <c r="E29" s="11">
        <v>68</v>
      </c>
      <c r="F29" s="25">
        <f t="shared" si="0"/>
        <v>68</v>
      </c>
    </row>
    <row r="30" spans="1:10" x14ac:dyDescent="0.2">
      <c r="A30" s="10">
        <v>23</v>
      </c>
      <c r="B30" s="11"/>
      <c r="C30" s="11"/>
      <c r="D30" s="11"/>
      <c r="E30" s="11">
        <v>68</v>
      </c>
      <c r="F30" s="25">
        <f t="shared" si="0"/>
        <v>68</v>
      </c>
    </row>
    <row r="31" spans="1:10" x14ac:dyDescent="0.2">
      <c r="A31" s="10">
        <v>24</v>
      </c>
      <c r="B31" s="11"/>
      <c r="C31" s="11"/>
      <c r="D31" s="11"/>
      <c r="E31" s="11">
        <v>68</v>
      </c>
      <c r="F31" s="25">
        <f t="shared" si="0"/>
        <v>68</v>
      </c>
    </row>
    <row r="32" spans="1:10" x14ac:dyDescent="0.2">
      <c r="A32" s="10">
        <v>25</v>
      </c>
      <c r="B32" s="11"/>
      <c r="C32" s="11"/>
      <c r="D32" s="11"/>
      <c r="E32" s="11">
        <v>68</v>
      </c>
      <c r="F32" s="25">
        <f t="shared" si="0"/>
        <v>68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1700</v>
      </c>
      <c r="F39" s="25">
        <f>SUM(F8:F38)</f>
        <v>1700</v>
      </c>
    </row>
    <row r="40" spans="1:6" x14ac:dyDescent="0.2">
      <c r="A40" s="26"/>
      <c r="C40" s="14"/>
      <c r="F40" s="253">
        <f>+summary!H4</f>
        <v>2.21</v>
      </c>
    </row>
    <row r="41" spans="1:6" x14ac:dyDescent="0.2">
      <c r="F41" s="138">
        <f>+F40*F39</f>
        <v>3757</v>
      </c>
    </row>
    <row r="42" spans="1:6" x14ac:dyDescent="0.2">
      <c r="A42" s="57">
        <v>37225</v>
      </c>
      <c r="C42" s="15"/>
      <c r="F42" s="519">
        <v>28945.49</v>
      </c>
    </row>
    <row r="43" spans="1:6" x14ac:dyDescent="0.2">
      <c r="A43" s="57">
        <v>37250</v>
      </c>
      <c r="C43" s="48"/>
      <c r="F43" s="138">
        <f>+F42+F41</f>
        <v>32702.49</v>
      </c>
    </row>
    <row r="47" spans="1:6" x14ac:dyDescent="0.2">
      <c r="A47" s="32" t="s">
        <v>152</v>
      </c>
      <c r="B47" s="32"/>
      <c r="C47" s="32"/>
      <c r="D47" s="32"/>
    </row>
    <row r="48" spans="1:6" x14ac:dyDescent="0.2">
      <c r="A48" s="49">
        <f>+A42</f>
        <v>37225</v>
      </c>
      <c r="B48" s="32"/>
      <c r="C48" s="32"/>
      <c r="D48" s="509">
        <v>-1615</v>
      </c>
    </row>
    <row r="49" spans="1:4" x14ac:dyDescent="0.2">
      <c r="A49" s="49">
        <f>+A43</f>
        <v>37250</v>
      </c>
      <c r="B49" s="32"/>
      <c r="C49" s="32"/>
      <c r="D49" s="355">
        <f>+F39</f>
        <v>1700</v>
      </c>
    </row>
    <row r="50" spans="1:4" x14ac:dyDescent="0.2">
      <c r="A50" s="32"/>
      <c r="B50" s="32"/>
      <c r="C50" s="32"/>
      <c r="D50" s="14">
        <f>+D49+D48</f>
        <v>85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>
        <v>320</v>
      </c>
      <c r="C25" s="11"/>
      <c r="D25" s="25">
        <f t="shared" si="0"/>
        <v>-320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320</v>
      </c>
      <c r="C39" s="11">
        <f>SUM(C8:C38)</f>
        <v>0</v>
      </c>
      <c r="D39" s="25">
        <f>SUM(D8:D38)</f>
        <v>-320</v>
      </c>
    </row>
    <row r="40" spans="1:4" x14ac:dyDescent="0.2">
      <c r="A40" s="26"/>
      <c r="C40" s="14"/>
      <c r="D40" s="458"/>
    </row>
    <row r="41" spans="1:4" x14ac:dyDescent="0.2">
      <c r="A41" s="57">
        <v>37225</v>
      </c>
      <c r="C41" s="15"/>
      <c r="D41" s="465">
        <v>16648</v>
      </c>
    </row>
    <row r="42" spans="1:4" x14ac:dyDescent="0.2">
      <c r="A42" s="57">
        <v>37250</v>
      </c>
      <c r="C42" s="48"/>
      <c r="D42" s="24">
        <f>+D41+D39</f>
        <v>16328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37225</v>
      </c>
      <c r="B47" s="32"/>
      <c r="C47" s="32"/>
      <c r="D47" s="469">
        <v>383998.2</v>
      </c>
    </row>
    <row r="48" spans="1:4" x14ac:dyDescent="0.2">
      <c r="A48" s="49">
        <f>+A42</f>
        <v>37250</v>
      </c>
      <c r="B48" s="32"/>
      <c r="C48" s="32"/>
      <c r="D48" s="382">
        <f>+D39*summary!H4</f>
        <v>-707.2</v>
      </c>
    </row>
    <row r="49" spans="1:4" x14ac:dyDescent="0.2">
      <c r="A49" s="32"/>
      <c r="B49" s="32"/>
      <c r="C49" s="32"/>
      <c r="D49" s="200">
        <f>+D48+D47</f>
        <v>383291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0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132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20" t="s">
        <v>58</v>
      </c>
      <c r="L6" s="189"/>
      <c r="M6" s="2"/>
      <c r="N6" s="34"/>
    </row>
    <row r="7" spans="1:14" x14ac:dyDescent="0.2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21" t="s">
        <v>20</v>
      </c>
      <c r="I7" s="421" t="s">
        <v>21</v>
      </c>
      <c r="J7" s="422" t="s">
        <v>50</v>
      </c>
      <c r="K7" s="420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>
        <v>-83709</v>
      </c>
      <c r="C8" s="11">
        <v>-75300</v>
      </c>
      <c r="D8" s="25">
        <f t="shared" si="0"/>
        <v>8409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0">
        <v>5.62</v>
      </c>
      <c r="L8" s="42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-83059</v>
      </c>
      <c r="C9" s="11">
        <v>-80207</v>
      </c>
      <c r="D9" s="25">
        <f t="shared" si="0"/>
        <v>2852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0">
        <v>4.9800000000000004</v>
      </c>
      <c r="L9" s="42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-83684</v>
      </c>
      <c r="C10" s="11">
        <v>-85233</v>
      </c>
      <c r="D10" s="25">
        <f t="shared" si="0"/>
        <v>-1549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0">
        <v>4.87</v>
      </c>
      <c r="L10" s="42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-69154</v>
      </c>
      <c r="C11" s="11">
        <v>-85233</v>
      </c>
      <c r="D11" s="25">
        <f t="shared" si="0"/>
        <v>-16079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0">
        <v>3.82</v>
      </c>
      <c r="L11" s="42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-66976</v>
      </c>
      <c r="C12" s="11">
        <v>-58000</v>
      </c>
      <c r="D12" s="25">
        <f t="shared" si="0"/>
        <v>8976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0">
        <v>3.2</v>
      </c>
      <c r="L12" s="42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>
        <v>-80299</v>
      </c>
      <c r="C13" s="11">
        <v>-76101</v>
      </c>
      <c r="D13" s="25">
        <f t="shared" si="0"/>
        <v>4198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0">
        <v>2.77</v>
      </c>
      <c r="L13" s="42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-90279</v>
      </c>
      <c r="C14" s="11">
        <v>-85236</v>
      </c>
      <c r="D14" s="25">
        <f t="shared" si="0"/>
        <v>5043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0">
        <v>2.77</v>
      </c>
      <c r="L14" s="42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-88269</v>
      </c>
      <c r="C15" s="11">
        <v>-85551</v>
      </c>
      <c r="D15" s="25">
        <f t="shared" si="0"/>
        <v>2718</v>
      </c>
      <c r="G15" s="446"/>
      <c r="H15" s="119"/>
      <c r="I15" s="119"/>
      <c r="J15" s="119"/>
      <c r="K15" s="420"/>
      <c r="L15" s="425"/>
      <c r="M15" s="104"/>
      <c r="N15" s="34"/>
    </row>
    <row r="16" spans="1:14" ht="15" customHeight="1" x14ac:dyDescent="0.2">
      <c r="A16" s="10">
        <v>11</v>
      </c>
      <c r="B16" s="11">
        <v>-87741</v>
      </c>
      <c r="C16" s="11">
        <v>-85279</v>
      </c>
      <c r="D16" s="25">
        <f t="shared" si="0"/>
        <v>2462</v>
      </c>
      <c r="G16" s="447"/>
      <c r="H16" s="34"/>
      <c r="I16" s="34"/>
      <c r="J16" s="189"/>
      <c r="K16" s="420"/>
      <c r="L16" s="189"/>
      <c r="M16" s="2"/>
      <c r="N16" s="34"/>
    </row>
    <row r="17" spans="1:14" ht="15" customHeight="1" x14ac:dyDescent="0.2">
      <c r="A17" s="10">
        <v>12</v>
      </c>
      <c r="B17" s="11">
        <v>-87886</v>
      </c>
      <c r="C17" s="11">
        <v>-85278</v>
      </c>
      <c r="D17" s="25">
        <f t="shared" si="0"/>
        <v>2608</v>
      </c>
      <c r="G17" s="447"/>
      <c r="H17" s="34"/>
      <c r="I17" s="34"/>
      <c r="J17" s="310">
        <f>SUM(J8:J16)</f>
        <v>130492</v>
      </c>
      <c r="K17" s="42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-88952</v>
      </c>
      <c r="C18" s="11">
        <v>-85210</v>
      </c>
      <c r="D18" s="25">
        <f t="shared" si="0"/>
        <v>3742</v>
      </c>
      <c r="G18" s="34"/>
      <c r="H18" s="34"/>
      <c r="I18" s="34"/>
      <c r="J18" s="189"/>
      <c r="K18" s="420"/>
      <c r="L18" s="189"/>
      <c r="M18" s="2"/>
      <c r="N18" s="34"/>
    </row>
    <row r="19" spans="1:14" x14ac:dyDescent="0.2">
      <c r="A19" s="10">
        <v>14</v>
      </c>
      <c r="B19" s="11">
        <v>-88235</v>
      </c>
      <c r="C19" s="11">
        <v>-89219</v>
      </c>
      <c r="D19" s="25">
        <f t="shared" si="0"/>
        <v>-984</v>
      </c>
      <c r="G19" s="118" t="s">
        <v>191</v>
      </c>
      <c r="H19" s="119">
        <f>+B37</f>
        <v>-2256686</v>
      </c>
      <c r="I19" s="119">
        <f>+C37</f>
        <v>-2175498</v>
      </c>
      <c r="J19" s="119">
        <f>+I19-H19</f>
        <v>81188</v>
      </c>
      <c r="K19" s="420">
        <f>+D38</f>
        <v>2.21</v>
      </c>
      <c r="L19" s="425">
        <f>+K19*J19</f>
        <v>179425.48</v>
      </c>
      <c r="M19" s="2"/>
      <c r="N19" s="34"/>
    </row>
    <row r="20" spans="1:14" x14ac:dyDescent="0.2">
      <c r="A20" s="10">
        <v>15</v>
      </c>
      <c r="B20" s="11">
        <v>-85950</v>
      </c>
      <c r="C20" s="11">
        <v>-88693</v>
      </c>
      <c r="D20" s="25">
        <f t="shared" si="0"/>
        <v>-2743</v>
      </c>
      <c r="G20" s="118"/>
      <c r="H20" s="119"/>
      <c r="I20" s="119"/>
      <c r="J20" s="119"/>
      <c r="K20" s="420"/>
      <c r="L20" s="425"/>
      <c r="M20" s="2"/>
      <c r="N20" s="34"/>
    </row>
    <row r="21" spans="1:14" x14ac:dyDescent="0.2">
      <c r="A21" s="10">
        <v>16</v>
      </c>
      <c r="B21" s="11">
        <v>-82812</v>
      </c>
      <c r="C21" s="11">
        <v>-88636</v>
      </c>
      <c r="D21" s="25">
        <f t="shared" si="0"/>
        <v>-5824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-87300</v>
      </c>
      <c r="C22" s="11">
        <v>-80337</v>
      </c>
      <c r="D22" s="25">
        <f t="shared" si="0"/>
        <v>6963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-88174</v>
      </c>
      <c r="C23" s="11">
        <v>-85299</v>
      </c>
      <c r="D23" s="25">
        <f t="shared" si="0"/>
        <v>2875</v>
      </c>
      <c r="G23" s="101"/>
      <c r="H23" s="24"/>
      <c r="I23" s="24"/>
      <c r="J23" s="110"/>
      <c r="K23" s="416"/>
      <c r="L23" s="110"/>
      <c r="M23" s="2"/>
      <c r="N23" s="34"/>
    </row>
    <row r="24" spans="1:14" x14ac:dyDescent="0.2">
      <c r="A24" s="10">
        <v>19</v>
      </c>
      <c r="B24" s="129">
        <v>-88659</v>
      </c>
      <c r="C24" s="11">
        <v>-85300</v>
      </c>
      <c r="D24" s="25">
        <f t="shared" si="0"/>
        <v>3359</v>
      </c>
      <c r="G24" s="2" t="s">
        <v>192</v>
      </c>
      <c r="H24" s="24"/>
      <c r="I24" s="24"/>
      <c r="J24" s="24">
        <f>+J19+J17</f>
        <v>211680</v>
      </c>
      <c r="K24" s="416"/>
      <c r="L24" s="110">
        <f>+L19+L17</f>
        <v>261110.57999999984</v>
      </c>
      <c r="M24" s="2"/>
      <c r="N24" s="34"/>
    </row>
    <row r="25" spans="1:14" x14ac:dyDescent="0.2">
      <c r="A25" s="10">
        <v>20</v>
      </c>
      <c r="B25" s="129">
        <v>-87403</v>
      </c>
      <c r="C25" s="11">
        <v>-88439</v>
      </c>
      <c r="D25" s="25">
        <f t="shared" si="0"/>
        <v>-1036</v>
      </c>
      <c r="G25" s="2"/>
      <c r="H25" s="24"/>
      <c r="I25" s="24"/>
      <c r="J25" s="110"/>
      <c r="K25" s="416"/>
      <c r="L25" s="110"/>
      <c r="M25" s="2"/>
      <c r="N25" s="34"/>
    </row>
    <row r="26" spans="1:14" x14ac:dyDescent="0.2">
      <c r="A26" s="10">
        <v>21</v>
      </c>
      <c r="B26" s="129">
        <v>-69371</v>
      </c>
      <c r="C26" s="11">
        <v>-78692</v>
      </c>
      <c r="D26" s="25">
        <f t="shared" si="0"/>
        <v>-9321</v>
      </c>
      <c r="G26" s="2" t="s">
        <v>193</v>
      </c>
      <c r="H26" s="24"/>
      <c r="I26" s="24"/>
      <c r="J26" s="110"/>
      <c r="K26" s="416"/>
      <c r="L26" s="24">
        <f>+L24/K19</f>
        <v>118149.58371040717</v>
      </c>
    </row>
    <row r="27" spans="1:14" x14ac:dyDescent="0.2">
      <c r="A27" s="10">
        <v>22</v>
      </c>
      <c r="B27" s="129">
        <v>-54199</v>
      </c>
      <c r="C27" s="11">
        <v>-52800</v>
      </c>
      <c r="D27" s="25">
        <f t="shared" si="0"/>
        <v>1399</v>
      </c>
      <c r="G27" s="32"/>
      <c r="H27" s="24"/>
      <c r="I27" s="24"/>
      <c r="J27" s="110"/>
      <c r="K27" s="416"/>
      <c r="L27" s="110"/>
    </row>
    <row r="28" spans="1:14" x14ac:dyDescent="0.2">
      <c r="A28" s="10">
        <v>23</v>
      </c>
      <c r="B28" s="129">
        <v>-24310</v>
      </c>
      <c r="C28" s="11">
        <v>-17500</v>
      </c>
      <c r="D28" s="25">
        <f t="shared" si="0"/>
        <v>6810</v>
      </c>
      <c r="G28" s="32"/>
      <c r="H28" s="24"/>
      <c r="I28" s="24"/>
      <c r="J28" s="110"/>
      <c r="K28" s="416"/>
      <c r="L28" s="110"/>
    </row>
    <row r="29" spans="1:14" x14ac:dyDescent="0.2">
      <c r="A29" s="10">
        <v>24</v>
      </c>
      <c r="B29" s="129">
        <v>-82802</v>
      </c>
      <c r="C29" s="11">
        <v>-49936</v>
      </c>
      <c r="D29" s="25">
        <f t="shared" si="0"/>
        <v>32866</v>
      </c>
    </row>
    <row r="30" spans="1:14" x14ac:dyDescent="0.2">
      <c r="A30" s="10">
        <v>25</v>
      </c>
      <c r="B30" s="129">
        <v>-79875</v>
      </c>
      <c r="C30" s="11">
        <v>-80236</v>
      </c>
      <c r="D30" s="25">
        <f t="shared" si="0"/>
        <v>-361</v>
      </c>
    </row>
    <row r="31" spans="1:14" x14ac:dyDescent="0.2">
      <c r="A31" s="10">
        <v>26</v>
      </c>
      <c r="B31" s="129">
        <v>-83734</v>
      </c>
      <c r="C31" s="11">
        <v>-62597</v>
      </c>
      <c r="D31" s="25">
        <f t="shared" si="0"/>
        <v>21137</v>
      </c>
    </row>
    <row r="32" spans="1:14" x14ac:dyDescent="0.2">
      <c r="A32" s="10">
        <v>27</v>
      </c>
      <c r="B32" s="129">
        <v>-86304</v>
      </c>
      <c r="C32" s="11">
        <v>-81278</v>
      </c>
      <c r="D32" s="25">
        <f t="shared" si="0"/>
        <v>5026</v>
      </c>
    </row>
    <row r="33" spans="1:4" x14ac:dyDescent="0.2">
      <c r="A33" s="10">
        <v>28</v>
      </c>
      <c r="B33" s="129">
        <v>-86591</v>
      </c>
      <c r="C33" s="11">
        <v>-84540</v>
      </c>
      <c r="D33" s="25">
        <f t="shared" si="0"/>
        <v>2051</v>
      </c>
    </row>
    <row r="34" spans="1:4" x14ac:dyDescent="0.2">
      <c r="A34" s="10">
        <v>29</v>
      </c>
      <c r="B34" s="129">
        <v>-72379</v>
      </c>
      <c r="C34" s="11">
        <v>-80300</v>
      </c>
      <c r="D34" s="25">
        <f t="shared" si="0"/>
        <v>-7921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-2256686</v>
      </c>
      <c r="C37" s="11">
        <f>SUM(C6:C36)</f>
        <v>-2175498</v>
      </c>
      <c r="D37" s="25">
        <f>SUM(D6:D36)</f>
        <v>81188</v>
      </c>
    </row>
    <row r="38" spans="1:4" x14ac:dyDescent="0.2">
      <c r="A38" s="26"/>
      <c r="C38" s="14"/>
      <c r="D38" s="329">
        <f>+summary!H4</f>
        <v>2.21</v>
      </c>
    </row>
    <row r="39" spans="1:4" x14ac:dyDescent="0.2">
      <c r="D39" s="138">
        <f>+D38*D37</f>
        <v>179425.48</v>
      </c>
    </row>
    <row r="40" spans="1:4" x14ac:dyDescent="0.2">
      <c r="A40" s="57">
        <v>37225</v>
      </c>
      <c r="C40" s="15"/>
      <c r="D40" s="519">
        <v>51989</v>
      </c>
    </row>
    <row r="41" spans="1:4" x14ac:dyDescent="0.2">
      <c r="A41" s="57">
        <v>37254</v>
      </c>
      <c r="C41" s="48"/>
      <c r="D41" s="138">
        <f>+D40+D39</f>
        <v>231414.48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09">
        <v>116707</v>
      </c>
    </row>
    <row r="46" spans="1:4" x14ac:dyDescent="0.2">
      <c r="A46" s="49">
        <f>+A41</f>
        <v>37254</v>
      </c>
      <c r="B46" s="32"/>
      <c r="C46" s="32"/>
      <c r="D46" s="355">
        <f>+D37</f>
        <v>81188</v>
      </c>
    </row>
    <row r="47" spans="1:4" x14ac:dyDescent="0.2">
      <c r="A47" s="32"/>
      <c r="B47" s="32"/>
      <c r="C47" s="32"/>
      <c r="D47" s="14">
        <f>+D46+D45</f>
        <v>197895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A42" sqref="A42"/>
    </sheetView>
  </sheetViews>
  <sheetFormatPr defaultRowHeight="12.75" x14ac:dyDescent="0.2"/>
  <sheetData>
    <row r="3" spans="1:5" ht="15" x14ac:dyDescent="0.25">
      <c r="A3" s="134"/>
      <c r="B3" s="34" t="s">
        <v>130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">
      <c r="A9" s="10">
        <v>4</v>
      </c>
      <c r="B9" s="11">
        <v>32873</v>
      </c>
      <c r="C9" s="11">
        <v>30123</v>
      </c>
      <c r="D9" s="25">
        <f t="shared" si="0"/>
        <v>-2750</v>
      </c>
    </row>
    <row r="10" spans="1:5" x14ac:dyDescent="0.2">
      <c r="A10" s="10">
        <v>5</v>
      </c>
      <c r="B10" s="11">
        <v>30293</v>
      </c>
      <c r="C10" s="11">
        <v>31700</v>
      </c>
      <c r="D10" s="25">
        <f t="shared" si="0"/>
        <v>1407</v>
      </c>
    </row>
    <row r="11" spans="1:5" x14ac:dyDescent="0.2">
      <c r="A11" s="10">
        <v>6</v>
      </c>
      <c r="B11" s="129">
        <v>30860</v>
      </c>
      <c r="C11" s="11">
        <v>31700</v>
      </c>
      <c r="D11" s="25">
        <f t="shared" si="0"/>
        <v>840</v>
      </c>
    </row>
    <row r="12" spans="1:5" x14ac:dyDescent="0.2">
      <c r="A12" s="10">
        <v>7</v>
      </c>
      <c r="B12" s="129">
        <v>28133</v>
      </c>
      <c r="C12" s="11">
        <v>29064</v>
      </c>
      <c r="D12" s="25">
        <f t="shared" si="0"/>
        <v>931</v>
      </c>
    </row>
    <row r="13" spans="1:5" x14ac:dyDescent="0.2">
      <c r="A13" s="10">
        <v>8</v>
      </c>
      <c r="B13" s="129">
        <v>28521</v>
      </c>
      <c r="C13" s="11">
        <v>31195</v>
      </c>
      <c r="D13" s="25">
        <f t="shared" si="0"/>
        <v>2674</v>
      </c>
    </row>
    <row r="14" spans="1:5" x14ac:dyDescent="0.2">
      <c r="A14" s="10">
        <v>9</v>
      </c>
      <c r="B14" s="129">
        <v>28261</v>
      </c>
      <c r="C14" s="11">
        <v>31700</v>
      </c>
      <c r="D14" s="25">
        <f t="shared" si="0"/>
        <v>3439</v>
      </c>
    </row>
    <row r="15" spans="1:5" x14ac:dyDescent="0.2">
      <c r="A15" s="10">
        <v>10</v>
      </c>
      <c r="B15" s="129">
        <v>32591</v>
      </c>
      <c r="C15" s="11">
        <v>31700</v>
      </c>
      <c r="D15" s="25">
        <f t="shared" si="0"/>
        <v>-891</v>
      </c>
    </row>
    <row r="16" spans="1:5" x14ac:dyDescent="0.2">
      <c r="A16" s="10">
        <v>11</v>
      </c>
      <c r="B16" s="129">
        <v>33375</v>
      </c>
      <c r="C16" s="11">
        <v>31700</v>
      </c>
      <c r="D16" s="25">
        <f t="shared" si="0"/>
        <v>-1675</v>
      </c>
    </row>
    <row r="17" spans="1:4" x14ac:dyDescent="0.2">
      <c r="A17" s="10">
        <v>12</v>
      </c>
      <c r="B17" s="129">
        <v>24397</v>
      </c>
      <c r="C17" s="11">
        <v>11700</v>
      </c>
      <c r="D17" s="25">
        <f t="shared" si="0"/>
        <v>-12697</v>
      </c>
    </row>
    <row r="18" spans="1:4" x14ac:dyDescent="0.2">
      <c r="A18" s="10">
        <v>13</v>
      </c>
      <c r="B18" s="129">
        <v>22251</v>
      </c>
      <c r="C18" s="11">
        <v>24100</v>
      </c>
      <c r="D18" s="25">
        <f t="shared" si="0"/>
        <v>1849</v>
      </c>
    </row>
    <row r="19" spans="1:4" x14ac:dyDescent="0.2">
      <c r="A19" s="10">
        <v>14</v>
      </c>
      <c r="B19" s="129">
        <v>32499</v>
      </c>
      <c r="C19" s="11">
        <v>31700</v>
      </c>
      <c r="D19" s="25">
        <f t="shared" si="0"/>
        <v>-799</v>
      </c>
    </row>
    <row r="20" spans="1:4" x14ac:dyDescent="0.2">
      <c r="A20" s="10">
        <v>15</v>
      </c>
      <c r="B20" s="129">
        <v>29943</v>
      </c>
      <c r="C20" s="11">
        <v>31700</v>
      </c>
      <c r="D20" s="25">
        <f t="shared" si="0"/>
        <v>1757</v>
      </c>
    </row>
    <row r="21" spans="1:4" x14ac:dyDescent="0.2">
      <c r="A21" s="10">
        <v>16</v>
      </c>
      <c r="B21" s="11">
        <v>28709</v>
      </c>
      <c r="C21" s="11">
        <v>26700</v>
      </c>
      <c r="D21" s="25">
        <f t="shared" si="0"/>
        <v>-2009</v>
      </c>
    </row>
    <row r="22" spans="1:4" x14ac:dyDescent="0.2">
      <c r="A22" s="10">
        <v>17</v>
      </c>
      <c r="B22" s="11">
        <v>30206</v>
      </c>
      <c r="C22" s="11">
        <v>31700</v>
      </c>
      <c r="D22" s="25">
        <f t="shared" si="0"/>
        <v>1494</v>
      </c>
    </row>
    <row r="23" spans="1:4" x14ac:dyDescent="0.2">
      <c r="A23" s="10">
        <v>18</v>
      </c>
      <c r="B23" s="11">
        <v>30891</v>
      </c>
      <c r="C23" s="11">
        <v>31699</v>
      </c>
      <c r="D23" s="25">
        <f t="shared" si="0"/>
        <v>808</v>
      </c>
    </row>
    <row r="24" spans="1:4" x14ac:dyDescent="0.2">
      <c r="A24" s="10">
        <v>19</v>
      </c>
      <c r="B24" s="11">
        <v>30661</v>
      </c>
      <c r="C24" s="11">
        <v>31699</v>
      </c>
      <c r="D24" s="25">
        <f t="shared" si="0"/>
        <v>1038</v>
      </c>
    </row>
    <row r="25" spans="1:4" x14ac:dyDescent="0.2">
      <c r="A25" s="10">
        <v>20</v>
      </c>
      <c r="B25" s="11">
        <v>31227</v>
      </c>
      <c r="C25" s="11">
        <v>31699</v>
      </c>
      <c r="D25" s="25">
        <f t="shared" si="0"/>
        <v>472</v>
      </c>
    </row>
    <row r="26" spans="1:4" x14ac:dyDescent="0.2">
      <c r="A26" s="10">
        <v>21</v>
      </c>
      <c r="B26" s="11">
        <v>27205</v>
      </c>
      <c r="C26" s="11">
        <v>30014</v>
      </c>
      <c r="D26" s="25">
        <f t="shared" si="0"/>
        <v>2809</v>
      </c>
    </row>
    <row r="27" spans="1:4" x14ac:dyDescent="0.2">
      <c r="A27" s="10">
        <v>22</v>
      </c>
      <c r="B27" s="11">
        <v>28342</v>
      </c>
      <c r="C27" s="11">
        <v>30014</v>
      </c>
      <c r="D27" s="25">
        <f t="shared" si="0"/>
        <v>1672</v>
      </c>
    </row>
    <row r="28" spans="1:4" x14ac:dyDescent="0.2">
      <c r="A28" s="10">
        <v>23</v>
      </c>
      <c r="B28" s="11">
        <v>23004</v>
      </c>
      <c r="C28" s="11">
        <v>30014</v>
      </c>
      <c r="D28" s="25">
        <f t="shared" si="0"/>
        <v>7010</v>
      </c>
    </row>
    <row r="29" spans="1:4" x14ac:dyDescent="0.2">
      <c r="A29" s="10">
        <v>24</v>
      </c>
      <c r="B29" s="11">
        <v>25378</v>
      </c>
      <c r="C29" s="11">
        <v>30014</v>
      </c>
      <c r="D29" s="25">
        <f t="shared" si="0"/>
        <v>4636</v>
      </c>
    </row>
    <row r="30" spans="1:4" x14ac:dyDescent="0.2">
      <c r="A30" s="10">
        <v>25</v>
      </c>
      <c r="B30" s="11">
        <v>27796</v>
      </c>
      <c r="C30" s="11">
        <v>30014</v>
      </c>
      <c r="D30" s="25">
        <f t="shared" si="0"/>
        <v>2218</v>
      </c>
    </row>
    <row r="31" spans="1:4" x14ac:dyDescent="0.2">
      <c r="A31" s="10">
        <v>26</v>
      </c>
      <c r="B31" s="11">
        <v>28632</v>
      </c>
      <c r="C31" s="11">
        <v>30014</v>
      </c>
      <c r="D31" s="25">
        <f t="shared" si="0"/>
        <v>1382</v>
      </c>
    </row>
    <row r="32" spans="1:4" x14ac:dyDescent="0.2">
      <c r="A32" s="10">
        <v>27</v>
      </c>
      <c r="B32" s="11">
        <v>31135</v>
      </c>
      <c r="C32" s="11">
        <v>30014</v>
      </c>
      <c r="D32" s="25">
        <f t="shared" si="0"/>
        <v>-1121</v>
      </c>
    </row>
    <row r="33" spans="1:4" x14ac:dyDescent="0.2">
      <c r="A33" s="10">
        <v>28</v>
      </c>
      <c r="B33" s="11">
        <v>30913</v>
      </c>
      <c r="C33" s="11">
        <v>31700</v>
      </c>
      <c r="D33" s="25">
        <f t="shared" si="0"/>
        <v>787</v>
      </c>
    </row>
    <row r="34" spans="1:4" x14ac:dyDescent="0.2">
      <c r="A34" s="10">
        <v>29</v>
      </c>
      <c r="B34" s="11">
        <v>31205</v>
      </c>
      <c r="C34" s="11">
        <v>31700</v>
      </c>
      <c r="D34" s="25">
        <f t="shared" si="0"/>
        <v>495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856267</v>
      </c>
      <c r="C37" s="11">
        <f>SUM(C6:C36)</f>
        <v>870177</v>
      </c>
      <c r="D37" s="25">
        <f>SUM(D6:D36)</f>
        <v>13910</v>
      </c>
    </row>
    <row r="38" spans="1:4" x14ac:dyDescent="0.2">
      <c r="A38" s="26"/>
      <c r="B38" s="31"/>
      <c r="C38" s="14"/>
      <c r="D38" s="329">
        <f>+summary!H5</f>
        <v>2.2200000000000002</v>
      </c>
    </row>
    <row r="39" spans="1:4" x14ac:dyDescent="0.2">
      <c r="D39" s="138">
        <f>+D38*D37</f>
        <v>30880.200000000004</v>
      </c>
    </row>
    <row r="40" spans="1:4" x14ac:dyDescent="0.2">
      <c r="A40" s="57">
        <v>37225</v>
      </c>
      <c r="C40" s="15"/>
      <c r="D40" s="519">
        <v>57061.55</v>
      </c>
    </row>
    <row r="41" spans="1:4" x14ac:dyDescent="0.2">
      <c r="A41" s="57">
        <v>37254</v>
      </c>
      <c r="C41" s="48"/>
      <c r="D41" s="138">
        <f>+D40+D39</f>
        <v>87941.75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09">
        <v>42218</v>
      </c>
    </row>
    <row r="46" spans="1:4" x14ac:dyDescent="0.2">
      <c r="A46" s="49">
        <f>+A41</f>
        <v>37254</v>
      </c>
      <c r="B46" s="32"/>
      <c r="C46" s="32"/>
      <c r="D46" s="355">
        <f>+D37</f>
        <v>13910</v>
      </c>
    </row>
    <row r="47" spans="1:4" x14ac:dyDescent="0.2">
      <c r="A47" s="32"/>
      <c r="B47" s="32"/>
      <c r="C47" s="32"/>
      <c r="D47" s="14">
        <f>+D46+D45</f>
        <v>56128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1" sqref="A41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5" bestFit="1" customWidth="1"/>
    <col min="18" max="18" width="11.42578125" style="259" bestFit="1" customWidth="1"/>
  </cols>
  <sheetData>
    <row r="1" spans="1:35" x14ac:dyDescent="0.2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6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14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14" t="s">
        <v>40</v>
      </c>
      <c r="N4" s="4" t="s">
        <v>20</v>
      </c>
      <c r="O4" s="4" t="s">
        <v>21</v>
      </c>
      <c r="P4" s="412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214" t="s">
        <v>258</v>
      </c>
      <c r="N5" s="14"/>
      <c r="O5" s="14"/>
      <c r="P5" s="14">
        <v>-34361</v>
      </c>
      <c r="Q5" s="366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293611</v>
      </c>
      <c r="C6" s="11">
        <v>296350</v>
      </c>
      <c r="D6" s="11">
        <v>63639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-7438</v>
      </c>
      <c r="M6" s="41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6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298687</v>
      </c>
      <c r="C7" s="11">
        <v>291389</v>
      </c>
      <c r="D7" s="11">
        <v>53723</v>
      </c>
      <c r="E7" s="11">
        <v>53011</v>
      </c>
      <c r="F7" s="11">
        <v>29404</v>
      </c>
      <c r="G7" s="11">
        <v>34124</v>
      </c>
      <c r="H7" s="11">
        <v>107008</v>
      </c>
      <c r="I7" s="11">
        <v>105603</v>
      </c>
      <c r="J7" s="11">
        <f t="shared" si="0"/>
        <v>-4695</v>
      </c>
      <c r="M7" s="414">
        <v>36892</v>
      </c>
      <c r="N7" s="24">
        <v>18949781</v>
      </c>
      <c r="O7" s="14">
        <v>18975457</v>
      </c>
      <c r="P7" s="14">
        <f t="shared" si="1"/>
        <v>25676</v>
      </c>
      <c r="Q7" s="366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305283</v>
      </c>
      <c r="C8" s="11">
        <v>304498</v>
      </c>
      <c r="D8" s="129">
        <v>52072</v>
      </c>
      <c r="E8" s="11">
        <v>53010</v>
      </c>
      <c r="F8" s="11">
        <v>28475</v>
      </c>
      <c r="G8" s="11">
        <v>29559</v>
      </c>
      <c r="H8" s="129">
        <v>112524</v>
      </c>
      <c r="I8" s="11">
        <v>110956</v>
      </c>
      <c r="J8" s="11">
        <f t="shared" si="0"/>
        <v>-331</v>
      </c>
      <c r="M8" s="414">
        <v>36923</v>
      </c>
      <c r="N8" s="24">
        <v>15256233</v>
      </c>
      <c r="O8" s="14">
        <v>15290953</v>
      </c>
      <c r="P8" s="14">
        <f t="shared" si="1"/>
        <v>34720</v>
      </c>
      <c r="Q8" s="366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319128</v>
      </c>
      <c r="C9" s="11">
        <v>334864</v>
      </c>
      <c r="D9" s="11">
        <v>52989</v>
      </c>
      <c r="E9" s="11">
        <v>53010</v>
      </c>
      <c r="F9" s="11">
        <v>21283</v>
      </c>
      <c r="G9" s="11">
        <v>21020</v>
      </c>
      <c r="H9" s="11">
        <v>93276</v>
      </c>
      <c r="I9" s="11">
        <v>74618</v>
      </c>
      <c r="J9" s="11">
        <f t="shared" si="0"/>
        <v>-3164</v>
      </c>
      <c r="M9" s="414">
        <v>36951</v>
      </c>
      <c r="N9" s="24">
        <v>17049350</v>
      </c>
      <c r="O9" s="14">
        <v>17089226</v>
      </c>
      <c r="P9" s="14">
        <f t="shared" si="1"/>
        <v>39876</v>
      </c>
      <c r="Q9" s="366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334705</v>
      </c>
      <c r="C10" s="11">
        <v>339180</v>
      </c>
      <c r="D10" s="129">
        <v>51207</v>
      </c>
      <c r="E10" s="11">
        <v>53011</v>
      </c>
      <c r="F10" s="129">
        <v>14714</v>
      </c>
      <c r="G10" s="11">
        <v>8874</v>
      </c>
      <c r="H10" s="129">
        <v>87510</v>
      </c>
      <c r="I10" s="11">
        <v>87603</v>
      </c>
      <c r="J10" s="11">
        <f t="shared" si="0"/>
        <v>532</v>
      </c>
      <c r="M10" s="414">
        <v>36982</v>
      </c>
      <c r="N10" s="24">
        <v>17652369</v>
      </c>
      <c r="O10" s="14">
        <v>17743987</v>
      </c>
      <c r="P10" s="14">
        <f t="shared" si="1"/>
        <v>91618</v>
      </c>
      <c r="Q10" s="366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312104</v>
      </c>
      <c r="C11" s="11">
        <v>309679</v>
      </c>
      <c r="D11" s="11">
        <v>43362</v>
      </c>
      <c r="E11" s="11">
        <v>53011</v>
      </c>
      <c r="F11" s="11">
        <v>10880</v>
      </c>
      <c r="G11" s="11">
        <v>12736</v>
      </c>
      <c r="H11" s="11">
        <v>90176</v>
      </c>
      <c r="I11" s="11">
        <v>89988</v>
      </c>
      <c r="J11" s="11">
        <f t="shared" si="0"/>
        <v>8892</v>
      </c>
      <c r="M11" s="414">
        <v>37012</v>
      </c>
      <c r="N11" s="24">
        <v>16124989</v>
      </c>
      <c r="O11" s="14">
        <v>16282021</v>
      </c>
      <c r="P11" s="14">
        <f t="shared" si="1"/>
        <v>157032</v>
      </c>
      <c r="Q11" s="366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288166</v>
      </c>
      <c r="C12" s="11">
        <v>289073</v>
      </c>
      <c r="D12" s="11">
        <v>43580</v>
      </c>
      <c r="E12" s="11">
        <v>53011</v>
      </c>
      <c r="F12" s="11">
        <v>19382</v>
      </c>
      <c r="G12" s="11">
        <v>12736</v>
      </c>
      <c r="H12" s="11">
        <v>104429</v>
      </c>
      <c r="I12" s="11">
        <v>100083</v>
      </c>
      <c r="J12" s="11">
        <f t="shared" si="0"/>
        <v>-654</v>
      </c>
      <c r="M12" s="414">
        <v>37043</v>
      </c>
      <c r="N12" s="24">
        <v>15928675</v>
      </c>
      <c r="O12" s="14">
        <v>15936227</v>
      </c>
      <c r="P12" s="14">
        <f t="shared" si="1"/>
        <v>7552</v>
      </c>
      <c r="Q12" s="366">
        <v>2.58</v>
      </c>
      <c r="R12" s="200">
        <f t="shared" si="2"/>
        <v>19484.16</v>
      </c>
      <c r="S12" s="496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289467</v>
      </c>
      <c r="C13" s="11">
        <v>288947</v>
      </c>
      <c r="D13" s="129">
        <v>47108</v>
      </c>
      <c r="E13" s="11">
        <v>53011</v>
      </c>
      <c r="F13" s="129">
        <v>14186</v>
      </c>
      <c r="G13" s="11">
        <v>12067</v>
      </c>
      <c r="H13" s="129">
        <v>105267</v>
      </c>
      <c r="I13" s="11">
        <v>100436</v>
      </c>
      <c r="J13" s="11">
        <f t="shared" si="0"/>
        <v>-1567</v>
      </c>
      <c r="M13" s="414">
        <v>37073</v>
      </c>
      <c r="N13" s="24">
        <v>16669639</v>
      </c>
      <c r="O13" s="14">
        <v>16693576</v>
      </c>
      <c r="P13" s="14">
        <f t="shared" si="1"/>
        <v>23937</v>
      </c>
      <c r="Q13" s="366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327938</v>
      </c>
      <c r="C14" s="11">
        <v>331913</v>
      </c>
      <c r="D14" s="11">
        <v>51513</v>
      </c>
      <c r="E14" s="11">
        <v>43721</v>
      </c>
      <c r="F14" s="11">
        <v>14566</v>
      </c>
      <c r="G14" s="11">
        <v>15132</v>
      </c>
      <c r="H14" s="11">
        <v>107589</v>
      </c>
      <c r="I14" s="11">
        <v>106030</v>
      </c>
      <c r="J14" s="11">
        <f t="shared" si="0"/>
        <v>-4810</v>
      </c>
      <c r="M14" s="414">
        <v>37104</v>
      </c>
      <c r="N14" s="24">
        <v>17850737</v>
      </c>
      <c r="O14" s="14">
        <v>17815859</v>
      </c>
      <c r="P14" s="14">
        <f>+O14-N14</f>
        <v>-34878</v>
      </c>
      <c r="Q14" s="366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302736</v>
      </c>
      <c r="C15" s="11">
        <v>304150</v>
      </c>
      <c r="D15" s="11">
        <v>52627</v>
      </c>
      <c r="E15" s="11">
        <v>43721</v>
      </c>
      <c r="F15" s="11">
        <v>18735</v>
      </c>
      <c r="G15" s="11">
        <v>23280</v>
      </c>
      <c r="H15" s="11">
        <v>126377</v>
      </c>
      <c r="I15" s="11">
        <v>123489</v>
      </c>
      <c r="J15" s="11">
        <f t="shared" si="0"/>
        <v>-5835</v>
      </c>
      <c r="M15" s="414">
        <v>37135</v>
      </c>
      <c r="N15" s="24">
        <v>16552948</v>
      </c>
      <c r="O15" s="14">
        <v>16508018</v>
      </c>
      <c r="P15" s="14">
        <f>+O15-N15</f>
        <v>-44930</v>
      </c>
      <c r="Q15" s="366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309528</v>
      </c>
      <c r="C16" s="11">
        <v>320689</v>
      </c>
      <c r="D16" s="11">
        <v>52900</v>
      </c>
      <c r="E16" s="11">
        <v>43721</v>
      </c>
      <c r="F16" s="11">
        <v>21541</v>
      </c>
      <c r="G16" s="11">
        <v>23980</v>
      </c>
      <c r="H16" s="11">
        <v>131483</v>
      </c>
      <c r="I16" s="11">
        <v>123982</v>
      </c>
      <c r="J16" s="11">
        <f t="shared" si="0"/>
        <v>-3080</v>
      </c>
      <c r="M16" s="414">
        <v>37165</v>
      </c>
      <c r="N16" s="24">
        <v>17924814</v>
      </c>
      <c r="O16" s="14">
        <v>17872479</v>
      </c>
      <c r="P16" s="14">
        <f>+O16-N16</f>
        <v>-52335</v>
      </c>
      <c r="Q16" s="366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309288</v>
      </c>
      <c r="C17" s="11">
        <v>320468</v>
      </c>
      <c r="D17" s="11">
        <v>52745</v>
      </c>
      <c r="E17" s="11">
        <v>43721</v>
      </c>
      <c r="F17" s="11">
        <v>17764</v>
      </c>
      <c r="G17" s="11">
        <v>15475</v>
      </c>
      <c r="H17" s="11">
        <v>130110</v>
      </c>
      <c r="I17" s="11">
        <v>124648</v>
      </c>
      <c r="J17" s="11">
        <f t="shared" si="0"/>
        <v>-5595</v>
      </c>
      <c r="M17" s="41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6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330778</v>
      </c>
      <c r="C18" s="11">
        <v>334585</v>
      </c>
      <c r="D18" s="11">
        <v>44882</v>
      </c>
      <c r="E18" s="11">
        <v>43721</v>
      </c>
      <c r="F18" s="11">
        <v>16837</v>
      </c>
      <c r="G18" s="11">
        <v>15471</v>
      </c>
      <c r="H18" s="11">
        <v>120399</v>
      </c>
      <c r="I18" s="11">
        <v>118501</v>
      </c>
      <c r="J18" s="11">
        <f t="shared" si="0"/>
        <v>-618</v>
      </c>
      <c r="M18" s="414">
        <v>37229</v>
      </c>
      <c r="N18" s="24"/>
      <c r="O18" s="14"/>
      <c r="P18" s="14">
        <f>+O18-N18</f>
        <v>0</v>
      </c>
      <c r="Q18" s="366">
        <f>+'[1]1001'!$K$39</f>
        <v>2.2000000000000002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328961</v>
      </c>
      <c r="C19" s="11">
        <v>336799</v>
      </c>
      <c r="D19" s="11">
        <v>44824</v>
      </c>
      <c r="E19" s="11">
        <v>43721</v>
      </c>
      <c r="F19" s="11">
        <v>14650</v>
      </c>
      <c r="G19" s="11">
        <v>14071</v>
      </c>
      <c r="H19" s="11">
        <v>121812</v>
      </c>
      <c r="I19" s="11">
        <v>120162</v>
      </c>
      <c r="J19" s="11">
        <f t="shared" si="0"/>
        <v>4506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310198</v>
      </c>
      <c r="C20" s="11">
        <v>314052</v>
      </c>
      <c r="D20" s="11">
        <v>46142</v>
      </c>
      <c r="E20" s="11">
        <v>43721</v>
      </c>
      <c r="F20" s="11">
        <v>13729</v>
      </c>
      <c r="G20" s="11">
        <v>15226</v>
      </c>
      <c r="H20" s="11">
        <v>122975</v>
      </c>
      <c r="I20" s="11">
        <v>122080</v>
      </c>
      <c r="J20" s="11">
        <f t="shared" si="0"/>
        <v>2035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364308</v>
      </c>
      <c r="C21" s="11">
        <v>363036</v>
      </c>
      <c r="D21" s="11">
        <v>45985</v>
      </c>
      <c r="E21" s="11">
        <v>43721</v>
      </c>
      <c r="F21" s="11">
        <v>14240</v>
      </c>
      <c r="G21" s="11">
        <v>15288</v>
      </c>
      <c r="H21" s="11">
        <v>117395</v>
      </c>
      <c r="I21" s="11">
        <v>120290</v>
      </c>
      <c r="J21" s="11">
        <f t="shared" si="0"/>
        <v>407</v>
      </c>
      <c r="M21" s="414"/>
      <c r="N21" s="24"/>
      <c r="O21" s="14"/>
      <c r="P21" s="14">
        <f>SUM(P5:P20)</f>
        <v>135708</v>
      </c>
      <c r="Q21" s="366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353401</v>
      </c>
      <c r="C22" s="11">
        <v>361266</v>
      </c>
      <c r="D22" s="11">
        <v>45953</v>
      </c>
      <c r="E22" s="11">
        <v>47323</v>
      </c>
      <c r="F22" s="11">
        <v>15882</v>
      </c>
      <c r="G22" s="11">
        <v>15475</v>
      </c>
      <c r="H22" s="11">
        <v>131355</v>
      </c>
      <c r="I22" s="11">
        <v>124274</v>
      </c>
      <c r="J22" s="11">
        <f t="shared" si="0"/>
        <v>1747</v>
      </c>
      <c r="M22" s="414"/>
      <c r="N22" s="24"/>
      <c r="O22" s="14"/>
      <c r="P22" s="201">
        <v>1.98</v>
      </c>
      <c r="Q22" s="366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363251</v>
      </c>
      <c r="C23" s="11">
        <v>362637</v>
      </c>
      <c r="D23" s="129">
        <v>45978</v>
      </c>
      <c r="E23" s="11">
        <v>47661</v>
      </c>
      <c r="F23" s="11">
        <v>15870</v>
      </c>
      <c r="G23" s="11">
        <v>15414</v>
      </c>
      <c r="H23" s="129">
        <v>117041</v>
      </c>
      <c r="I23" s="11">
        <v>118873</v>
      </c>
      <c r="J23" s="11">
        <f t="shared" si="0"/>
        <v>2445</v>
      </c>
      <c r="M23" s="414"/>
      <c r="N23" s="14">
        <v>1378106</v>
      </c>
      <c r="O23" s="14">
        <v>1316146</v>
      </c>
      <c r="P23" s="201">
        <f>+P22*P21</f>
        <v>268701.84000000003</v>
      </c>
      <c r="Q23" s="366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339974</v>
      </c>
      <c r="C24" s="11">
        <v>333702</v>
      </c>
      <c r="D24" s="11">
        <v>46973</v>
      </c>
      <c r="E24" s="11">
        <v>47029</v>
      </c>
      <c r="F24" s="11">
        <v>14794</v>
      </c>
      <c r="G24" s="11">
        <v>15475</v>
      </c>
      <c r="H24" s="11">
        <v>136928</v>
      </c>
      <c r="I24" s="11">
        <v>142023</v>
      </c>
      <c r="J24" s="11">
        <f t="shared" si="0"/>
        <v>-440</v>
      </c>
      <c r="M24" s="414"/>
      <c r="N24" s="14">
        <v>9216070</v>
      </c>
      <c r="O24" s="14">
        <v>9272400</v>
      </c>
      <c r="P24" s="15"/>
      <c r="Q24" s="366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361285</v>
      </c>
      <c r="C25" s="11">
        <v>361336</v>
      </c>
      <c r="D25" s="11">
        <v>43684</v>
      </c>
      <c r="E25" s="11">
        <v>43721</v>
      </c>
      <c r="F25" s="11">
        <v>24069</v>
      </c>
      <c r="G25" s="11">
        <v>30475</v>
      </c>
      <c r="H25" s="11">
        <v>146163</v>
      </c>
      <c r="I25" s="11">
        <v>144092</v>
      </c>
      <c r="J25" s="11">
        <f t="shared" si="0"/>
        <v>4423</v>
      </c>
      <c r="M25" s="414"/>
      <c r="N25" s="24">
        <v>3546065</v>
      </c>
      <c r="O25" s="24">
        <v>3512740</v>
      </c>
      <c r="P25" s="110"/>
      <c r="Q25" s="41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348039</v>
      </c>
      <c r="C26" s="11">
        <v>347741</v>
      </c>
      <c r="D26" s="11">
        <v>43981</v>
      </c>
      <c r="E26" s="11">
        <v>43721</v>
      </c>
      <c r="F26" s="11">
        <v>23984</v>
      </c>
      <c r="G26" s="11">
        <v>30226</v>
      </c>
      <c r="H26" s="11">
        <v>152853</v>
      </c>
      <c r="I26" s="11">
        <v>143788</v>
      </c>
      <c r="J26" s="11">
        <f t="shared" si="0"/>
        <v>-3381</v>
      </c>
      <c r="M26" s="32"/>
      <c r="N26" s="24">
        <v>1623705</v>
      </c>
      <c r="O26" s="24">
        <v>1620245</v>
      </c>
      <c r="P26" s="24"/>
      <c r="Q26" s="41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355738</v>
      </c>
      <c r="C27" s="11">
        <v>359941</v>
      </c>
      <c r="D27" s="11">
        <v>44027</v>
      </c>
      <c r="E27" s="11">
        <v>43721</v>
      </c>
      <c r="F27" s="11">
        <v>28658</v>
      </c>
      <c r="G27" s="11">
        <v>28507</v>
      </c>
      <c r="H27" s="11">
        <v>143473</v>
      </c>
      <c r="I27" s="11">
        <v>144059</v>
      </c>
      <c r="J27" s="11">
        <f t="shared" si="0"/>
        <v>4332</v>
      </c>
      <c r="M27" s="32"/>
      <c r="N27" s="24">
        <f>SUM(N23:N26)</f>
        <v>15763946</v>
      </c>
      <c r="O27" s="24">
        <f>SUM(O23:O26)</f>
        <v>15721531</v>
      </c>
      <c r="P27" s="110"/>
      <c r="Q27" s="41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333130</v>
      </c>
      <c r="C28" s="11">
        <v>359573</v>
      </c>
      <c r="D28" s="11">
        <v>49428</v>
      </c>
      <c r="E28" s="11">
        <v>43721</v>
      </c>
      <c r="F28" s="11">
        <v>24021</v>
      </c>
      <c r="G28" s="11">
        <v>28507</v>
      </c>
      <c r="H28" s="11">
        <v>151948</v>
      </c>
      <c r="I28" s="11">
        <v>143643</v>
      </c>
      <c r="J28" s="11">
        <f t="shared" si="0"/>
        <v>16917</v>
      </c>
      <c r="M28" s="32"/>
      <c r="N28" s="24"/>
      <c r="O28" s="24"/>
      <c r="P28" s="110"/>
      <c r="Q28" s="41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>
        <v>333378</v>
      </c>
      <c r="C29" s="11">
        <v>309560</v>
      </c>
      <c r="D29" s="11">
        <v>56609</v>
      </c>
      <c r="E29" s="11">
        <v>43721</v>
      </c>
      <c r="F29" s="11">
        <v>25429</v>
      </c>
      <c r="G29" s="11">
        <v>26238</v>
      </c>
      <c r="H29" s="11">
        <v>154895</v>
      </c>
      <c r="I29" s="11">
        <v>143629</v>
      </c>
      <c r="J29" s="11">
        <f t="shared" si="0"/>
        <v>-47163</v>
      </c>
      <c r="M29" s="32"/>
      <c r="N29" s="24"/>
      <c r="O29" s="24"/>
      <c r="P29" s="110"/>
      <c r="Q29" s="41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>
        <v>315330</v>
      </c>
      <c r="C30" s="11">
        <v>309386</v>
      </c>
      <c r="D30" s="11">
        <v>44420</v>
      </c>
      <c r="E30" s="11">
        <v>43721</v>
      </c>
      <c r="F30" s="11">
        <v>23186</v>
      </c>
      <c r="G30" s="11">
        <v>22241</v>
      </c>
      <c r="H30" s="11">
        <v>144997</v>
      </c>
      <c r="I30" s="11">
        <v>141183</v>
      </c>
      <c r="J30" s="11">
        <f t="shared" si="0"/>
        <v>-11402</v>
      </c>
      <c r="M30" s="32"/>
      <c r="N30" s="24"/>
      <c r="O30" s="24"/>
      <c r="P30" s="110"/>
      <c r="Q30" s="41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>
        <v>318102</v>
      </c>
      <c r="C31" s="11">
        <v>332631</v>
      </c>
      <c r="D31" s="11">
        <v>33893</v>
      </c>
      <c r="E31" s="11">
        <v>32000</v>
      </c>
      <c r="F31" s="11">
        <v>27499</v>
      </c>
      <c r="G31" s="11">
        <v>25036</v>
      </c>
      <c r="H31" s="11">
        <v>160947</v>
      </c>
      <c r="I31" s="11">
        <v>152096</v>
      </c>
      <c r="J31" s="11">
        <f t="shared" si="0"/>
        <v>1322</v>
      </c>
      <c r="M31" s="32"/>
      <c r="N31" s="24"/>
      <c r="O31" s="24"/>
      <c r="P31" s="110"/>
      <c r="Q31" s="41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>
        <v>337728</v>
      </c>
      <c r="C32" s="11">
        <v>312673</v>
      </c>
      <c r="D32" s="11">
        <v>1451</v>
      </c>
      <c r="E32" s="11">
        <v>28000</v>
      </c>
      <c r="F32" s="11">
        <v>20241</v>
      </c>
      <c r="G32" s="11">
        <v>30226</v>
      </c>
      <c r="H32" s="11">
        <v>159066</v>
      </c>
      <c r="I32" s="11">
        <v>157690</v>
      </c>
      <c r="J32" s="11">
        <f t="shared" si="0"/>
        <v>10103</v>
      </c>
      <c r="M32" s="32"/>
      <c r="N32" s="24"/>
      <c r="O32" s="32"/>
      <c r="P32" s="15"/>
      <c r="Q32" s="366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6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6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9415152</v>
      </c>
      <c r="C35" s="11">
        <f t="shared" ref="C35:I35" si="3">SUM(C4:C34)</f>
        <v>9485087</v>
      </c>
      <c r="D35" s="11">
        <f t="shared" si="3"/>
        <v>1378222</v>
      </c>
      <c r="E35" s="11">
        <f t="shared" si="3"/>
        <v>1344212</v>
      </c>
      <c r="F35" s="11">
        <f t="shared" si="3"/>
        <v>600922</v>
      </c>
      <c r="G35" s="11">
        <f t="shared" si="3"/>
        <v>632907</v>
      </c>
      <c r="H35" s="11">
        <f t="shared" si="3"/>
        <v>3558695</v>
      </c>
      <c r="I35" s="11">
        <f t="shared" si="3"/>
        <v>3442235</v>
      </c>
      <c r="J35" s="11">
        <f>SUM(J4:J34)</f>
        <v>-48550</v>
      </c>
      <c r="M35" s="32"/>
      <c r="N35" s="24"/>
      <c r="O35" s="32"/>
      <c r="P35" s="15"/>
      <c r="Q35" s="366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6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6"/>
      <c r="R37" s="110"/>
      <c r="S37" s="19"/>
      <c r="T37" s="104"/>
      <c r="U37" s="16"/>
      <c r="V37" s="15"/>
      <c r="W37" s="13"/>
    </row>
    <row r="38" spans="1:23" x14ac:dyDescent="0.2">
      <c r="A38" s="56">
        <v>37225</v>
      </c>
      <c r="C38" s="25"/>
      <c r="E38" s="25"/>
      <c r="G38" s="25"/>
      <c r="I38" s="25"/>
      <c r="J38" s="507">
        <v>0</v>
      </c>
      <c r="M38" s="32"/>
      <c r="N38" s="24"/>
      <c r="O38" s="32"/>
      <c r="P38" s="15"/>
      <c r="Q38" s="366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6"/>
      <c r="R39" s="110"/>
      <c r="S39" s="19"/>
      <c r="T39" s="104"/>
      <c r="U39" s="16"/>
      <c r="V39" s="15"/>
      <c r="W39" s="13"/>
    </row>
    <row r="40" spans="1:23" x14ac:dyDescent="0.2">
      <c r="A40" s="33">
        <v>37254</v>
      </c>
      <c r="J40" s="51">
        <f>+J38+J35</f>
        <v>-48550</v>
      </c>
      <c r="M40" s="32"/>
      <c r="N40" s="24"/>
      <c r="O40" s="32"/>
      <c r="P40" s="15"/>
      <c r="Q40" s="366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6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6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6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6"/>
      <c r="R44" s="110"/>
      <c r="S44" s="19"/>
      <c r="T44" s="104"/>
      <c r="U44" s="16"/>
      <c r="V44" s="15"/>
      <c r="W44" s="13"/>
    </row>
    <row r="45" spans="1:23" x14ac:dyDescent="0.2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6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37225</v>
      </c>
      <c r="B46" s="32"/>
      <c r="C46" s="32"/>
      <c r="D46" s="502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6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37254</v>
      </c>
      <c r="B47" s="32"/>
      <c r="C47" s="32"/>
      <c r="D47" s="382">
        <f>+J35*'by type_area'!J3</f>
        <v>-106810.00000000001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6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-106810.00000000001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6"/>
      <c r="R48" s="15"/>
      <c r="S48" s="19"/>
      <c r="T48" s="32"/>
    </row>
    <row r="49" spans="1:20" x14ac:dyDescent="0.2">
      <c r="A49" s="139"/>
      <c r="B49" s="119"/>
      <c r="C49" s="140"/>
      <c r="D49" s="38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6"/>
      <c r="R49" s="15"/>
      <c r="S49" s="32"/>
      <c r="T49" s="32"/>
    </row>
    <row r="50" spans="1:20" x14ac:dyDescent="0.2">
      <c r="A50" s="10"/>
      <c r="B50" s="11"/>
      <c r="C50" s="11"/>
      <c r="D50" s="38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6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6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6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6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6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6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6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6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6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6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6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6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6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6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6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6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6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6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6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6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6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6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6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6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6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6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6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6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6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6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6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6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6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6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6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6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6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6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6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6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12"/>
      <c r="Q255" s="143"/>
      <c r="R255" s="41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3"/>
      <c r="Q256" s="418"/>
      <c r="R256" s="41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7"/>
      <c r="S295" s="1"/>
    </row>
    <row r="296" spans="9:21" x14ac:dyDescent="0.2">
      <c r="K296" s="2"/>
      <c r="M296" s="30"/>
      <c r="N296" s="4"/>
      <c r="O296" s="4"/>
      <c r="P296" s="412"/>
      <c r="Q296" s="143"/>
      <c r="R296" s="41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3"/>
      <c r="Q297" s="418"/>
      <c r="R297" s="41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7"/>
      <c r="S337" s="1"/>
    </row>
    <row r="338" spans="11:21" x14ac:dyDescent="0.2">
      <c r="K338" s="2"/>
      <c r="M338" s="30"/>
      <c r="N338" s="4"/>
      <c r="O338" s="4"/>
      <c r="P338" s="412"/>
      <c r="Q338" s="143"/>
      <c r="R338" s="41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3"/>
      <c r="Q339" s="418"/>
      <c r="R339" s="41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7"/>
      <c r="S379" s="1"/>
    </row>
    <row r="380" spans="11:21" x14ac:dyDescent="0.2">
      <c r="K380" s="2"/>
      <c r="M380" s="30"/>
      <c r="N380" s="4"/>
      <c r="O380" s="4"/>
      <c r="P380" s="412"/>
      <c r="Q380" s="143"/>
      <c r="R380" s="41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3"/>
      <c r="Q381" s="418"/>
      <c r="R381" s="41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7"/>
      <c r="S423" s="1"/>
    </row>
    <row r="424" spans="11:21" x14ac:dyDescent="0.2">
      <c r="K424" s="2"/>
      <c r="M424" s="30"/>
      <c r="N424" s="4"/>
      <c r="O424" s="4"/>
      <c r="P424" s="412"/>
      <c r="Q424" s="143"/>
      <c r="R424" s="41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3"/>
      <c r="Q425" s="418"/>
      <c r="R425" s="41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12"/>
      <c r="Q466" s="143"/>
      <c r="R466" s="41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3"/>
      <c r="Q467" s="418"/>
      <c r="R467" s="41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5" workbookViewId="0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59" t="s">
        <v>134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">
      <c r="A8" s="10">
        <v>3</v>
      </c>
      <c r="B8" s="11">
        <v>56198</v>
      </c>
      <c r="C8" s="11">
        <v>57327</v>
      </c>
      <c r="D8" s="25">
        <f t="shared" si="0"/>
        <v>1129</v>
      </c>
    </row>
    <row r="9" spans="1:4" x14ac:dyDescent="0.2">
      <c r="A9" s="10">
        <v>4</v>
      </c>
      <c r="B9" s="11">
        <v>39345</v>
      </c>
      <c r="C9" s="11">
        <v>38839</v>
      </c>
      <c r="D9" s="25">
        <f t="shared" si="0"/>
        <v>-506</v>
      </c>
    </row>
    <row r="10" spans="1:4" x14ac:dyDescent="0.2">
      <c r="A10" s="10">
        <v>5</v>
      </c>
      <c r="B10" s="11">
        <v>57736</v>
      </c>
      <c r="C10" s="11">
        <v>57595</v>
      </c>
      <c r="D10" s="25">
        <f t="shared" si="0"/>
        <v>-141</v>
      </c>
    </row>
    <row r="11" spans="1:4" x14ac:dyDescent="0.2">
      <c r="A11" s="10">
        <v>6</v>
      </c>
      <c r="B11" s="11">
        <v>53279</v>
      </c>
      <c r="C11" s="11">
        <v>52981</v>
      </c>
      <c r="D11" s="25">
        <f t="shared" si="0"/>
        <v>-298</v>
      </c>
    </row>
    <row r="12" spans="1:4" x14ac:dyDescent="0.2">
      <c r="A12" s="10">
        <v>7</v>
      </c>
      <c r="B12" s="11">
        <v>49516</v>
      </c>
      <c r="C12" s="11">
        <v>48633</v>
      </c>
      <c r="D12" s="25">
        <f t="shared" si="0"/>
        <v>-883</v>
      </c>
    </row>
    <row r="13" spans="1:4" x14ac:dyDescent="0.2">
      <c r="A13" s="10">
        <v>8</v>
      </c>
      <c r="B13" s="11">
        <v>58091</v>
      </c>
      <c r="C13" s="11">
        <v>56822</v>
      </c>
      <c r="D13" s="25">
        <f t="shared" si="0"/>
        <v>-1269</v>
      </c>
    </row>
    <row r="14" spans="1:4" x14ac:dyDescent="0.2">
      <c r="A14" s="10">
        <v>9</v>
      </c>
      <c r="B14" s="11">
        <v>56234</v>
      </c>
      <c r="C14" s="11">
        <v>59388</v>
      </c>
      <c r="D14" s="25">
        <f t="shared" si="0"/>
        <v>3154</v>
      </c>
    </row>
    <row r="15" spans="1:4" x14ac:dyDescent="0.2">
      <c r="A15" s="10">
        <v>10</v>
      </c>
      <c r="B15" s="11">
        <v>58416</v>
      </c>
      <c r="C15" s="11">
        <v>59388</v>
      </c>
      <c r="D15" s="25">
        <f t="shared" si="0"/>
        <v>972</v>
      </c>
    </row>
    <row r="16" spans="1:4" x14ac:dyDescent="0.2">
      <c r="A16" s="10">
        <v>11</v>
      </c>
      <c r="B16" s="11">
        <v>33275</v>
      </c>
      <c r="C16" s="11">
        <v>41442</v>
      </c>
      <c r="D16" s="25">
        <f t="shared" si="0"/>
        <v>8167</v>
      </c>
    </row>
    <row r="17" spans="1:4" x14ac:dyDescent="0.2">
      <c r="A17" s="10">
        <v>12</v>
      </c>
      <c r="B17" s="11">
        <v>41688</v>
      </c>
      <c r="C17" s="11">
        <v>38336</v>
      </c>
      <c r="D17" s="25">
        <f t="shared" si="0"/>
        <v>-3352</v>
      </c>
    </row>
    <row r="18" spans="1:4" x14ac:dyDescent="0.2">
      <c r="A18" s="10">
        <v>13</v>
      </c>
      <c r="B18" s="11">
        <v>38952</v>
      </c>
      <c r="C18" s="11">
        <v>38928</v>
      </c>
      <c r="D18" s="25">
        <f t="shared" si="0"/>
        <v>-24</v>
      </c>
    </row>
    <row r="19" spans="1:4" x14ac:dyDescent="0.2">
      <c r="A19" s="10">
        <v>14</v>
      </c>
      <c r="B19" s="11">
        <v>57758</v>
      </c>
      <c r="C19" s="11">
        <v>58389</v>
      </c>
      <c r="D19" s="25">
        <f t="shared" si="0"/>
        <v>631</v>
      </c>
    </row>
    <row r="20" spans="1:4" x14ac:dyDescent="0.2">
      <c r="A20" s="10">
        <v>15</v>
      </c>
      <c r="B20" s="11">
        <v>54323</v>
      </c>
      <c r="C20" s="11">
        <v>54388</v>
      </c>
      <c r="D20" s="25">
        <f t="shared" si="0"/>
        <v>65</v>
      </c>
    </row>
    <row r="21" spans="1:4" x14ac:dyDescent="0.2">
      <c r="A21" s="10">
        <v>16</v>
      </c>
      <c r="B21" s="11">
        <v>54357</v>
      </c>
      <c r="C21" s="11">
        <v>54388</v>
      </c>
      <c r="D21" s="25">
        <f t="shared" si="0"/>
        <v>31</v>
      </c>
    </row>
    <row r="22" spans="1:4" x14ac:dyDescent="0.2">
      <c r="A22" s="10">
        <v>17</v>
      </c>
      <c r="B22" s="11">
        <v>53451</v>
      </c>
      <c r="C22" s="11">
        <v>52209</v>
      </c>
      <c r="D22" s="25">
        <f t="shared" si="0"/>
        <v>-1242</v>
      </c>
    </row>
    <row r="23" spans="1:4" x14ac:dyDescent="0.2">
      <c r="A23" s="10">
        <v>18</v>
      </c>
      <c r="B23" s="11">
        <v>41390</v>
      </c>
      <c r="C23" s="11">
        <v>43336</v>
      </c>
      <c r="D23" s="25">
        <f t="shared" si="0"/>
        <v>1946</v>
      </c>
    </row>
    <row r="24" spans="1:4" x14ac:dyDescent="0.2">
      <c r="A24" s="10">
        <v>19</v>
      </c>
      <c r="B24" s="11">
        <v>46550</v>
      </c>
      <c r="C24" s="11">
        <v>46153</v>
      </c>
      <c r="D24" s="25">
        <f t="shared" si="0"/>
        <v>-397</v>
      </c>
    </row>
    <row r="25" spans="1:4" x14ac:dyDescent="0.2">
      <c r="A25" s="10">
        <v>20</v>
      </c>
      <c r="B25" s="129">
        <v>65126</v>
      </c>
      <c r="C25" s="11">
        <v>67124</v>
      </c>
      <c r="D25" s="25">
        <f t="shared" si="0"/>
        <v>1998</v>
      </c>
    </row>
    <row r="26" spans="1:4" x14ac:dyDescent="0.2">
      <c r="A26" s="10">
        <v>21</v>
      </c>
      <c r="B26" s="11">
        <v>52434</v>
      </c>
      <c r="C26" s="11">
        <v>49465</v>
      </c>
      <c r="D26" s="25">
        <f t="shared" si="0"/>
        <v>-2969</v>
      </c>
    </row>
    <row r="27" spans="1:4" x14ac:dyDescent="0.2">
      <c r="A27" s="10">
        <v>22</v>
      </c>
      <c r="B27" s="11">
        <v>45644</v>
      </c>
      <c r="C27" s="11">
        <v>45654</v>
      </c>
      <c r="D27" s="25">
        <f t="shared" si="0"/>
        <v>10</v>
      </c>
    </row>
    <row r="28" spans="1:4" x14ac:dyDescent="0.2">
      <c r="A28" s="10">
        <v>23</v>
      </c>
      <c r="B28" s="11">
        <v>57273</v>
      </c>
      <c r="C28" s="11">
        <v>60853</v>
      </c>
      <c r="D28" s="25">
        <f t="shared" si="0"/>
        <v>3580</v>
      </c>
    </row>
    <row r="29" spans="1:4" x14ac:dyDescent="0.2">
      <c r="A29" s="10">
        <v>24</v>
      </c>
      <c r="B29" s="11">
        <v>61491</v>
      </c>
      <c r="C29" s="11">
        <v>60654</v>
      </c>
      <c r="D29" s="25">
        <f t="shared" si="0"/>
        <v>-837</v>
      </c>
    </row>
    <row r="30" spans="1:4" x14ac:dyDescent="0.2">
      <c r="A30" s="10">
        <v>25</v>
      </c>
      <c r="B30" s="11">
        <v>48252</v>
      </c>
      <c r="C30" s="11">
        <v>45654</v>
      </c>
      <c r="D30" s="25">
        <f t="shared" si="0"/>
        <v>-2598</v>
      </c>
    </row>
    <row r="31" spans="1:4" x14ac:dyDescent="0.2">
      <c r="A31" s="10">
        <v>26</v>
      </c>
      <c r="B31" s="11">
        <v>51633</v>
      </c>
      <c r="C31" s="11">
        <v>51878</v>
      </c>
      <c r="D31" s="25">
        <f t="shared" si="0"/>
        <v>245</v>
      </c>
    </row>
    <row r="32" spans="1:4" x14ac:dyDescent="0.2">
      <c r="A32" s="10">
        <v>27</v>
      </c>
      <c r="B32" s="11">
        <v>45541</v>
      </c>
      <c r="C32" s="11">
        <v>45108</v>
      </c>
      <c r="D32" s="25">
        <f t="shared" si="0"/>
        <v>-433</v>
      </c>
    </row>
    <row r="33" spans="1:4" x14ac:dyDescent="0.2">
      <c r="A33" s="10">
        <v>28</v>
      </c>
      <c r="B33" s="11">
        <v>55353</v>
      </c>
      <c r="C33" s="11">
        <v>55105</v>
      </c>
      <c r="D33" s="25">
        <f t="shared" si="0"/>
        <v>-248</v>
      </c>
    </row>
    <row r="34" spans="1:4" x14ac:dyDescent="0.2">
      <c r="A34" s="10">
        <v>29</v>
      </c>
      <c r="B34" s="11">
        <v>37618</v>
      </c>
      <c r="C34" s="11">
        <v>36809</v>
      </c>
      <c r="D34" s="25">
        <f t="shared" si="0"/>
        <v>-809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1476779</v>
      </c>
      <c r="C37" s="11">
        <f>SUM(C6:C36)</f>
        <v>1482016</v>
      </c>
      <c r="D37" s="25">
        <f>SUM(D6:D36)</f>
        <v>5237</v>
      </c>
    </row>
    <row r="38" spans="1:4" x14ac:dyDescent="0.2">
      <c r="A38" s="26"/>
      <c r="C38" s="14"/>
      <c r="D38" s="329">
        <f>+summary!H5</f>
        <v>2.2200000000000002</v>
      </c>
    </row>
    <row r="39" spans="1:4" x14ac:dyDescent="0.2">
      <c r="D39" s="138">
        <f>+D38*D37</f>
        <v>11626.140000000001</v>
      </c>
    </row>
    <row r="40" spans="1:4" x14ac:dyDescent="0.2">
      <c r="A40" s="57">
        <v>37225</v>
      </c>
      <c r="C40" s="15"/>
      <c r="D40" s="518">
        <v>35912.71</v>
      </c>
    </row>
    <row r="41" spans="1:4" x14ac:dyDescent="0.2">
      <c r="A41" s="57">
        <v>37254</v>
      </c>
      <c r="C41" s="48"/>
      <c r="D41" s="138">
        <f>+D40+D39</f>
        <v>47538.85</v>
      </c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17122</v>
      </c>
    </row>
    <row r="47" spans="1:4" x14ac:dyDescent="0.2">
      <c r="A47" s="49">
        <f>+A41</f>
        <v>37254</v>
      </c>
      <c r="B47" s="32"/>
      <c r="C47" s="32"/>
      <c r="D47" s="355">
        <f>+D37</f>
        <v>5237</v>
      </c>
    </row>
    <row r="48" spans="1:4" x14ac:dyDescent="0.2">
      <c r="A48" s="32"/>
      <c r="B48" s="32"/>
      <c r="C48" s="32"/>
      <c r="D48" s="14">
        <f>+D47+D46</f>
        <v>22359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1" workbookViewId="0">
      <selection activeCell="B43" sqref="B43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135</v>
      </c>
      <c r="C3" s="87"/>
      <c r="D3" s="87"/>
      <c r="E3" s="87"/>
    </row>
    <row r="4" spans="1:13" x14ac:dyDescent="0.2">
      <c r="A4" s="3"/>
      <c r="B4" s="331" t="s">
        <v>136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">
      <c r="A9" s="10">
        <v>4</v>
      </c>
      <c r="B9" s="11">
        <v>-1629</v>
      </c>
      <c r="C9" s="11">
        <v>-1588</v>
      </c>
      <c r="D9" s="25">
        <f t="shared" si="0"/>
        <v>41</v>
      </c>
    </row>
    <row r="10" spans="1:13" x14ac:dyDescent="0.2">
      <c r="A10" s="10">
        <v>5</v>
      </c>
      <c r="B10" s="11">
        <v>-2098</v>
      </c>
      <c r="C10" s="11">
        <v>-1588</v>
      </c>
      <c r="D10" s="25">
        <f t="shared" si="0"/>
        <v>510</v>
      </c>
    </row>
    <row r="11" spans="1:13" x14ac:dyDescent="0.2">
      <c r="A11" s="10">
        <v>6</v>
      </c>
      <c r="B11" s="11">
        <v>-980</v>
      </c>
      <c r="C11" s="11">
        <v>-1588</v>
      </c>
      <c r="D11" s="25">
        <f t="shared" si="0"/>
        <v>-608</v>
      </c>
    </row>
    <row r="12" spans="1:13" x14ac:dyDescent="0.2">
      <c r="A12" s="10">
        <v>7</v>
      </c>
      <c r="B12" s="11">
        <v>-556</v>
      </c>
      <c r="C12" s="11">
        <v>-1588</v>
      </c>
      <c r="D12" s="25">
        <f t="shared" si="0"/>
        <v>-1032</v>
      </c>
    </row>
    <row r="13" spans="1:13" x14ac:dyDescent="0.2">
      <c r="A13" s="10">
        <v>8</v>
      </c>
      <c r="B13" s="11">
        <v>-833</v>
      </c>
      <c r="C13" s="11">
        <v>-1588</v>
      </c>
      <c r="D13" s="25">
        <f t="shared" si="0"/>
        <v>-755</v>
      </c>
      <c r="H13" s="118"/>
      <c r="I13" s="34"/>
      <c r="J13" s="34"/>
      <c r="K13" s="189"/>
      <c r="L13" s="420" t="s">
        <v>180</v>
      </c>
      <c r="M13" s="189"/>
    </row>
    <row r="14" spans="1:13" x14ac:dyDescent="0.2">
      <c r="A14" s="10">
        <v>9</v>
      </c>
      <c r="B14" s="11">
        <v>-2039</v>
      </c>
      <c r="C14" s="11">
        <v>-1588</v>
      </c>
      <c r="D14" s="25">
        <f t="shared" si="0"/>
        <v>451</v>
      </c>
      <c r="H14" s="118" t="s">
        <v>40</v>
      </c>
      <c r="I14" s="421" t="s">
        <v>20</v>
      </c>
      <c r="J14" s="421" t="s">
        <v>21</v>
      </c>
      <c r="K14" s="422" t="s">
        <v>50</v>
      </c>
      <c r="L14" s="420" t="s">
        <v>16</v>
      </c>
      <c r="M14" s="189" t="s">
        <v>28</v>
      </c>
    </row>
    <row r="15" spans="1:13" x14ac:dyDescent="0.2">
      <c r="A15" s="10">
        <v>10</v>
      </c>
      <c r="B15" s="11">
        <v>-1966</v>
      </c>
      <c r="C15" s="11">
        <v>-1588</v>
      </c>
      <c r="D15" s="25">
        <f t="shared" si="0"/>
        <v>378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-2018</v>
      </c>
      <c r="C16" s="11">
        <v>-1588</v>
      </c>
      <c r="D16" s="25">
        <f t="shared" si="0"/>
        <v>430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0">
        <v>8.2100000000000009</v>
      </c>
      <c r="M16" s="425">
        <f t="shared" ref="M16:M22" si="2">+L16*K16</f>
        <v>-148748.78000000003</v>
      </c>
    </row>
    <row r="17" spans="1:15" x14ac:dyDescent="0.2">
      <c r="A17" s="10">
        <v>12</v>
      </c>
      <c r="B17" s="11">
        <v>-1575</v>
      </c>
      <c r="C17" s="11">
        <v>-1588</v>
      </c>
      <c r="D17" s="25">
        <f t="shared" si="0"/>
        <v>-13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0">
        <v>5.62</v>
      </c>
      <c r="M17" s="425">
        <f t="shared" si="2"/>
        <v>-91100.2</v>
      </c>
    </row>
    <row r="18" spans="1:15" x14ac:dyDescent="0.2">
      <c r="A18" s="10">
        <v>13</v>
      </c>
      <c r="B18" s="11">
        <v>-303</v>
      </c>
      <c r="C18" s="11">
        <v>-1588</v>
      </c>
      <c r="D18" s="25">
        <f t="shared" si="0"/>
        <v>-1285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0">
        <v>4.9800000000000004</v>
      </c>
      <c r="M18" s="425">
        <f t="shared" si="2"/>
        <v>-118748.1</v>
      </c>
    </row>
    <row r="19" spans="1:15" x14ac:dyDescent="0.2">
      <c r="A19" s="10">
        <v>14</v>
      </c>
      <c r="B19" s="11">
        <v>-24</v>
      </c>
      <c r="C19" s="11">
        <v>-1588</v>
      </c>
      <c r="D19" s="25">
        <f t="shared" si="0"/>
        <v>-1564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0">
        <v>4.87</v>
      </c>
      <c r="M19" s="425">
        <f t="shared" si="2"/>
        <v>63012.93</v>
      </c>
      <c r="O19" s="259"/>
    </row>
    <row r="20" spans="1:15" x14ac:dyDescent="0.2">
      <c r="A20" s="10">
        <v>15</v>
      </c>
      <c r="B20" s="11">
        <v>-8</v>
      </c>
      <c r="C20" s="11">
        <v>-530</v>
      </c>
      <c r="D20" s="25">
        <f t="shared" si="0"/>
        <v>-522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0">
        <v>3.82</v>
      </c>
      <c r="M20" s="425">
        <f t="shared" si="2"/>
        <v>32531.119999999999</v>
      </c>
    </row>
    <row r="21" spans="1:15" x14ac:dyDescent="0.2">
      <c r="A21" s="10">
        <v>16</v>
      </c>
      <c r="B21" s="11">
        <v>-17</v>
      </c>
      <c r="C21" s="11">
        <v>-530</v>
      </c>
      <c r="D21" s="25">
        <f t="shared" si="0"/>
        <v>-513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0">
        <v>3.2</v>
      </c>
      <c r="M21" s="425">
        <f t="shared" si="2"/>
        <v>-47644.800000000003</v>
      </c>
    </row>
    <row r="22" spans="1:15" x14ac:dyDescent="0.2">
      <c r="A22" s="10">
        <v>17</v>
      </c>
      <c r="B22" s="11">
        <v>-15</v>
      </c>
      <c r="C22" s="11">
        <v>-530</v>
      </c>
      <c r="D22" s="25">
        <f t="shared" si="0"/>
        <v>-515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0">
        <v>2.77</v>
      </c>
      <c r="M22" s="426">
        <f t="shared" si="2"/>
        <v>-43139.98</v>
      </c>
    </row>
    <row r="23" spans="1:15" ht="13.5" thickBot="1" x14ac:dyDescent="0.25">
      <c r="A23" s="10">
        <v>18</v>
      </c>
      <c r="B23" s="11">
        <v>-9</v>
      </c>
      <c r="C23" s="11"/>
      <c r="D23" s="25">
        <f t="shared" si="0"/>
        <v>9</v>
      </c>
      <c r="H23" s="34"/>
      <c r="I23" s="119"/>
      <c r="J23" s="119"/>
      <c r="K23" s="119"/>
      <c r="L23" s="423"/>
      <c r="M23" s="424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-11</v>
      </c>
      <c r="C24" s="11"/>
      <c r="D24" s="25">
        <f t="shared" si="0"/>
        <v>11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-9</v>
      </c>
      <c r="C25" s="11"/>
      <c r="D25" s="25">
        <f t="shared" si="0"/>
        <v>9</v>
      </c>
    </row>
    <row r="26" spans="1:15" x14ac:dyDescent="0.2">
      <c r="A26" s="10">
        <v>21</v>
      </c>
      <c r="B26" s="11">
        <v>-12</v>
      </c>
      <c r="C26" s="11"/>
      <c r="D26" s="25">
        <f t="shared" si="0"/>
        <v>12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-17</v>
      </c>
      <c r="C27" s="11"/>
      <c r="D27" s="25">
        <f t="shared" si="0"/>
        <v>17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-16</v>
      </c>
      <c r="C28" s="11"/>
      <c r="D28" s="25">
        <f t="shared" si="0"/>
        <v>16</v>
      </c>
    </row>
    <row r="29" spans="1:15" x14ac:dyDescent="0.2">
      <c r="A29" s="10">
        <v>24</v>
      </c>
      <c r="B29" s="11">
        <v>-13</v>
      </c>
      <c r="C29" s="11"/>
      <c r="D29" s="25">
        <f t="shared" si="0"/>
        <v>13</v>
      </c>
    </row>
    <row r="30" spans="1:15" x14ac:dyDescent="0.2">
      <c r="A30" s="10">
        <v>25</v>
      </c>
      <c r="B30" s="11">
        <v>-3</v>
      </c>
      <c r="C30" s="11"/>
      <c r="D30" s="25">
        <f t="shared" si="0"/>
        <v>3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-19168</v>
      </c>
      <c r="C37" s="11">
        <f>SUM(C6:C36)</f>
        <v>-23822</v>
      </c>
      <c r="D37" s="25">
        <f>SUM(D6:D36)</f>
        <v>-4654</v>
      </c>
    </row>
    <row r="38" spans="1:4" x14ac:dyDescent="0.2">
      <c r="A38" s="26"/>
      <c r="C38" s="14"/>
      <c r="D38" s="329">
        <f>+summary!H4</f>
        <v>2.21</v>
      </c>
    </row>
    <row r="39" spans="1:4" x14ac:dyDescent="0.2">
      <c r="D39" s="138">
        <f>+D38*D37</f>
        <v>-10285.34</v>
      </c>
    </row>
    <row r="40" spans="1:4" x14ac:dyDescent="0.2">
      <c r="A40" s="57">
        <v>37225</v>
      </c>
      <c r="C40" s="15"/>
      <c r="D40" s="519">
        <v>-345354</v>
      </c>
    </row>
    <row r="41" spans="1:4" x14ac:dyDescent="0.2">
      <c r="A41" s="57">
        <v>37250</v>
      </c>
      <c r="C41" s="48"/>
      <c r="D41" s="138">
        <f>+D40+D39</f>
        <v>-355639.34</v>
      </c>
    </row>
    <row r="47" spans="1:4" x14ac:dyDescent="0.2">
      <c r="A47" s="32" t="s">
        <v>152</v>
      </c>
      <c r="B47" s="32"/>
      <c r="C47" s="32"/>
      <c r="D47" s="32"/>
    </row>
    <row r="48" spans="1:4" x14ac:dyDescent="0.2">
      <c r="A48" s="49">
        <f>+A40</f>
        <v>37225</v>
      </c>
      <c r="B48" s="32"/>
      <c r="C48" s="32"/>
      <c r="D48" s="509">
        <v>-39976</v>
      </c>
    </row>
    <row r="49" spans="1:4" x14ac:dyDescent="0.2">
      <c r="A49" s="49">
        <f>+A41</f>
        <v>37250</v>
      </c>
      <c r="B49" s="32"/>
      <c r="C49" s="32"/>
      <c r="D49" s="355">
        <f>+D37</f>
        <v>-4654</v>
      </c>
    </row>
    <row r="50" spans="1:4" x14ac:dyDescent="0.2">
      <c r="A50" s="32"/>
      <c r="B50" s="32"/>
      <c r="C50" s="32"/>
      <c r="D50" s="14">
        <f>+D49+D48</f>
        <v>-44630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141</v>
      </c>
      <c r="C3" s="87"/>
      <c r="D3" s="87"/>
    </row>
    <row r="4" spans="1:4" x14ac:dyDescent="0.2">
      <c r="A4" s="3"/>
      <c r="B4" s="331" t="s">
        <v>138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-73</v>
      </c>
      <c r="C6" s="11"/>
      <c r="D6" s="25">
        <f>+C6-B6</f>
        <v>73</v>
      </c>
    </row>
    <row r="7" spans="1:4" x14ac:dyDescent="0.2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">
      <c r="A8" s="10">
        <v>3</v>
      </c>
      <c r="B8" s="129">
        <v>-52667</v>
      </c>
      <c r="C8" s="11">
        <v>-50314</v>
      </c>
      <c r="D8" s="25">
        <f t="shared" si="0"/>
        <v>2353</v>
      </c>
    </row>
    <row r="9" spans="1:4" x14ac:dyDescent="0.2">
      <c r="A9" s="10">
        <v>4</v>
      </c>
      <c r="B9" s="129">
        <v>-57592</v>
      </c>
      <c r="C9" s="11">
        <v>-52731</v>
      </c>
      <c r="D9" s="25">
        <f t="shared" si="0"/>
        <v>4861</v>
      </c>
    </row>
    <row r="10" spans="1:4" x14ac:dyDescent="0.2">
      <c r="A10" s="10">
        <v>5</v>
      </c>
      <c r="B10" s="129">
        <v>-62974</v>
      </c>
      <c r="C10" s="11">
        <v>-64119</v>
      </c>
      <c r="D10" s="25">
        <f t="shared" si="0"/>
        <v>-1145</v>
      </c>
    </row>
    <row r="11" spans="1:4" x14ac:dyDescent="0.2">
      <c r="A11" s="10">
        <v>6</v>
      </c>
      <c r="B11" s="129">
        <v>-31093</v>
      </c>
      <c r="C11" s="11">
        <v>-30000</v>
      </c>
      <c r="D11" s="25">
        <f t="shared" si="0"/>
        <v>1093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-204456</v>
      </c>
      <c r="C37" s="11">
        <f>SUM(C6:C36)</f>
        <v>-197164</v>
      </c>
      <c r="D37" s="25">
        <f>SUM(D6:D36)</f>
        <v>7292</v>
      </c>
    </row>
    <row r="38" spans="1:4" x14ac:dyDescent="0.2">
      <c r="A38" s="26"/>
      <c r="C38" s="14"/>
      <c r="D38" s="329">
        <f>+summary!H4</f>
        <v>2.21</v>
      </c>
    </row>
    <row r="39" spans="1:4" x14ac:dyDescent="0.2">
      <c r="D39" s="138">
        <f>+D38*D37</f>
        <v>16115.32</v>
      </c>
    </row>
    <row r="40" spans="1:4" x14ac:dyDescent="0.2">
      <c r="A40" s="57">
        <v>37225</v>
      </c>
      <c r="C40" s="15"/>
      <c r="D40" s="519">
        <v>51396</v>
      </c>
    </row>
    <row r="41" spans="1:4" x14ac:dyDescent="0.2">
      <c r="A41" s="57">
        <v>37250</v>
      </c>
      <c r="C41" s="48"/>
      <c r="D41" s="138">
        <f>+D40+D39</f>
        <v>67511.320000000007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28886</v>
      </c>
    </row>
    <row r="47" spans="1:4" x14ac:dyDescent="0.2">
      <c r="A47" s="49">
        <f>+A41</f>
        <v>37250</v>
      </c>
      <c r="B47" s="32"/>
      <c r="C47" s="32"/>
      <c r="D47" s="355">
        <f>+D37</f>
        <v>7292</v>
      </c>
    </row>
    <row r="48" spans="1:4" x14ac:dyDescent="0.2">
      <c r="A48" s="32"/>
      <c r="B48" s="32"/>
      <c r="C48" s="32"/>
      <c r="D48" s="14">
        <f>+D47+D46</f>
        <v>36178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5" workbookViewId="0">
      <selection activeCell="C7" sqref="C7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137</v>
      </c>
      <c r="B3" s="88"/>
      <c r="C3" s="257"/>
      <c r="D3" s="88"/>
    </row>
    <row r="4" spans="1:13" x14ac:dyDescent="0.2">
      <c r="A4" s="87"/>
      <c r="B4" s="254" t="s">
        <v>20</v>
      </c>
      <c r="C4" s="254" t="s">
        <v>21</v>
      </c>
      <c r="D4" s="255" t="s">
        <v>50</v>
      </c>
    </row>
    <row r="5" spans="1:13" x14ac:dyDescent="0.2">
      <c r="A5" s="87">
        <v>56659</v>
      </c>
      <c r="B5" s="326">
        <v>-42</v>
      </c>
      <c r="C5" s="90">
        <v>-3276</v>
      </c>
      <c r="D5" s="90">
        <f>+C5-B5</f>
        <v>-3234</v>
      </c>
      <c r="E5" s="275"/>
      <c r="F5" s="273"/>
    </row>
    <row r="6" spans="1:13" x14ac:dyDescent="0.2">
      <c r="A6" s="87">
        <v>500046</v>
      </c>
      <c r="B6" s="90">
        <v>-9305</v>
      </c>
      <c r="C6" s="90">
        <v>-4879</v>
      </c>
      <c r="D6" s="90">
        <f t="shared" ref="D6:D11" si="0">+C6-B6</f>
        <v>4426</v>
      </c>
      <c r="E6" s="275"/>
      <c r="F6" s="27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26</v>
      </c>
      <c r="M7">
        <v>7.6</v>
      </c>
    </row>
    <row r="8" spans="1:13" x14ac:dyDescent="0.2">
      <c r="A8" s="87">
        <v>500134</v>
      </c>
      <c r="B8" s="92">
        <v>-28601</v>
      </c>
      <c r="C8" s="90">
        <v>-39795</v>
      </c>
      <c r="D8" s="90">
        <f t="shared" si="0"/>
        <v>-11194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-10002</v>
      </c>
      <c r="E12" s="275"/>
      <c r="F12" s="273"/>
    </row>
    <row r="13" spans="1:13" x14ac:dyDescent="0.2">
      <c r="A13" s="87" t="s">
        <v>82</v>
      </c>
      <c r="B13" s="88"/>
      <c r="C13" s="88"/>
      <c r="D13" s="95">
        <f>+summary!H4</f>
        <v>2.21</v>
      </c>
      <c r="E13" s="277"/>
      <c r="F13" s="273"/>
    </row>
    <row r="14" spans="1:13" x14ac:dyDescent="0.2">
      <c r="A14" s="87"/>
      <c r="B14" s="88"/>
      <c r="C14" s="88"/>
      <c r="D14" s="96">
        <f>+D13*D12</f>
        <v>-22104.42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37225</v>
      </c>
      <c r="B16" s="88"/>
      <c r="C16" s="88"/>
      <c r="D16" s="516">
        <v>-510924.54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37251</v>
      </c>
      <c r="B18" s="88"/>
      <c r="C18" s="88"/>
      <c r="D18" s="321">
        <f>+D16+D14</f>
        <v>-533028.96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152</v>
      </c>
      <c r="B21" s="32"/>
      <c r="C21" s="32"/>
      <c r="D21" s="32"/>
    </row>
    <row r="22" spans="1:7" x14ac:dyDescent="0.2">
      <c r="A22" s="49">
        <f>+A16</f>
        <v>37225</v>
      </c>
      <c r="B22" s="32"/>
      <c r="C22" s="32"/>
      <c r="D22" s="509">
        <v>-24926</v>
      </c>
    </row>
    <row r="23" spans="1:7" x14ac:dyDescent="0.2">
      <c r="A23" s="49">
        <f>+A18</f>
        <v>37251</v>
      </c>
      <c r="B23" s="32"/>
      <c r="C23" s="32"/>
      <c r="D23" s="355">
        <f>+D12</f>
        <v>-10002</v>
      </c>
    </row>
    <row r="24" spans="1:7" x14ac:dyDescent="0.2">
      <c r="A24" s="32"/>
      <c r="B24" s="32"/>
      <c r="C24" s="32"/>
      <c r="D24" s="14">
        <f>+D23+D22</f>
        <v>-34928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8" workbookViewId="0">
      <selection activeCell="A42" sqref="A4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143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-7000</v>
      </c>
      <c r="D6" s="25">
        <f>+C6-B6</f>
        <v>-7000</v>
      </c>
    </row>
    <row r="7" spans="1:4" x14ac:dyDescent="0.2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">
      <c r="A8" s="10">
        <v>3</v>
      </c>
      <c r="B8" s="11">
        <v>-20568</v>
      </c>
      <c r="C8" s="11">
        <v>-4786</v>
      </c>
      <c r="D8" s="25">
        <f t="shared" si="0"/>
        <v>15782</v>
      </c>
    </row>
    <row r="9" spans="1:4" x14ac:dyDescent="0.2">
      <c r="A9" s="10">
        <v>4</v>
      </c>
      <c r="B9" s="11">
        <v>-6999</v>
      </c>
      <c r="C9" s="11">
        <v>-10000</v>
      </c>
      <c r="D9" s="25">
        <f t="shared" si="0"/>
        <v>-3001</v>
      </c>
    </row>
    <row r="10" spans="1:4" x14ac:dyDescent="0.2">
      <c r="A10" s="10">
        <v>5</v>
      </c>
      <c r="B10" s="11">
        <v>-5845</v>
      </c>
      <c r="C10" s="11">
        <v>-10000</v>
      </c>
      <c r="D10" s="25">
        <f t="shared" si="0"/>
        <v>-4155</v>
      </c>
    </row>
    <row r="11" spans="1:4" x14ac:dyDescent="0.2">
      <c r="A11" s="10">
        <v>6</v>
      </c>
      <c r="B11" s="11">
        <v>-8331</v>
      </c>
      <c r="C11" s="11">
        <v>-10000</v>
      </c>
      <c r="D11" s="25">
        <f t="shared" si="0"/>
        <v>-1669</v>
      </c>
    </row>
    <row r="12" spans="1:4" x14ac:dyDescent="0.2">
      <c r="A12" s="10">
        <v>7</v>
      </c>
      <c r="B12" s="11">
        <v>-8430</v>
      </c>
      <c r="C12" s="11">
        <v>-10000</v>
      </c>
      <c r="D12" s="25">
        <f t="shared" si="0"/>
        <v>-1570</v>
      </c>
    </row>
    <row r="13" spans="1:4" x14ac:dyDescent="0.2">
      <c r="A13" s="10">
        <v>8</v>
      </c>
      <c r="B13" s="11">
        <v>-35058</v>
      </c>
      <c r="C13" s="11">
        <v>-17270</v>
      </c>
      <c r="D13" s="25">
        <f t="shared" si="0"/>
        <v>17788</v>
      </c>
    </row>
    <row r="14" spans="1:4" x14ac:dyDescent="0.2">
      <c r="A14" s="10">
        <v>9</v>
      </c>
      <c r="B14" s="11">
        <v>-565</v>
      </c>
      <c r="C14" s="11">
        <v>-17270</v>
      </c>
      <c r="D14" s="25">
        <f t="shared" si="0"/>
        <v>-16705</v>
      </c>
    </row>
    <row r="15" spans="1:4" x14ac:dyDescent="0.2">
      <c r="A15" s="10">
        <v>10</v>
      </c>
      <c r="B15" s="11">
        <v>-7231</v>
      </c>
      <c r="C15" s="11">
        <v>-17270</v>
      </c>
      <c r="D15" s="25">
        <f t="shared" si="0"/>
        <v>-10039</v>
      </c>
    </row>
    <row r="16" spans="1:4" x14ac:dyDescent="0.2">
      <c r="A16" s="10">
        <v>11</v>
      </c>
      <c r="B16" s="11">
        <v>-8566</v>
      </c>
      <c r="C16" s="11">
        <v>-2270</v>
      </c>
      <c r="D16" s="25">
        <f t="shared" si="0"/>
        <v>6296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>
        <v>-2578</v>
      </c>
      <c r="D18" s="25">
        <f t="shared" si="0"/>
        <v>-2578</v>
      </c>
    </row>
    <row r="19" spans="1:4" x14ac:dyDescent="0.2">
      <c r="A19" s="10">
        <v>14</v>
      </c>
      <c r="B19" s="11"/>
      <c r="C19" s="11">
        <v>-12000</v>
      </c>
      <c r="D19" s="25">
        <f t="shared" si="0"/>
        <v>-12000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>
        <v>-22369</v>
      </c>
      <c r="C25" s="11">
        <v>-5714</v>
      </c>
      <c r="D25" s="25">
        <f t="shared" si="0"/>
        <v>16655</v>
      </c>
    </row>
    <row r="26" spans="1:4" x14ac:dyDescent="0.2">
      <c r="A26" s="10">
        <v>21</v>
      </c>
      <c r="B26" s="11">
        <v>-8466</v>
      </c>
      <c r="C26" s="11">
        <v>-8570</v>
      </c>
      <c r="D26" s="25">
        <f t="shared" si="0"/>
        <v>-104</v>
      </c>
    </row>
    <row r="27" spans="1:4" x14ac:dyDescent="0.2">
      <c r="A27" s="10">
        <v>22</v>
      </c>
      <c r="B27" s="11">
        <v>-16160</v>
      </c>
      <c r="C27" s="11">
        <v>-14983</v>
      </c>
      <c r="D27" s="25">
        <f t="shared" si="0"/>
        <v>1177</v>
      </c>
    </row>
    <row r="28" spans="1:4" x14ac:dyDescent="0.2">
      <c r="A28" s="10">
        <v>23</v>
      </c>
      <c r="B28" s="11">
        <v>-16435</v>
      </c>
      <c r="C28" s="11">
        <v>-14983</v>
      </c>
      <c r="D28" s="25">
        <f t="shared" si="0"/>
        <v>1452</v>
      </c>
    </row>
    <row r="29" spans="1:4" x14ac:dyDescent="0.2">
      <c r="A29" s="10">
        <v>24</v>
      </c>
      <c r="B29" s="11">
        <v>-16410</v>
      </c>
      <c r="C29" s="11">
        <v>-14983</v>
      </c>
      <c r="D29" s="25">
        <f t="shared" si="0"/>
        <v>1427</v>
      </c>
    </row>
    <row r="30" spans="1:4" x14ac:dyDescent="0.2">
      <c r="A30" s="10">
        <v>25</v>
      </c>
      <c r="B30" s="129">
        <v>-16299</v>
      </c>
      <c r="C30" s="11">
        <v>-14983</v>
      </c>
      <c r="D30" s="25">
        <f t="shared" si="0"/>
        <v>1316</v>
      </c>
    </row>
    <row r="31" spans="1:4" x14ac:dyDescent="0.2">
      <c r="A31" s="10">
        <v>26</v>
      </c>
      <c r="B31" s="11">
        <v>-16327</v>
      </c>
      <c r="C31" s="11">
        <v>-14983</v>
      </c>
      <c r="D31" s="25">
        <f t="shared" si="0"/>
        <v>1344</v>
      </c>
    </row>
    <row r="32" spans="1:4" x14ac:dyDescent="0.2">
      <c r="A32" s="10">
        <v>27</v>
      </c>
      <c r="B32" s="11">
        <v>-44139</v>
      </c>
      <c r="C32" s="11">
        <v>-43460</v>
      </c>
      <c r="D32" s="25">
        <f t="shared" si="0"/>
        <v>679</v>
      </c>
    </row>
    <row r="33" spans="1:4" x14ac:dyDescent="0.2">
      <c r="A33" s="10">
        <v>28</v>
      </c>
      <c r="B33" s="11">
        <v>-12714</v>
      </c>
      <c r="C33" s="11">
        <v>-12866</v>
      </c>
      <c r="D33" s="25">
        <f t="shared" si="0"/>
        <v>-152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-270912</v>
      </c>
      <c r="C37" s="11">
        <f>SUM(C6:C36)</f>
        <v>-270755</v>
      </c>
      <c r="D37" s="25">
        <f>SUM(D6:D36)</f>
        <v>157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37225</v>
      </c>
      <c r="C40" s="15"/>
      <c r="D40" s="507">
        <f>-23051+9445</f>
        <v>-13606</v>
      </c>
    </row>
    <row r="41" spans="1:4" x14ac:dyDescent="0.2">
      <c r="A41" s="57">
        <v>37253</v>
      </c>
      <c r="C41" s="48"/>
      <c r="D41" s="25">
        <f>+D40+D37</f>
        <v>-13449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+A40</f>
        <v>37225</v>
      </c>
      <c r="B45" s="32"/>
      <c r="C45" s="32"/>
      <c r="D45" s="502">
        <v>151190.72</v>
      </c>
    </row>
    <row r="46" spans="1:4" x14ac:dyDescent="0.2">
      <c r="A46" s="49">
        <f>+A41</f>
        <v>37253</v>
      </c>
      <c r="B46" s="32"/>
      <c r="C46" s="32"/>
      <c r="D46" s="382">
        <f>+D37*'by type_area'!J4</f>
        <v>346.96999999999997</v>
      </c>
    </row>
    <row r="47" spans="1:4" x14ac:dyDescent="0.2">
      <c r="A47" s="32"/>
      <c r="B47" s="32"/>
      <c r="C47" s="32"/>
      <c r="D47" s="200">
        <f>+D46+D45</f>
        <v>151537.69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247</v>
      </c>
      <c r="C3" s="87"/>
      <c r="D3" s="87"/>
    </row>
    <row r="4" spans="1:4" x14ac:dyDescent="0.2">
      <c r="A4" s="3"/>
      <c r="B4" s="331" t="s">
        <v>246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+summary!H5</f>
        <v>2.2200000000000002</v>
      </c>
    </row>
    <row r="39" spans="1:4" x14ac:dyDescent="0.2">
      <c r="D39" s="138">
        <f>+D38*D37</f>
        <v>0</v>
      </c>
    </row>
    <row r="40" spans="1:4" x14ac:dyDescent="0.2">
      <c r="A40" s="57">
        <v>37225</v>
      </c>
      <c r="C40" s="15"/>
      <c r="D40" s="519">
        <v>-195699.5</v>
      </c>
    </row>
    <row r="41" spans="1:4" x14ac:dyDescent="0.2">
      <c r="A41" s="57">
        <v>37225</v>
      </c>
      <c r="C41" s="48"/>
      <c r="D41" s="138">
        <f>+D40+D39</f>
        <v>-195699.5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-47898</v>
      </c>
    </row>
    <row r="47" spans="1:4" x14ac:dyDescent="0.2">
      <c r="A47" s="49">
        <f>+A41</f>
        <v>37225</v>
      </c>
      <c r="B47" s="32"/>
      <c r="C47" s="32"/>
      <c r="D47" s="467">
        <f>+D37</f>
        <v>0</v>
      </c>
    </row>
    <row r="48" spans="1:4" x14ac:dyDescent="0.2">
      <c r="A48" s="32"/>
      <c r="B48" s="32"/>
      <c r="C48" s="32"/>
      <c r="D48" s="14">
        <f>+D47+D46</f>
        <v>-47898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A54" sqref="A5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8" t="s">
        <v>248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207</v>
      </c>
      <c r="C4" s="4"/>
      <c r="D4" s="38" t="s">
        <v>208</v>
      </c>
      <c r="E4" s="4"/>
      <c r="F4" s="38" t="s">
        <v>209</v>
      </c>
      <c r="G4" s="4"/>
      <c r="H4" s="38" t="s">
        <v>210</v>
      </c>
      <c r="I4" s="4"/>
      <c r="J4" s="4"/>
    </row>
    <row r="5" spans="1:33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>
        <v>-2</v>
      </c>
      <c r="J6" s="11">
        <f>+I6+G6+E6+C6-H6-F6-D6-B6</f>
        <v>-268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>
        <v>-2</v>
      </c>
      <c r="J7" s="11">
        <f t="shared" ref="J7:J36" si="0">+I7+G7+E7+C7-H7-F7-D7-B7</f>
        <v>-373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>
        <v>-2</v>
      </c>
      <c r="J8" s="11">
        <f t="shared" si="0"/>
        <v>-564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-51</v>
      </c>
      <c r="C9" s="11">
        <v>-150</v>
      </c>
      <c r="D9" s="11"/>
      <c r="E9" s="11"/>
      <c r="F9" s="11">
        <v>-477</v>
      </c>
      <c r="G9" s="11">
        <v>-1001</v>
      </c>
      <c r="H9" s="11"/>
      <c r="I9" s="11">
        <v>-2</v>
      </c>
      <c r="J9" s="11">
        <f t="shared" si="0"/>
        <v>-625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-79</v>
      </c>
      <c r="C10" s="11">
        <v>-150</v>
      </c>
      <c r="D10" s="129"/>
      <c r="E10" s="11"/>
      <c r="F10" s="11">
        <v>-615</v>
      </c>
      <c r="G10" s="11">
        <v>-1001</v>
      </c>
      <c r="H10" s="11"/>
      <c r="I10" s="11">
        <v>-2</v>
      </c>
      <c r="J10" s="11">
        <f t="shared" si="0"/>
        <v>-459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-85</v>
      </c>
      <c r="C11" s="11">
        <v>-150</v>
      </c>
      <c r="D11" s="11"/>
      <c r="E11" s="11"/>
      <c r="F11" s="11">
        <v>-674</v>
      </c>
      <c r="G11" s="11">
        <v>-1001</v>
      </c>
      <c r="H11" s="11"/>
      <c r="I11" s="11">
        <v>-2</v>
      </c>
      <c r="J11" s="11">
        <f t="shared" si="0"/>
        <v>-394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-106</v>
      </c>
      <c r="C12" s="11">
        <v>-150</v>
      </c>
      <c r="D12" s="129"/>
      <c r="E12" s="11"/>
      <c r="F12" s="11">
        <v>-853</v>
      </c>
      <c r="G12" s="11">
        <v>-1001</v>
      </c>
      <c r="H12" s="11"/>
      <c r="I12" s="11">
        <v>-2</v>
      </c>
      <c r="J12" s="11">
        <f t="shared" si="0"/>
        <v>-194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-131</v>
      </c>
      <c r="C13" s="11">
        <v>-150</v>
      </c>
      <c r="D13" s="11"/>
      <c r="E13" s="11"/>
      <c r="F13" s="11">
        <v>-1037</v>
      </c>
      <c r="G13" s="11">
        <v>-1001</v>
      </c>
      <c r="H13" s="11"/>
      <c r="I13" s="11">
        <v>-2</v>
      </c>
      <c r="J13" s="11">
        <f t="shared" si="0"/>
        <v>15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-128</v>
      </c>
      <c r="C14" s="11">
        <v>-150</v>
      </c>
      <c r="D14" s="11"/>
      <c r="E14" s="11"/>
      <c r="F14" s="11">
        <v>-1118</v>
      </c>
      <c r="G14" s="11">
        <v>-1001</v>
      </c>
      <c r="H14" s="11"/>
      <c r="I14" s="11">
        <v>-2</v>
      </c>
      <c r="J14" s="11">
        <f t="shared" si="0"/>
        <v>93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-116</v>
      </c>
      <c r="C15" s="11">
        <v>-150</v>
      </c>
      <c r="D15" s="11"/>
      <c r="E15" s="11"/>
      <c r="F15" s="11">
        <v>-1121</v>
      </c>
      <c r="G15" s="11">
        <v>-1001</v>
      </c>
      <c r="H15" s="11"/>
      <c r="I15" s="11">
        <v>-2</v>
      </c>
      <c r="J15" s="11">
        <f t="shared" si="0"/>
        <v>84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-106</v>
      </c>
      <c r="C16" s="11">
        <v>-150</v>
      </c>
      <c r="D16" s="11"/>
      <c r="E16" s="11"/>
      <c r="F16" s="11">
        <v>-923</v>
      </c>
      <c r="G16" s="11">
        <v>-1001</v>
      </c>
      <c r="H16" s="11"/>
      <c r="I16" s="11">
        <v>-2</v>
      </c>
      <c r="J16" s="11">
        <f t="shared" si="0"/>
        <v>-124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-126</v>
      </c>
      <c r="C17" s="11">
        <v>-150</v>
      </c>
      <c r="D17" s="11"/>
      <c r="E17" s="11"/>
      <c r="F17" s="11">
        <v>-1057</v>
      </c>
      <c r="G17" s="11">
        <v>-1001</v>
      </c>
      <c r="H17" s="11"/>
      <c r="I17" s="11">
        <v>-2</v>
      </c>
      <c r="J17" s="11">
        <f t="shared" si="0"/>
        <v>30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-147</v>
      </c>
      <c r="C18" s="11">
        <v>-150</v>
      </c>
      <c r="D18" s="11"/>
      <c r="E18" s="11"/>
      <c r="F18" s="11">
        <v>-1237</v>
      </c>
      <c r="G18" s="11">
        <v>-1001</v>
      </c>
      <c r="H18" s="11"/>
      <c r="I18" s="11">
        <v>-2</v>
      </c>
      <c r="J18" s="11">
        <f t="shared" si="0"/>
        <v>231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-125</v>
      </c>
      <c r="C19" s="11">
        <v>-91</v>
      </c>
      <c r="D19" s="11"/>
      <c r="E19" s="11"/>
      <c r="F19" s="11">
        <v>-1049</v>
      </c>
      <c r="G19" s="11">
        <v>-1001</v>
      </c>
      <c r="H19" s="11"/>
      <c r="I19" s="11">
        <v>-2</v>
      </c>
      <c r="J19" s="11">
        <f t="shared" si="0"/>
        <v>80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-108</v>
      </c>
      <c r="C20" s="11">
        <v>-91</v>
      </c>
      <c r="D20" s="11"/>
      <c r="E20" s="11"/>
      <c r="F20" s="11">
        <v>-939</v>
      </c>
      <c r="G20" s="11">
        <v>-1001</v>
      </c>
      <c r="H20" s="11"/>
      <c r="I20" s="11">
        <v>-2</v>
      </c>
      <c r="J20" s="11">
        <f t="shared" si="0"/>
        <v>-47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-138</v>
      </c>
      <c r="C21" s="11">
        <v>-91</v>
      </c>
      <c r="D21" s="11"/>
      <c r="E21" s="11"/>
      <c r="F21" s="11">
        <v>-1275</v>
      </c>
      <c r="G21" s="11">
        <v>-1001</v>
      </c>
      <c r="H21" s="11"/>
      <c r="I21" s="11">
        <v>-2</v>
      </c>
      <c r="J21" s="11">
        <f t="shared" si="0"/>
        <v>319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-105</v>
      </c>
      <c r="C22" s="11">
        <v>-91</v>
      </c>
      <c r="D22" s="11"/>
      <c r="E22" s="11"/>
      <c r="F22" s="11">
        <v>-1083</v>
      </c>
      <c r="G22" s="11">
        <v>-1001</v>
      </c>
      <c r="H22" s="11"/>
      <c r="I22" s="11">
        <v>-2</v>
      </c>
      <c r="J22" s="11">
        <f t="shared" si="0"/>
        <v>94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-122</v>
      </c>
      <c r="C23" s="11">
        <v>-91</v>
      </c>
      <c r="D23" s="11"/>
      <c r="E23" s="11"/>
      <c r="F23" s="11">
        <v>-1008</v>
      </c>
      <c r="G23" s="11">
        <v>-1001</v>
      </c>
      <c r="H23" s="11"/>
      <c r="I23" s="11">
        <v>-2</v>
      </c>
      <c r="J23" s="11">
        <f t="shared" si="0"/>
        <v>36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-141</v>
      </c>
      <c r="C24" s="11">
        <v>-91</v>
      </c>
      <c r="D24" s="11"/>
      <c r="E24" s="11"/>
      <c r="F24" s="11">
        <v>-1118</v>
      </c>
      <c r="G24" s="11">
        <v>-1001</v>
      </c>
      <c r="H24" s="11"/>
      <c r="I24" s="11">
        <v>-2</v>
      </c>
      <c r="J24" s="11">
        <f t="shared" si="0"/>
        <v>165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-136</v>
      </c>
      <c r="C25" s="11">
        <v>-7</v>
      </c>
      <c r="D25" s="11"/>
      <c r="E25" s="11"/>
      <c r="F25" s="11">
        <v>-957</v>
      </c>
      <c r="G25" s="11">
        <v>-671</v>
      </c>
      <c r="H25" s="11"/>
      <c r="I25" s="11">
        <v>0</v>
      </c>
      <c r="J25" s="11">
        <f t="shared" si="0"/>
        <v>415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>
        <v>-107</v>
      </c>
      <c r="C26" s="11">
        <v>-91</v>
      </c>
      <c r="D26" s="11"/>
      <c r="E26" s="11"/>
      <c r="F26" s="11">
        <v>-862</v>
      </c>
      <c r="G26" s="11">
        <v>-1001</v>
      </c>
      <c r="H26" s="11"/>
      <c r="I26" s="11">
        <v>-2</v>
      </c>
      <c r="J26" s="11">
        <f t="shared" si="0"/>
        <v>-125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>
        <v>-135</v>
      </c>
      <c r="C27" s="11">
        <v>-91</v>
      </c>
      <c r="D27" s="11"/>
      <c r="E27" s="11"/>
      <c r="F27" s="11">
        <v>-1010</v>
      </c>
      <c r="G27" s="11">
        <v>-1001</v>
      </c>
      <c r="H27" s="11"/>
      <c r="I27" s="11">
        <v>-2</v>
      </c>
      <c r="J27" s="11">
        <f t="shared" si="0"/>
        <v>51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>
        <v>-166</v>
      </c>
      <c r="C28" s="11">
        <v>-91</v>
      </c>
      <c r="D28" s="11"/>
      <c r="E28" s="11"/>
      <c r="F28" s="11">
        <v>-1144</v>
      </c>
      <c r="G28" s="11">
        <v>-1001</v>
      </c>
      <c r="H28" s="11"/>
      <c r="I28" s="11">
        <v>-2</v>
      </c>
      <c r="J28" s="11">
        <f t="shared" si="0"/>
        <v>216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>
        <v>-161</v>
      </c>
      <c r="C29" s="11">
        <v>-91</v>
      </c>
      <c r="D29" s="11"/>
      <c r="E29" s="11"/>
      <c r="F29" s="11">
        <v>-1332</v>
      </c>
      <c r="G29" s="11">
        <v>-1001</v>
      </c>
      <c r="H29" s="11"/>
      <c r="I29" s="11">
        <v>-2</v>
      </c>
      <c r="J29" s="11">
        <f t="shared" si="0"/>
        <v>399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>
        <v>-178</v>
      </c>
      <c r="C30" s="11">
        <v>-91</v>
      </c>
      <c r="D30" s="11"/>
      <c r="E30" s="11"/>
      <c r="F30" s="11">
        <v>-1233</v>
      </c>
      <c r="G30" s="11">
        <v>-1001</v>
      </c>
      <c r="H30" s="11"/>
      <c r="I30" s="11">
        <v>-2</v>
      </c>
      <c r="J30" s="11">
        <f t="shared" si="0"/>
        <v>317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-2945</v>
      </c>
      <c r="C37" s="11">
        <f t="shared" ref="C37:I37" si="1">SUM(C6:C36)</f>
        <v>-2958</v>
      </c>
      <c r="D37" s="11">
        <f t="shared" si="1"/>
        <v>0</v>
      </c>
      <c r="E37" s="11">
        <f t="shared" si="1"/>
        <v>0</v>
      </c>
      <c r="F37" s="11">
        <f t="shared" si="1"/>
        <v>-24128</v>
      </c>
      <c r="G37" s="11">
        <f t="shared" si="1"/>
        <v>-24695</v>
      </c>
      <c r="H37" s="11">
        <f t="shared" si="1"/>
        <v>0</v>
      </c>
      <c r="I37" s="11">
        <f t="shared" si="1"/>
        <v>-48</v>
      </c>
      <c r="J37" s="11">
        <f>SUM(J6:J36)</f>
        <v>-628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+summary!H4</f>
        <v>2.21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-1387.8799999999999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37225</v>
      </c>
      <c r="C41" s="25"/>
      <c r="E41" s="25"/>
      <c r="G41" s="25"/>
      <c r="I41" s="25"/>
      <c r="J41" s="508">
        <v>-40029.08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37250</v>
      </c>
      <c r="J43" s="322">
        <f>+J41+J39</f>
        <v>-41416.959999999999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37225</v>
      </c>
      <c r="B48" s="32"/>
      <c r="C48" s="32"/>
      <c r="D48" s="509">
        <v>-5429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37250</v>
      </c>
      <c r="B49" s="32"/>
      <c r="C49" s="32"/>
      <c r="D49" s="355">
        <f>+J37</f>
        <v>-628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-6057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6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312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314</v>
      </c>
      <c r="C4" s="4"/>
      <c r="D4" s="38" t="s">
        <v>315</v>
      </c>
      <c r="E4" s="4"/>
      <c r="F4" s="38" t="s">
        <v>316</v>
      </c>
      <c r="G4" s="4"/>
      <c r="H4" s="38" t="s">
        <v>317</v>
      </c>
      <c r="I4" s="4"/>
      <c r="J4" s="38" t="s">
        <v>318</v>
      </c>
      <c r="K4" s="4"/>
      <c r="L4" s="38" t="s">
        <v>319</v>
      </c>
      <c r="M4" s="4"/>
      <c r="N4" s="4"/>
    </row>
    <row r="5" spans="1:37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33">
        <v>-125</v>
      </c>
      <c r="C6" s="11">
        <v>-125</v>
      </c>
      <c r="D6" s="533">
        <v>-1</v>
      </c>
      <c r="E6" s="11">
        <v>-1</v>
      </c>
      <c r="F6" s="533">
        <v>-90</v>
      </c>
      <c r="G6" s="11">
        <v>-90</v>
      </c>
      <c r="H6" s="533">
        <v>-2</v>
      </c>
      <c r="I6" s="11">
        <v>-2</v>
      </c>
      <c r="J6" s="533">
        <v>-40</v>
      </c>
      <c r="K6" s="11">
        <v>-40</v>
      </c>
      <c r="L6" s="11">
        <v>-316</v>
      </c>
      <c r="M6" s="11">
        <v>-260</v>
      </c>
      <c r="N6" s="11">
        <f>+M6+K6+I6+G6+E6+C6-L6-J6-H6-F6-D6-B6</f>
        <v>56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33">
        <v>-125</v>
      </c>
      <c r="C7" s="11">
        <v>-125</v>
      </c>
      <c r="D7" s="533">
        <v>-1</v>
      </c>
      <c r="E7" s="11">
        <v>-1</v>
      </c>
      <c r="F7" s="533">
        <v>-90</v>
      </c>
      <c r="G7" s="11">
        <v>-90</v>
      </c>
      <c r="H7" s="533">
        <v>-2</v>
      </c>
      <c r="I7" s="11">
        <v>-2</v>
      </c>
      <c r="J7" s="533">
        <v>-40</v>
      </c>
      <c r="K7" s="11">
        <v>-40</v>
      </c>
      <c r="L7" s="11">
        <v>-544</v>
      </c>
      <c r="M7" s="11">
        <v>-260</v>
      </c>
      <c r="N7" s="11">
        <f t="shared" ref="N7:N36" si="0">+M7+K7+I7+G7+E7+C7-L7-J7-H7-F7-D7-B7</f>
        <v>284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33">
        <v>-125</v>
      </c>
      <c r="C8" s="11">
        <v>-125</v>
      </c>
      <c r="D8" s="533">
        <v>-1</v>
      </c>
      <c r="E8" s="11">
        <v>-1</v>
      </c>
      <c r="F8" s="533">
        <v>-90</v>
      </c>
      <c r="G8" s="11">
        <v>-90</v>
      </c>
      <c r="H8" s="533">
        <v>-2</v>
      </c>
      <c r="I8" s="11">
        <v>-2</v>
      </c>
      <c r="J8" s="533">
        <v>-40</v>
      </c>
      <c r="K8" s="11">
        <v>-40</v>
      </c>
      <c r="L8" s="11">
        <v>-307</v>
      </c>
      <c r="M8" s="11">
        <v>-260</v>
      </c>
      <c r="N8" s="11">
        <f t="shared" si="0"/>
        <v>47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33">
        <v>-125</v>
      </c>
      <c r="C9" s="11">
        <v>-125</v>
      </c>
      <c r="D9" s="533">
        <v>-1</v>
      </c>
      <c r="E9" s="11">
        <v>-1</v>
      </c>
      <c r="F9" s="533">
        <v>-90</v>
      </c>
      <c r="G9" s="11">
        <v>-90</v>
      </c>
      <c r="H9" s="533">
        <v>-2</v>
      </c>
      <c r="I9" s="11">
        <v>-2</v>
      </c>
      <c r="J9" s="533">
        <v>-40</v>
      </c>
      <c r="K9" s="11">
        <v>-40</v>
      </c>
      <c r="L9" s="11">
        <v>-634</v>
      </c>
      <c r="M9" s="11">
        <v>-260</v>
      </c>
      <c r="N9" s="11">
        <f t="shared" si="0"/>
        <v>374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33">
        <v>-125</v>
      </c>
      <c r="C10" s="11">
        <v>-125</v>
      </c>
      <c r="D10" s="533">
        <v>-1</v>
      </c>
      <c r="E10" s="11">
        <v>-1</v>
      </c>
      <c r="F10" s="533">
        <v>-90</v>
      </c>
      <c r="G10" s="11">
        <v>-90</v>
      </c>
      <c r="H10" s="533">
        <v>-2</v>
      </c>
      <c r="I10" s="11">
        <v>-2</v>
      </c>
      <c r="J10" s="533">
        <v>-40</v>
      </c>
      <c r="K10" s="11">
        <v>-40</v>
      </c>
      <c r="L10" s="11">
        <v>-440</v>
      </c>
      <c r="M10" s="11">
        <v>-260</v>
      </c>
      <c r="N10" s="11">
        <f t="shared" si="0"/>
        <v>180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33">
        <v>-125</v>
      </c>
      <c r="C11" s="11">
        <v>-125</v>
      </c>
      <c r="D11" s="533">
        <v>-1</v>
      </c>
      <c r="E11" s="11">
        <v>-1</v>
      </c>
      <c r="F11" s="533">
        <v>-90</v>
      </c>
      <c r="G11" s="11">
        <v>-90</v>
      </c>
      <c r="H11" s="533">
        <v>-2</v>
      </c>
      <c r="I11" s="11">
        <v>-2</v>
      </c>
      <c r="J11" s="533">
        <v>-40</v>
      </c>
      <c r="K11" s="11">
        <v>-40</v>
      </c>
      <c r="L11" s="11">
        <v>-143</v>
      </c>
      <c r="M11" s="11">
        <v>-260</v>
      </c>
      <c r="N11" s="11">
        <f t="shared" si="0"/>
        <v>-117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33">
        <v>-125</v>
      </c>
      <c r="C12" s="11">
        <v>-125</v>
      </c>
      <c r="D12" s="533">
        <v>-1</v>
      </c>
      <c r="E12" s="11">
        <v>-1</v>
      </c>
      <c r="F12" s="533">
        <v>-90</v>
      </c>
      <c r="G12" s="11">
        <v>-90</v>
      </c>
      <c r="H12" s="533">
        <v>-2</v>
      </c>
      <c r="I12" s="11">
        <v>-2</v>
      </c>
      <c r="J12" s="533">
        <v>-40</v>
      </c>
      <c r="K12" s="11">
        <v>-40</v>
      </c>
      <c r="L12" s="11">
        <v>-372</v>
      </c>
      <c r="M12" s="11">
        <v>-260</v>
      </c>
      <c r="N12" s="11">
        <f t="shared" si="0"/>
        <v>112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33">
        <v>-125</v>
      </c>
      <c r="C13" s="11">
        <v>-125</v>
      </c>
      <c r="D13" s="533">
        <v>-1</v>
      </c>
      <c r="E13" s="11">
        <v>-1</v>
      </c>
      <c r="F13" s="533">
        <v>-90</v>
      </c>
      <c r="G13" s="11">
        <v>-90</v>
      </c>
      <c r="H13" s="533">
        <v>-2</v>
      </c>
      <c r="I13" s="11">
        <v>-2</v>
      </c>
      <c r="J13" s="533">
        <v>-40</v>
      </c>
      <c r="K13" s="11">
        <v>-40</v>
      </c>
      <c r="L13" s="11">
        <v>-1467</v>
      </c>
      <c r="M13" s="11">
        <v>-260</v>
      </c>
      <c r="N13" s="11">
        <f t="shared" si="0"/>
        <v>1207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33">
        <v>-125</v>
      </c>
      <c r="C14" s="11">
        <v>-125</v>
      </c>
      <c r="D14" s="533">
        <v>-1</v>
      </c>
      <c r="E14" s="11">
        <v>-1</v>
      </c>
      <c r="F14" s="533">
        <v>-90</v>
      </c>
      <c r="G14" s="11">
        <v>-90</v>
      </c>
      <c r="H14" s="533">
        <v>-2</v>
      </c>
      <c r="I14" s="11">
        <v>-2</v>
      </c>
      <c r="J14" s="533">
        <v>-40</v>
      </c>
      <c r="K14" s="11">
        <v>-40</v>
      </c>
      <c r="L14" s="11">
        <v>-54</v>
      </c>
      <c r="M14" s="11">
        <v>-260</v>
      </c>
      <c r="N14" s="11">
        <f t="shared" si="0"/>
        <v>-206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33">
        <v>-125</v>
      </c>
      <c r="C15" s="11">
        <v>-125</v>
      </c>
      <c r="D15" s="533">
        <v>-1</v>
      </c>
      <c r="E15" s="11">
        <v>-1</v>
      </c>
      <c r="F15" s="533">
        <v>-90</v>
      </c>
      <c r="G15" s="11">
        <v>-90</v>
      </c>
      <c r="H15" s="533">
        <v>-2</v>
      </c>
      <c r="I15" s="11">
        <v>-2</v>
      </c>
      <c r="J15" s="533">
        <v>-40</v>
      </c>
      <c r="K15" s="11">
        <v>-40</v>
      </c>
      <c r="L15" s="11">
        <v>-671</v>
      </c>
      <c r="M15" s="11">
        <v>-260</v>
      </c>
      <c r="N15" s="11">
        <f t="shared" si="0"/>
        <v>411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33">
        <v>-125</v>
      </c>
      <c r="C16" s="11">
        <v>-125</v>
      </c>
      <c r="D16" s="533">
        <v>-1</v>
      </c>
      <c r="E16" s="11">
        <v>-1</v>
      </c>
      <c r="F16" s="533">
        <v>-90</v>
      </c>
      <c r="G16" s="11">
        <v>-90</v>
      </c>
      <c r="H16" s="533">
        <v>-2</v>
      </c>
      <c r="I16" s="11">
        <v>-2</v>
      </c>
      <c r="J16" s="533">
        <v>-40</v>
      </c>
      <c r="K16" s="11">
        <v>-40</v>
      </c>
      <c r="L16" s="11">
        <v>-1814</v>
      </c>
      <c r="M16" s="11">
        <v>-260</v>
      </c>
      <c r="N16" s="11">
        <f>+M16+K16+I16+G16+E16+C16-L16-J16-H16-F16-D16-B16</f>
        <v>1554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33">
        <v>-125</v>
      </c>
      <c r="C17" s="11">
        <v>-125</v>
      </c>
      <c r="D17" s="533">
        <v>-1</v>
      </c>
      <c r="E17" s="11">
        <v>-1</v>
      </c>
      <c r="F17" s="533">
        <v>-90</v>
      </c>
      <c r="G17" s="11">
        <v>-90</v>
      </c>
      <c r="H17" s="533">
        <v>-2</v>
      </c>
      <c r="I17" s="11">
        <v>-2</v>
      </c>
      <c r="J17" s="533">
        <v>-40</v>
      </c>
      <c r="K17" s="11">
        <v>-40</v>
      </c>
      <c r="L17" s="11">
        <v>-1</v>
      </c>
      <c r="M17" s="11">
        <v>-260</v>
      </c>
      <c r="N17" s="11">
        <f>+M17+K17+I17+G17+E17+C17-L17-J17-H17-F17-D17-B17</f>
        <v>-259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33">
        <v>-125</v>
      </c>
      <c r="C18" s="11">
        <v>-125</v>
      </c>
      <c r="D18" s="533">
        <v>-1</v>
      </c>
      <c r="E18" s="11">
        <v>-1</v>
      </c>
      <c r="F18" s="533">
        <v>-90</v>
      </c>
      <c r="G18" s="11">
        <v>-90</v>
      </c>
      <c r="H18" s="533">
        <v>-2</v>
      </c>
      <c r="I18" s="11">
        <v>-2</v>
      </c>
      <c r="J18" s="533">
        <v>-40</v>
      </c>
      <c r="K18" s="11">
        <v>-40</v>
      </c>
      <c r="L18" s="11">
        <v>-300</v>
      </c>
      <c r="M18" s="11">
        <v>-260</v>
      </c>
      <c r="N18" s="11">
        <f>+M18+K18+I18+G18+E18+C18-L18-J18-H18-F18-D18-B18</f>
        <v>40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33">
        <v>-125</v>
      </c>
      <c r="C19" s="11">
        <v>-125</v>
      </c>
      <c r="D19" s="533">
        <v>-1</v>
      </c>
      <c r="E19" s="11">
        <v>-1</v>
      </c>
      <c r="F19" s="533">
        <v>-90</v>
      </c>
      <c r="G19" s="11">
        <v>-90</v>
      </c>
      <c r="H19" s="533">
        <v>-2</v>
      </c>
      <c r="I19" s="11">
        <v>-2</v>
      </c>
      <c r="J19" s="533">
        <v>-40</v>
      </c>
      <c r="K19" s="11">
        <v>-40</v>
      </c>
      <c r="L19" s="11">
        <v>-490</v>
      </c>
      <c r="M19" s="11">
        <v>-319</v>
      </c>
      <c r="N19" s="11">
        <f>+M19+K19+I19+G19+E19+C19-L19-J19-H19-F19-D19-B19</f>
        <v>171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33">
        <v>-125</v>
      </c>
      <c r="C20" s="11">
        <v>-125</v>
      </c>
      <c r="D20" s="533">
        <v>-1</v>
      </c>
      <c r="E20" s="11">
        <v>-1</v>
      </c>
      <c r="F20" s="533">
        <v>-90</v>
      </c>
      <c r="G20" s="11">
        <v>-90</v>
      </c>
      <c r="H20" s="533">
        <v>-2</v>
      </c>
      <c r="I20" s="11">
        <v>-2</v>
      </c>
      <c r="J20" s="533">
        <v>-40</v>
      </c>
      <c r="K20" s="11">
        <v>-40</v>
      </c>
      <c r="L20" s="11">
        <v>-328</v>
      </c>
      <c r="M20" s="11">
        <v>-319</v>
      </c>
      <c r="N20" s="11">
        <f>+M20+K20+I20+G20+E20+C20-L20-J20-H20-F20-D20-B20</f>
        <v>9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33">
        <v>-125</v>
      </c>
      <c r="C21" s="11">
        <v>-125</v>
      </c>
      <c r="D21" s="533">
        <v>-1</v>
      </c>
      <c r="E21" s="11">
        <v>-1</v>
      </c>
      <c r="F21" s="533">
        <v>-90</v>
      </c>
      <c r="G21" s="11">
        <v>-90</v>
      </c>
      <c r="H21" s="533">
        <v>-2</v>
      </c>
      <c r="I21" s="11">
        <v>-2</v>
      </c>
      <c r="J21" s="533">
        <v>-40</v>
      </c>
      <c r="K21" s="11">
        <v>-40</v>
      </c>
      <c r="L21" s="11">
        <v>-608</v>
      </c>
      <c r="M21" s="11">
        <v>-319</v>
      </c>
      <c r="N21" s="11">
        <f t="shared" si="0"/>
        <v>289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33">
        <v>-125</v>
      </c>
      <c r="C22" s="11">
        <v>-125</v>
      </c>
      <c r="D22" s="533">
        <v>-1</v>
      </c>
      <c r="E22" s="11">
        <v>-1</v>
      </c>
      <c r="F22" s="533">
        <v>-90</v>
      </c>
      <c r="G22" s="11">
        <v>-90</v>
      </c>
      <c r="H22" s="533">
        <v>-2</v>
      </c>
      <c r="I22" s="11">
        <v>-2</v>
      </c>
      <c r="J22" s="533">
        <v>-40</v>
      </c>
      <c r="K22" s="11">
        <v>-40</v>
      </c>
      <c r="L22" s="11">
        <v>-927</v>
      </c>
      <c r="M22" s="11">
        <v>-319</v>
      </c>
      <c r="N22" s="11">
        <f t="shared" si="0"/>
        <v>608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33">
        <v>-125</v>
      </c>
      <c r="C23" s="11">
        <v>-125</v>
      </c>
      <c r="D23" s="533">
        <v>-1</v>
      </c>
      <c r="E23" s="11">
        <v>-1</v>
      </c>
      <c r="F23" s="533">
        <v>-90</v>
      </c>
      <c r="G23" s="11">
        <v>-90</v>
      </c>
      <c r="H23" s="533">
        <v>-2</v>
      </c>
      <c r="I23" s="11">
        <v>-2</v>
      </c>
      <c r="J23" s="533">
        <v>-40</v>
      </c>
      <c r="K23" s="11">
        <v>-40</v>
      </c>
      <c r="L23" s="11">
        <v>-456</v>
      </c>
      <c r="M23" s="11">
        <v>-319</v>
      </c>
      <c r="N23" s="11">
        <f t="shared" si="0"/>
        <v>137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33">
        <v>-125</v>
      </c>
      <c r="C24" s="11">
        <v>-125</v>
      </c>
      <c r="D24" s="533">
        <v>-1</v>
      </c>
      <c r="E24" s="11">
        <v>-1</v>
      </c>
      <c r="F24" s="533">
        <v>-90</v>
      </c>
      <c r="G24" s="11">
        <v>-90</v>
      </c>
      <c r="H24" s="533">
        <v>-2</v>
      </c>
      <c r="I24" s="11">
        <v>-2</v>
      </c>
      <c r="J24" s="533">
        <v>-40</v>
      </c>
      <c r="K24" s="11">
        <v>-40</v>
      </c>
      <c r="L24" s="11">
        <v>-586</v>
      </c>
      <c r="M24" s="11">
        <v>-319</v>
      </c>
      <c r="N24" s="11">
        <f t="shared" si="0"/>
        <v>267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33">
        <v>-9</v>
      </c>
      <c r="C25" s="11">
        <v>-9</v>
      </c>
      <c r="D25" s="533">
        <v>-1</v>
      </c>
      <c r="E25" s="11">
        <v>-1</v>
      </c>
      <c r="F25" s="533">
        <v>-19</v>
      </c>
      <c r="G25" s="11">
        <v>-19</v>
      </c>
      <c r="H25" s="533">
        <v>0</v>
      </c>
      <c r="I25" s="11">
        <v>0</v>
      </c>
      <c r="J25" s="533">
        <v>-3</v>
      </c>
      <c r="K25" s="11">
        <v>-3</v>
      </c>
      <c r="L25" s="11">
        <v>-691</v>
      </c>
      <c r="M25" s="11">
        <v>-23</v>
      </c>
      <c r="N25" s="11">
        <f t="shared" si="0"/>
        <v>668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33">
        <v>-125</v>
      </c>
      <c r="C26" s="11">
        <v>-125</v>
      </c>
      <c r="D26" s="533">
        <v>-1</v>
      </c>
      <c r="E26" s="11">
        <v>-1</v>
      </c>
      <c r="F26" s="533">
        <v>-90</v>
      </c>
      <c r="G26" s="11">
        <v>-90</v>
      </c>
      <c r="H26" s="533">
        <v>-2</v>
      </c>
      <c r="I26" s="11">
        <v>-2</v>
      </c>
      <c r="J26" s="533">
        <v>-40</v>
      </c>
      <c r="K26" s="11">
        <v>-40</v>
      </c>
      <c r="L26" s="11">
        <v>-717</v>
      </c>
      <c r="M26" s="11">
        <v>-1109</v>
      </c>
      <c r="N26" s="11">
        <f t="shared" si="0"/>
        <v>-392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33">
        <v>-125</v>
      </c>
      <c r="C27" s="11">
        <v>-125</v>
      </c>
      <c r="D27" s="533">
        <v>-1</v>
      </c>
      <c r="E27" s="11">
        <v>-1</v>
      </c>
      <c r="F27" s="533">
        <v>-90</v>
      </c>
      <c r="G27" s="11">
        <v>-90</v>
      </c>
      <c r="H27" s="533">
        <v>-2</v>
      </c>
      <c r="I27" s="11">
        <v>-2</v>
      </c>
      <c r="J27" s="533">
        <v>-40</v>
      </c>
      <c r="K27" s="11">
        <v>-40</v>
      </c>
      <c r="L27" s="11">
        <v>-664</v>
      </c>
      <c r="M27" s="11">
        <v>-1109</v>
      </c>
      <c r="N27" s="11">
        <f t="shared" si="0"/>
        <v>-445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33">
        <v>-125</v>
      </c>
      <c r="C28" s="11">
        <v>-125</v>
      </c>
      <c r="D28" s="533">
        <v>-1</v>
      </c>
      <c r="E28" s="11">
        <v>-1</v>
      </c>
      <c r="F28" s="533">
        <v>-90</v>
      </c>
      <c r="G28" s="11">
        <v>-90</v>
      </c>
      <c r="H28" s="533">
        <v>-2</v>
      </c>
      <c r="I28" s="11">
        <v>-2</v>
      </c>
      <c r="J28" s="533">
        <v>-40</v>
      </c>
      <c r="K28" s="11">
        <v>-40</v>
      </c>
      <c r="L28" s="11">
        <v>-663</v>
      </c>
      <c r="M28" s="11">
        <v>-1109</v>
      </c>
      <c r="N28" s="11">
        <f t="shared" si="0"/>
        <v>-446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33">
        <v>-125</v>
      </c>
      <c r="C29" s="11">
        <v>-125</v>
      </c>
      <c r="D29" s="533">
        <v>-1</v>
      </c>
      <c r="E29" s="11">
        <v>-1</v>
      </c>
      <c r="F29" s="533">
        <v>-90</v>
      </c>
      <c r="G29" s="11">
        <v>-90</v>
      </c>
      <c r="H29" s="533">
        <v>-2</v>
      </c>
      <c r="I29" s="11">
        <v>-2</v>
      </c>
      <c r="J29" s="533">
        <v>-40</v>
      </c>
      <c r="K29" s="11">
        <v>-40</v>
      </c>
      <c r="L29" s="11">
        <v>-692</v>
      </c>
      <c r="M29" s="11">
        <v>-1109</v>
      </c>
      <c r="N29" s="11">
        <f t="shared" si="0"/>
        <v>-417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33">
        <v>-125</v>
      </c>
      <c r="C30" s="11">
        <v>-125</v>
      </c>
      <c r="D30" s="533">
        <v>-1</v>
      </c>
      <c r="E30" s="11">
        <v>-1</v>
      </c>
      <c r="F30" s="533">
        <v>-90</v>
      </c>
      <c r="G30" s="11">
        <v>-90</v>
      </c>
      <c r="H30" s="533">
        <v>-2</v>
      </c>
      <c r="I30" s="11">
        <v>-2</v>
      </c>
      <c r="J30" s="533">
        <v>-40</v>
      </c>
      <c r="K30" s="11">
        <v>-40</v>
      </c>
      <c r="L30" s="11">
        <v>-541</v>
      </c>
      <c r="M30" s="11">
        <v>-1109</v>
      </c>
      <c r="N30" s="11">
        <f t="shared" si="0"/>
        <v>-568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>
        <v>-887</v>
      </c>
      <c r="M31" s="11">
        <v>-1109</v>
      </c>
      <c r="N31" s="11">
        <f t="shared" si="0"/>
        <v>-222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>
        <v>-729</v>
      </c>
      <c r="M32" s="11">
        <v>-1109</v>
      </c>
      <c r="N32" s="11">
        <f t="shared" si="0"/>
        <v>-380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>
        <v>-687</v>
      </c>
      <c r="M33" s="11">
        <v>-1109</v>
      </c>
      <c r="N33" s="11">
        <f t="shared" si="0"/>
        <v>-422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>
        <v>-1639</v>
      </c>
      <c r="M34" s="11">
        <v>-1109</v>
      </c>
      <c r="N34" s="11">
        <f t="shared" si="0"/>
        <v>530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-3009</v>
      </c>
      <c r="C37" s="11">
        <f t="shared" ref="C37:N37" si="1">SUM(C6:C36)</f>
        <v>-3009</v>
      </c>
      <c r="D37" s="11">
        <f t="shared" si="1"/>
        <v>-25</v>
      </c>
      <c r="E37" s="11">
        <f t="shared" si="1"/>
        <v>-25</v>
      </c>
      <c r="F37" s="11">
        <f t="shared" si="1"/>
        <v>-2179</v>
      </c>
      <c r="G37" s="11">
        <f t="shared" si="1"/>
        <v>-2179</v>
      </c>
      <c r="H37" s="11">
        <f t="shared" si="1"/>
        <v>-48</v>
      </c>
      <c r="I37" s="11">
        <f t="shared" si="1"/>
        <v>-48</v>
      </c>
      <c r="J37" s="11">
        <f>SUM(J6:J36)</f>
        <v>-963</v>
      </c>
      <c r="K37" s="11">
        <f>SUM(K6:K36)</f>
        <v>-963</v>
      </c>
      <c r="L37" s="11">
        <f>SUM(L6:L36)</f>
        <v>-18368</v>
      </c>
      <c r="M37" s="11">
        <f>SUM(M6:M36)</f>
        <v>-15298</v>
      </c>
      <c r="N37" s="11">
        <f t="shared" si="1"/>
        <v>3070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+summary!H4</f>
        <v>2.21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6784.7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37225</v>
      </c>
      <c r="C41" s="25"/>
      <c r="E41" s="25"/>
      <c r="G41" s="25"/>
      <c r="I41" s="25"/>
      <c r="K41" s="25"/>
      <c r="M41" s="25"/>
      <c r="N41" s="508">
        <v>28367.49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37254</v>
      </c>
      <c r="N43" s="322">
        <f>+N41+N39</f>
        <v>35152.19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37225</v>
      </c>
      <c r="B48" s="32"/>
      <c r="C48" s="32"/>
      <c r="D48" s="509">
        <v>10205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37254</v>
      </c>
      <c r="B49" s="32"/>
      <c r="C49" s="32"/>
      <c r="D49" s="355">
        <f>+N37</f>
        <v>3070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13275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212</v>
      </c>
      <c r="C3" s="87"/>
      <c r="D3" s="87"/>
    </row>
    <row r="4" spans="1:4" x14ac:dyDescent="0.2">
      <c r="A4" s="3"/>
      <c r="B4" s="331" t="s">
        <v>213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">
      <c r="A9" s="10">
        <v>4</v>
      </c>
      <c r="B9" s="129">
        <v>2</v>
      </c>
      <c r="C9" s="11">
        <v>240</v>
      </c>
      <c r="D9" s="25">
        <f t="shared" si="0"/>
        <v>238</v>
      </c>
    </row>
    <row r="10" spans="1:4" x14ac:dyDescent="0.2">
      <c r="A10" s="10">
        <v>5</v>
      </c>
      <c r="B10" s="129">
        <v>35</v>
      </c>
      <c r="C10" s="11">
        <v>240</v>
      </c>
      <c r="D10" s="25">
        <f t="shared" si="0"/>
        <v>205</v>
      </c>
    </row>
    <row r="11" spans="1:4" x14ac:dyDescent="0.2">
      <c r="A11" s="10">
        <v>6</v>
      </c>
      <c r="B11" s="129">
        <v>41</v>
      </c>
      <c r="C11" s="11">
        <v>240</v>
      </c>
      <c r="D11" s="25">
        <f t="shared" si="0"/>
        <v>199</v>
      </c>
    </row>
    <row r="12" spans="1:4" x14ac:dyDescent="0.2">
      <c r="A12" s="10">
        <v>7</v>
      </c>
      <c r="B12" s="129">
        <v>245</v>
      </c>
      <c r="C12" s="11">
        <v>240</v>
      </c>
      <c r="D12" s="25">
        <f t="shared" si="0"/>
        <v>-5</v>
      </c>
    </row>
    <row r="13" spans="1:4" x14ac:dyDescent="0.2">
      <c r="A13" s="10">
        <v>8</v>
      </c>
      <c r="B13" s="11">
        <v>171</v>
      </c>
      <c r="C13" s="11">
        <v>240</v>
      </c>
      <c r="D13" s="25">
        <f t="shared" si="0"/>
        <v>69</v>
      </c>
    </row>
    <row r="14" spans="1:4" x14ac:dyDescent="0.2">
      <c r="A14" s="10">
        <v>9</v>
      </c>
      <c r="B14" s="11">
        <v>114</v>
      </c>
      <c r="C14" s="11">
        <v>240</v>
      </c>
      <c r="D14" s="25">
        <f t="shared" si="0"/>
        <v>126</v>
      </c>
    </row>
    <row r="15" spans="1:4" x14ac:dyDescent="0.2">
      <c r="A15" s="10">
        <v>10</v>
      </c>
      <c r="B15" s="11">
        <v>149</v>
      </c>
      <c r="C15" s="11">
        <v>240</v>
      </c>
      <c r="D15" s="25">
        <f t="shared" si="0"/>
        <v>91</v>
      </c>
    </row>
    <row r="16" spans="1:4" x14ac:dyDescent="0.2">
      <c r="A16" s="10">
        <v>11</v>
      </c>
      <c r="B16" s="11">
        <v>171</v>
      </c>
      <c r="C16" s="11">
        <v>240</v>
      </c>
      <c r="D16" s="25">
        <f t="shared" si="0"/>
        <v>69</v>
      </c>
    </row>
    <row r="17" spans="1:4" x14ac:dyDescent="0.2">
      <c r="A17" s="10">
        <v>12</v>
      </c>
      <c r="B17" s="11">
        <v>143</v>
      </c>
      <c r="C17" s="11">
        <v>240</v>
      </c>
      <c r="D17" s="25">
        <f t="shared" si="0"/>
        <v>97</v>
      </c>
    </row>
    <row r="18" spans="1:4" x14ac:dyDescent="0.2">
      <c r="A18" s="10">
        <v>13</v>
      </c>
      <c r="B18" s="11">
        <v>2</v>
      </c>
      <c r="C18" s="11">
        <v>240</v>
      </c>
      <c r="D18" s="25">
        <f t="shared" si="0"/>
        <v>238</v>
      </c>
    </row>
    <row r="19" spans="1:4" x14ac:dyDescent="0.2">
      <c r="A19" s="10">
        <v>14</v>
      </c>
      <c r="B19" s="11">
        <v>184</v>
      </c>
      <c r="C19" s="11">
        <v>240</v>
      </c>
      <c r="D19" s="25">
        <f t="shared" si="0"/>
        <v>56</v>
      </c>
    </row>
    <row r="20" spans="1:4" x14ac:dyDescent="0.2">
      <c r="A20" s="10">
        <v>15</v>
      </c>
      <c r="B20" s="11">
        <v>146</v>
      </c>
      <c r="C20" s="11">
        <v>240</v>
      </c>
      <c r="D20" s="25">
        <f t="shared" si="0"/>
        <v>94</v>
      </c>
    </row>
    <row r="21" spans="1:4" x14ac:dyDescent="0.2">
      <c r="A21" s="10">
        <v>16</v>
      </c>
      <c r="B21" s="11">
        <v>47</v>
      </c>
      <c r="C21" s="11">
        <v>240</v>
      </c>
      <c r="D21" s="25">
        <f t="shared" si="0"/>
        <v>193</v>
      </c>
    </row>
    <row r="22" spans="1:4" x14ac:dyDescent="0.2">
      <c r="A22" s="10">
        <v>17</v>
      </c>
      <c r="B22" s="11">
        <v>197</v>
      </c>
      <c r="C22" s="11">
        <v>240</v>
      </c>
      <c r="D22" s="25">
        <f t="shared" si="0"/>
        <v>43</v>
      </c>
    </row>
    <row r="23" spans="1:4" x14ac:dyDescent="0.2">
      <c r="A23" s="10">
        <v>18</v>
      </c>
      <c r="B23" s="11">
        <v>256</v>
      </c>
      <c r="C23" s="11">
        <v>240</v>
      </c>
      <c r="D23" s="25">
        <f t="shared" si="0"/>
        <v>-16</v>
      </c>
    </row>
    <row r="24" spans="1:4" x14ac:dyDescent="0.2">
      <c r="A24" s="10">
        <v>19</v>
      </c>
      <c r="B24" s="11">
        <v>265</v>
      </c>
      <c r="C24" s="11">
        <v>240</v>
      </c>
      <c r="D24" s="25">
        <f t="shared" si="0"/>
        <v>-25</v>
      </c>
    </row>
    <row r="25" spans="1:4" x14ac:dyDescent="0.2">
      <c r="A25" s="10">
        <v>20</v>
      </c>
      <c r="B25" s="11">
        <v>250</v>
      </c>
      <c r="C25" s="11">
        <v>240</v>
      </c>
      <c r="D25" s="25">
        <f t="shared" si="0"/>
        <v>-10</v>
      </c>
    </row>
    <row r="26" spans="1:4" x14ac:dyDescent="0.2">
      <c r="A26" s="10">
        <v>21</v>
      </c>
      <c r="B26" s="11">
        <v>204</v>
      </c>
      <c r="C26" s="11">
        <v>240</v>
      </c>
      <c r="D26" s="25">
        <f t="shared" si="0"/>
        <v>36</v>
      </c>
    </row>
    <row r="27" spans="1:4" x14ac:dyDescent="0.2">
      <c r="A27" s="10">
        <v>22</v>
      </c>
      <c r="B27" s="11">
        <v>235</v>
      </c>
      <c r="C27" s="11">
        <v>239</v>
      </c>
      <c r="D27" s="25">
        <f t="shared" si="0"/>
        <v>4</v>
      </c>
    </row>
    <row r="28" spans="1:4" x14ac:dyDescent="0.2">
      <c r="A28" s="10">
        <v>23</v>
      </c>
      <c r="B28" s="11">
        <v>199</v>
      </c>
      <c r="C28" s="11">
        <v>239</v>
      </c>
      <c r="D28" s="25">
        <f t="shared" si="0"/>
        <v>40</v>
      </c>
    </row>
    <row r="29" spans="1:4" x14ac:dyDescent="0.2">
      <c r="A29" s="10">
        <v>24</v>
      </c>
      <c r="B29" s="11">
        <v>176</v>
      </c>
      <c r="C29" s="11">
        <v>239</v>
      </c>
      <c r="D29" s="25">
        <f t="shared" si="0"/>
        <v>63</v>
      </c>
    </row>
    <row r="30" spans="1:4" x14ac:dyDescent="0.2">
      <c r="A30" s="10">
        <v>25</v>
      </c>
      <c r="B30" s="11">
        <v>15</v>
      </c>
      <c r="C30" s="11">
        <v>239</v>
      </c>
      <c r="D30" s="25">
        <f t="shared" si="0"/>
        <v>224</v>
      </c>
    </row>
    <row r="31" spans="1:4" x14ac:dyDescent="0.2">
      <c r="A31" s="10">
        <v>26</v>
      </c>
      <c r="B31" s="11">
        <v>255</v>
      </c>
      <c r="C31" s="11">
        <v>239</v>
      </c>
      <c r="D31" s="25">
        <f t="shared" si="0"/>
        <v>-16</v>
      </c>
    </row>
    <row r="32" spans="1:4" x14ac:dyDescent="0.2">
      <c r="A32" s="10">
        <v>27</v>
      </c>
      <c r="B32" s="11">
        <v>201</v>
      </c>
      <c r="C32" s="11">
        <v>240</v>
      </c>
      <c r="D32" s="25">
        <f t="shared" si="0"/>
        <v>39</v>
      </c>
    </row>
    <row r="33" spans="1:4" x14ac:dyDescent="0.2">
      <c r="A33" s="10">
        <v>28</v>
      </c>
      <c r="B33" s="11">
        <v>246</v>
      </c>
      <c r="C33" s="11">
        <v>240</v>
      </c>
      <c r="D33" s="25">
        <f t="shared" si="0"/>
        <v>-6</v>
      </c>
    </row>
    <row r="34" spans="1:4" x14ac:dyDescent="0.2">
      <c r="A34" s="10">
        <v>29</v>
      </c>
      <c r="B34" s="11">
        <v>170</v>
      </c>
      <c r="C34" s="11">
        <v>240</v>
      </c>
      <c r="D34" s="25">
        <f t="shared" si="0"/>
        <v>70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4336</v>
      </c>
      <c r="C37" s="11">
        <f>SUM(C6:C36)</f>
        <v>6955</v>
      </c>
      <c r="D37" s="25">
        <f>SUM(D6:D36)</f>
        <v>2619</v>
      </c>
    </row>
    <row r="38" spans="1:4" x14ac:dyDescent="0.2">
      <c r="A38" s="26"/>
      <c r="C38" s="14"/>
      <c r="D38" s="329">
        <f>+summary!H5</f>
        <v>2.2200000000000002</v>
      </c>
    </row>
    <row r="39" spans="1:4" x14ac:dyDescent="0.2">
      <c r="D39" s="138">
        <f>+D38*D37</f>
        <v>5814.18</v>
      </c>
    </row>
    <row r="40" spans="1:4" x14ac:dyDescent="0.2">
      <c r="A40" s="57">
        <v>37225</v>
      </c>
      <c r="C40" s="15"/>
      <c r="D40" s="519">
        <v>173805.23</v>
      </c>
    </row>
    <row r="41" spans="1:4" x14ac:dyDescent="0.2">
      <c r="A41" s="57">
        <v>37254</v>
      </c>
      <c r="C41" s="48"/>
      <c r="D41" s="138">
        <f>+D40+D39</f>
        <v>179619.41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76238</v>
      </c>
    </row>
    <row r="47" spans="1:4" x14ac:dyDescent="0.2">
      <c r="A47" s="49">
        <f>+A41</f>
        <v>37254</v>
      </c>
      <c r="B47" s="32"/>
      <c r="C47" s="32"/>
      <c r="D47" s="355">
        <f>+D37</f>
        <v>2619</v>
      </c>
    </row>
    <row r="48" spans="1:4" x14ac:dyDescent="0.2">
      <c r="A48" s="32"/>
      <c r="B48" s="32"/>
      <c r="C48" s="32"/>
      <c r="D48" s="14">
        <f>+D47+D46</f>
        <v>78857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2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215</v>
      </c>
      <c r="C3" s="87"/>
      <c r="D3" s="87"/>
    </row>
    <row r="4" spans="1:4" x14ac:dyDescent="0.2">
      <c r="A4" s="3"/>
      <c r="B4" s="331" t="s">
        <v>216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">
      <c r="A8" s="10">
        <v>3</v>
      </c>
      <c r="B8" s="129">
        <v>616</v>
      </c>
      <c r="C8" s="11">
        <v>589</v>
      </c>
      <c r="D8" s="25">
        <f t="shared" si="0"/>
        <v>-27</v>
      </c>
    </row>
    <row r="9" spans="1:4" x14ac:dyDescent="0.2">
      <c r="A9" s="10">
        <v>4</v>
      </c>
      <c r="B9" s="129">
        <v>599</v>
      </c>
      <c r="C9" s="11">
        <v>589</v>
      </c>
      <c r="D9" s="25">
        <f t="shared" si="0"/>
        <v>-10</v>
      </c>
    </row>
    <row r="10" spans="1:4" x14ac:dyDescent="0.2">
      <c r="A10" s="10">
        <v>5</v>
      </c>
      <c r="B10" s="129">
        <v>595</v>
      </c>
      <c r="C10" s="11">
        <v>589</v>
      </c>
      <c r="D10" s="25">
        <f t="shared" si="0"/>
        <v>-6</v>
      </c>
    </row>
    <row r="11" spans="1:4" x14ac:dyDescent="0.2">
      <c r="A11" s="10">
        <v>6</v>
      </c>
      <c r="B11" s="129">
        <v>616</v>
      </c>
      <c r="C11" s="11">
        <v>589</v>
      </c>
      <c r="D11" s="25">
        <f t="shared" si="0"/>
        <v>-27</v>
      </c>
    </row>
    <row r="12" spans="1:4" x14ac:dyDescent="0.2">
      <c r="A12" s="10">
        <v>7</v>
      </c>
      <c r="B12" s="129">
        <v>629</v>
      </c>
      <c r="C12" s="11">
        <v>589</v>
      </c>
      <c r="D12" s="25">
        <f t="shared" si="0"/>
        <v>-40</v>
      </c>
    </row>
    <row r="13" spans="1:4" x14ac:dyDescent="0.2">
      <c r="A13" s="10">
        <v>8</v>
      </c>
      <c r="B13" s="11">
        <v>662</v>
      </c>
      <c r="C13" s="11">
        <v>589</v>
      </c>
      <c r="D13" s="25">
        <f t="shared" si="0"/>
        <v>-73</v>
      </c>
    </row>
    <row r="14" spans="1:4" x14ac:dyDescent="0.2">
      <c r="A14" s="10">
        <v>9</v>
      </c>
      <c r="B14" s="11">
        <v>681</v>
      </c>
      <c r="C14" s="11">
        <v>589</v>
      </c>
      <c r="D14" s="25">
        <f t="shared" si="0"/>
        <v>-92</v>
      </c>
    </row>
    <row r="15" spans="1:4" x14ac:dyDescent="0.2">
      <c r="A15" s="10">
        <v>10</v>
      </c>
      <c r="B15" s="11">
        <v>701</v>
      </c>
      <c r="C15" s="11">
        <v>589</v>
      </c>
      <c r="D15" s="25">
        <f t="shared" si="0"/>
        <v>-112</v>
      </c>
    </row>
    <row r="16" spans="1:4" x14ac:dyDescent="0.2">
      <c r="A16" s="10">
        <v>11</v>
      </c>
      <c r="B16" s="11">
        <v>641</v>
      </c>
      <c r="C16" s="11">
        <v>589</v>
      </c>
      <c r="D16" s="25">
        <f t="shared" si="0"/>
        <v>-52</v>
      </c>
    </row>
    <row r="17" spans="1:4" x14ac:dyDescent="0.2">
      <c r="A17" s="10">
        <v>12</v>
      </c>
      <c r="B17" s="11">
        <v>646</v>
      </c>
      <c r="C17" s="11">
        <v>589</v>
      </c>
      <c r="D17" s="25">
        <f t="shared" si="0"/>
        <v>-57</v>
      </c>
    </row>
    <row r="18" spans="1:4" x14ac:dyDescent="0.2">
      <c r="A18" s="10">
        <v>13</v>
      </c>
      <c r="B18" s="11">
        <v>533</v>
      </c>
      <c r="C18" s="11">
        <v>589</v>
      </c>
      <c r="D18" s="25">
        <f t="shared" si="0"/>
        <v>56</v>
      </c>
    </row>
    <row r="19" spans="1:4" x14ac:dyDescent="0.2">
      <c r="A19" s="10">
        <v>14</v>
      </c>
      <c r="B19" s="11">
        <v>549</v>
      </c>
      <c r="C19" s="11">
        <v>589</v>
      </c>
      <c r="D19" s="25">
        <f t="shared" si="0"/>
        <v>40</v>
      </c>
    </row>
    <row r="20" spans="1:4" x14ac:dyDescent="0.2">
      <c r="A20" s="10">
        <v>15</v>
      </c>
      <c r="B20" s="11">
        <v>693</v>
      </c>
      <c r="C20" s="11">
        <v>589</v>
      </c>
      <c r="D20" s="25">
        <f t="shared" si="0"/>
        <v>-104</v>
      </c>
    </row>
    <row r="21" spans="1:4" x14ac:dyDescent="0.2">
      <c r="A21" s="10">
        <v>16</v>
      </c>
      <c r="B21" s="11">
        <v>586</v>
      </c>
      <c r="C21" s="11">
        <v>589</v>
      </c>
      <c r="D21" s="25">
        <f t="shared" si="0"/>
        <v>3</v>
      </c>
    </row>
    <row r="22" spans="1:4" x14ac:dyDescent="0.2">
      <c r="A22" s="10">
        <v>17</v>
      </c>
      <c r="B22" s="11">
        <v>47</v>
      </c>
      <c r="C22" s="11">
        <v>589</v>
      </c>
      <c r="D22" s="25">
        <f t="shared" si="0"/>
        <v>542</v>
      </c>
    </row>
    <row r="23" spans="1:4" x14ac:dyDescent="0.2">
      <c r="A23" s="10">
        <v>18</v>
      </c>
      <c r="B23" s="11"/>
      <c r="C23" s="11">
        <v>589</v>
      </c>
      <c r="D23" s="25">
        <f t="shared" si="0"/>
        <v>589</v>
      </c>
    </row>
    <row r="24" spans="1:4" x14ac:dyDescent="0.2">
      <c r="A24" s="10">
        <v>19</v>
      </c>
      <c r="B24" s="11">
        <v>1</v>
      </c>
      <c r="C24" s="11">
        <v>589</v>
      </c>
      <c r="D24" s="25">
        <f t="shared" si="0"/>
        <v>588</v>
      </c>
    </row>
    <row r="25" spans="1:4" x14ac:dyDescent="0.2">
      <c r="A25" s="10">
        <v>20</v>
      </c>
      <c r="B25" s="11">
        <v>8</v>
      </c>
      <c r="C25" s="11">
        <v>589</v>
      </c>
      <c r="D25" s="25">
        <f t="shared" si="0"/>
        <v>581</v>
      </c>
    </row>
    <row r="26" spans="1:4" x14ac:dyDescent="0.2">
      <c r="A26" s="10">
        <v>21</v>
      </c>
      <c r="B26" s="11">
        <v>505</v>
      </c>
      <c r="C26" s="11">
        <v>589</v>
      </c>
      <c r="D26" s="25">
        <f t="shared" si="0"/>
        <v>84</v>
      </c>
    </row>
    <row r="27" spans="1:4" x14ac:dyDescent="0.2">
      <c r="A27" s="10">
        <v>22</v>
      </c>
      <c r="B27" s="11">
        <v>555</v>
      </c>
      <c r="C27" s="11">
        <v>589</v>
      </c>
      <c r="D27" s="25">
        <f t="shared" si="0"/>
        <v>34</v>
      </c>
    </row>
    <row r="28" spans="1:4" x14ac:dyDescent="0.2">
      <c r="A28" s="10">
        <v>23</v>
      </c>
      <c r="B28" s="11">
        <v>503</v>
      </c>
      <c r="C28" s="11">
        <v>589</v>
      </c>
      <c r="D28" s="25">
        <f t="shared" si="0"/>
        <v>86</v>
      </c>
    </row>
    <row r="29" spans="1:4" x14ac:dyDescent="0.2">
      <c r="A29" s="10">
        <v>24</v>
      </c>
      <c r="B29" s="11">
        <v>378</v>
      </c>
      <c r="C29" s="11">
        <v>589</v>
      </c>
      <c r="D29" s="25">
        <f t="shared" si="0"/>
        <v>211</v>
      </c>
    </row>
    <row r="30" spans="1:4" x14ac:dyDescent="0.2">
      <c r="A30" s="10">
        <v>25</v>
      </c>
      <c r="B30" s="11">
        <v>88</v>
      </c>
      <c r="C30" s="11">
        <v>589</v>
      </c>
      <c r="D30" s="25">
        <f t="shared" si="0"/>
        <v>501</v>
      </c>
    </row>
    <row r="31" spans="1:4" x14ac:dyDescent="0.2">
      <c r="A31" s="10">
        <v>26</v>
      </c>
      <c r="B31" s="11">
        <v>163</v>
      </c>
      <c r="C31" s="11">
        <v>589</v>
      </c>
      <c r="D31" s="25">
        <f t="shared" si="0"/>
        <v>426</v>
      </c>
    </row>
    <row r="32" spans="1:4" x14ac:dyDescent="0.2">
      <c r="A32" s="10">
        <v>27</v>
      </c>
      <c r="B32" s="11">
        <v>218</v>
      </c>
      <c r="C32" s="11">
        <v>589</v>
      </c>
      <c r="D32" s="25">
        <f t="shared" si="0"/>
        <v>371</v>
      </c>
    </row>
    <row r="33" spans="1:4" x14ac:dyDescent="0.2">
      <c r="A33" s="10">
        <v>28</v>
      </c>
      <c r="B33" s="11">
        <v>67</v>
      </c>
      <c r="C33" s="11">
        <v>589</v>
      </c>
      <c r="D33" s="25">
        <f t="shared" si="0"/>
        <v>522</v>
      </c>
    </row>
    <row r="34" spans="1:4" x14ac:dyDescent="0.2">
      <c r="A34" s="10">
        <v>29</v>
      </c>
      <c r="B34" s="11">
        <v>36</v>
      </c>
      <c r="C34" s="11">
        <v>589</v>
      </c>
      <c r="D34" s="25">
        <f t="shared" si="0"/>
        <v>553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12591</v>
      </c>
      <c r="C37" s="11">
        <f>SUM(C6:C36)</f>
        <v>17081</v>
      </c>
      <c r="D37" s="25">
        <f>SUM(D6:D36)</f>
        <v>4490</v>
      </c>
    </row>
    <row r="38" spans="1:4" x14ac:dyDescent="0.2">
      <c r="A38" s="26"/>
      <c r="C38" s="14"/>
      <c r="D38" s="329">
        <f>+summary!H5</f>
        <v>2.2200000000000002</v>
      </c>
    </row>
    <row r="39" spans="1:4" x14ac:dyDescent="0.2">
      <c r="D39" s="138">
        <f>+D38*D37</f>
        <v>9967.8000000000011</v>
      </c>
    </row>
    <row r="40" spans="1:4" x14ac:dyDescent="0.2">
      <c r="A40" s="57">
        <v>37225</v>
      </c>
      <c r="C40" s="15"/>
      <c r="D40" s="519">
        <v>148916.73000000001</v>
      </c>
    </row>
    <row r="41" spans="1:4" x14ac:dyDescent="0.2">
      <c r="A41" s="57">
        <v>37254</v>
      </c>
      <c r="C41" s="48"/>
      <c r="D41" s="138">
        <f>+D40+D39</f>
        <v>158884.53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28495</v>
      </c>
    </row>
    <row r="47" spans="1:4" x14ac:dyDescent="0.2">
      <c r="A47" s="49">
        <f>+A41</f>
        <v>37254</v>
      </c>
      <c r="B47" s="32"/>
      <c r="C47" s="32"/>
      <c r="D47" s="355">
        <f>+D37</f>
        <v>4490</v>
      </c>
    </row>
    <row r="48" spans="1:4" x14ac:dyDescent="0.2">
      <c r="A48" s="32"/>
      <c r="B48" s="32"/>
      <c r="C48" s="32"/>
      <c r="D48" s="14">
        <f>+D47+D46</f>
        <v>32985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3" workbookViewId="0">
      <selection activeCell="A43" sqref="A4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-174</v>
      </c>
      <c r="C8" s="11"/>
      <c r="D8" s="11">
        <v>-2179</v>
      </c>
      <c r="E8" s="11">
        <v>-1950</v>
      </c>
      <c r="F8" s="11">
        <f t="shared" si="0"/>
        <v>403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/>
      <c r="C9" s="11"/>
      <c r="D9" s="11"/>
      <c r="E9" s="11">
        <v>-1950</v>
      </c>
      <c r="F9" s="11">
        <f t="shared" si="0"/>
        <v>-1950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/>
      <c r="C10" s="11"/>
      <c r="D10" s="11"/>
      <c r="E10" s="11">
        <v>-1950</v>
      </c>
      <c r="F10" s="11">
        <f t="shared" si="0"/>
        <v>-1950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/>
      <c r="C11" s="11"/>
      <c r="D11" s="129"/>
      <c r="E11" s="11">
        <v>-1950</v>
      </c>
      <c r="F11" s="11">
        <f t="shared" si="0"/>
        <v>-1950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/>
      <c r="C12" s="11"/>
      <c r="D12" s="129"/>
      <c r="E12" s="11">
        <v>-1950</v>
      </c>
      <c r="F12" s="11">
        <f t="shared" si="0"/>
        <v>-1950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/>
      <c r="C13" s="11"/>
      <c r="D13" s="129"/>
      <c r="E13" s="11">
        <v>-1950</v>
      </c>
      <c r="F13" s="11">
        <f t="shared" si="0"/>
        <v>-1950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/>
      <c r="C14" s="11"/>
      <c r="D14" s="129"/>
      <c r="E14" s="11">
        <v>-1950</v>
      </c>
      <c r="F14" s="11">
        <f t="shared" si="0"/>
        <v>-1950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/>
      <c r="C15" s="11"/>
      <c r="D15" s="11"/>
      <c r="E15" s="11">
        <v>-1950</v>
      </c>
      <c r="F15" s="11">
        <f t="shared" si="0"/>
        <v>-1950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/>
      <c r="C16" s="11"/>
      <c r="D16" s="11"/>
      <c r="E16" s="11">
        <v>-1950</v>
      </c>
      <c r="F16" s="11">
        <f t="shared" si="0"/>
        <v>-1950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/>
      <c r="C17" s="11"/>
      <c r="D17" s="11">
        <v>-14167</v>
      </c>
      <c r="E17" s="11">
        <v>-6950</v>
      </c>
      <c r="F17" s="11">
        <f t="shared" si="0"/>
        <v>7217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/>
      <c r="C18" s="11"/>
      <c r="D18" s="11">
        <v>-926</v>
      </c>
      <c r="E18" s="11">
        <v>-1950</v>
      </c>
      <c r="F18" s="11">
        <f t="shared" si="0"/>
        <v>-1024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/>
      <c r="E19" s="11">
        <v>-1950</v>
      </c>
      <c r="F19" s="11">
        <f t="shared" si="0"/>
        <v>-1950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/>
      <c r="C20" s="11"/>
      <c r="D20" s="11">
        <v>-7050</v>
      </c>
      <c r="E20" s="11">
        <v>-1950</v>
      </c>
      <c r="F20" s="11">
        <f t="shared" si="0"/>
        <v>5100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/>
      <c r="C21" s="11"/>
      <c r="D21" s="11"/>
      <c r="E21" s="11">
        <v>-1950</v>
      </c>
      <c r="F21" s="11">
        <f t="shared" si="0"/>
        <v>-1950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/>
      <c r="C22" s="11"/>
      <c r="D22" s="11"/>
      <c r="E22" s="11">
        <v>-1950</v>
      </c>
      <c r="F22" s="11">
        <f t="shared" si="0"/>
        <v>-1950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>
        <v>-17634</v>
      </c>
      <c r="E23" s="11">
        <v>-13094</v>
      </c>
      <c r="F23" s="11">
        <f t="shared" si="0"/>
        <v>4540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>
        <v>-5338</v>
      </c>
      <c r="C24" s="11">
        <v>-5000</v>
      </c>
      <c r="D24" s="11">
        <v>-39746</v>
      </c>
      <c r="E24" s="11">
        <v>-39330</v>
      </c>
      <c r="F24" s="11">
        <f t="shared" si="0"/>
        <v>754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>
        <v>-23377</v>
      </c>
      <c r="C25" s="11">
        <v>-22921</v>
      </c>
      <c r="D25" s="11">
        <v>-27551</v>
      </c>
      <c r="E25" s="11">
        <v>-27756</v>
      </c>
      <c r="F25" s="11">
        <f t="shared" si="0"/>
        <v>251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>
        <v>-39811</v>
      </c>
      <c r="C26" s="11">
        <v>-39821</v>
      </c>
      <c r="D26" s="11">
        <v>-69407</v>
      </c>
      <c r="E26" s="11">
        <v>-69534</v>
      </c>
      <c r="F26" s="11">
        <f t="shared" si="0"/>
        <v>-137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>
        <v>-39595</v>
      </c>
      <c r="C27" s="11">
        <v>-39821</v>
      </c>
      <c r="D27" s="11">
        <v>-68901</v>
      </c>
      <c r="E27" s="11">
        <v>-69534</v>
      </c>
      <c r="F27" s="11">
        <f t="shared" si="0"/>
        <v>-859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>
        <v>-39827</v>
      </c>
      <c r="C28" s="11">
        <v>-39821</v>
      </c>
      <c r="D28" s="11">
        <v>-69543</v>
      </c>
      <c r="E28" s="11">
        <v>-69534</v>
      </c>
      <c r="F28" s="11">
        <f t="shared" si="0"/>
        <v>15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>
        <v>-39821</v>
      </c>
      <c r="C29" s="11">
        <v>-39821</v>
      </c>
      <c r="D29" s="11">
        <v>-70682</v>
      </c>
      <c r="E29" s="11">
        <v>-69534</v>
      </c>
      <c r="F29" s="11">
        <f t="shared" si="0"/>
        <v>1148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>
        <v>-32494</v>
      </c>
      <c r="C30" s="11">
        <v>-31212</v>
      </c>
      <c r="D30" s="11">
        <v>-70041</v>
      </c>
      <c r="E30" s="11">
        <v>-68414</v>
      </c>
      <c r="F30" s="11">
        <f t="shared" si="0"/>
        <v>2909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>
        <v>-9929</v>
      </c>
      <c r="C31" s="11">
        <v>-10000</v>
      </c>
      <c r="D31" s="11">
        <v>-63155</v>
      </c>
      <c r="E31" s="11">
        <v>-62432</v>
      </c>
      <c r="F31" s="11">
        <f t="shared" si="0"/>
        <v>652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>
        <v>-39883</v>
      </c>
      <c r="E32" s="11">
        <v>-39534</v>
      </c>
      <c r="F32" s="11">
        <f t="shared" si="0"/>
        <v>349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>
        <v>-38850</v>
      </c>
      <c r="C33" s="11">
        <v>-39276</v>
      </c>
      <c r="D33" s="11">
        <v>-29201</v>
      </c>
      <c r="E33" s="11">
        <v>-29278</v>
      </c>
      <c r="F33" s="11">
        <f t="shared" si="0"/>
        <v>-503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-300596</v>
      </c>
      <c r="C36" s="44">
        <f>SUM(C5:C35)</f>
        <v>-297693</v>
      </c>
      <c r="D36" s="43">
        <f>SUM(D5:D35)</f>
        <v>-631489</v>
      </c>
      <c r="E36" s="43">
        <f>SUM(E5:E35)</f>
        <v>-633176</v>
      </c>
      <c r="F36" s="11">
        <f>SUM(F5:F35)</f>
        <v>1216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9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15">
        <f>+summary!H5</f>
        <v>2.2200000000000002</v>
      </c>
      <c r="G39" s="32"/>
      <c r="H39" s="204"/>
      <c r="I39" s="150"/>
      <c r="J39" s="351"/>
      <c r="K39" s="460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2699.5200000000004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61"/>
      <c r="I41" s="206"/>
      <c r="J41" s="462"/>
      <c r="K41" s="462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37225</v>
      </c>
      <c r="B42" s="32"/>
      <c r="C42" s="470"/>
      <c r="D42" s="111"/>
      <c r="E42" s="470"/>
      <c r="F42" s="534">
        <v>21213.360000000001</v>
      </c>
      <c r="G42" s="32"/>
      <c r="H42" s="461"/>
      <c r="I42" s="206"/>
      <c r="J42" s="462"/>
      <c r="K42" s="462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37254</v>
      </c>
      <c r="B43" s="32"/>
      <c r="C43" s="106"/>
      <c r="D43" s="106"/>
      <c r="E43" s="106"/>
      <c r="F43" s="535">
        <f>+F40+F42</f>
        <v>23912.880000000001</v>
      </c>
      <c r="H43" s="293"/>
      <c r="I43" s="293"/>
      <c r="J43" s="293"/>
      <c r="K43" s="293"/>
      <c r="L43" s="46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1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152</v>
      </c>
      <c r="B47" s="32"/>
      <c r="C47" s="32"/>
      <c r="D47" s="32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37225</v>
      </c>
      <c r="B48" s="32"/>
      <c r="C48" s="32"/>
      <c r="D48" s="514">
        <v>10248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37254</v>
      </c>
      <c r="B49" s="32"/>
      <c r="C49" s="32"/>
      <c r="D49" s="355">
        <f>+F36</f>
        <v>1216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14">
        <f>+D49+D48</f>
        <v>11464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6" workbookViewId="0">
      <selection activeCell="A39" sqref="A39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218</v>
      </c>
      <c r="B1" s="32"/>
      <c r="C1" s="200"/>
      <c r="O1" s="34"/>
      <c r="AD1" s="38" t="s">
        <v>77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3" t="s">
        <v>220</v>
      </c>
      <c r="C3" s="208"/>
      <c r="D3" s="453" t="s">
        <v>221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219</v>
      </c>
      <c r="C4" s="32"/>
      <c r="D4" s="231" t="s">
        <v>222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-2166</v>
      </c>
      <c r="C9" s="24">
        <v>-1613</v>
      </c>
      <c r="D9" s="51">
        <v>-2354</v>
      </c>
      <c r="E9" s="24">
        <v>-2000</v>
      </c>
      <c r="F9" s="24">
        <f t="shared" si="0"/>
        <v>907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-2259</v>
      </c>
      <c r="C10" s="24">
        <v>-1613</v>
      </c>
      <c r="D10" s="51">
        <v>-2518</v>
      </c>
      <c r="E10" s="24">
        <v>-2000</v>
      </c>
      <c r="F10" s="24">
        <f t="shared" si="0"/>
        <v>1164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-2152</v>
      </c>
      <c r="C11" s="24">
        <v>-1613</v>
      </c>
      <c r="D11" s="24">
        <v>-2440</v>
      </c>
      <c r="E11" s="24">
        <v>-2000</v>
      </c>
      <c r="F11" s="24">
        <f t="shared" si="0"/>
        <v>979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-2005</v>
      </c>
      <c r="C12" s="24">
        <v>-1613</v>
      </c>
      <c r="D12" s="51">
        <v>-2470</v>
      </c>
      <c r="E12" s="24">
        <v>-2000</v>
      </c>
      <c r="F12" s="24">
        <f t="shared" si="0"/>
        <v>862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-933</v>
      </c>
      <c r="C13" s="24">
        <v>-1613</v>
      </c>
      <c r="D13" s="24">
        <v>-2314</v>
      </c>
      <c r="E13" s="24">
        <v>-2000</v>
      </c>
      <c r="F13" s="24">
        <f t="shared" si="0"/>
        <v>-366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-1857</v>
      </c>
      <c r="C14" s="24">
        <v>-1613</v>
      </c>
      <c r="D14" s="24">
        <v>-787</v>
      </c>
      <c r="E14" s="24">
        <v>-2000</v>
      </c>
      <c r="F14" s="24">
        <f t="shared" si="0"/>
        <v>-969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-2242</v>
      </c>
      <c r="C15" s="24">
        <v>-1613</v>
      </c>
      <c r="D15" s="24">
        <v>-2568</v>
      </c>
      <c r="E15" s="24">
        <v>-2000</v>
      </c>
      <c r="F15" s="24">
        <f t="shared" si="0"/>
        <v>1197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-2215</v>
      </c>
      <c r="C16" s="24">
        <v>-1613</v>
      </c>
      <c r="D16" s="24">
        <v>-2555</v>
      </c>
      <c r="E16" s="24">
        <v>-2000</v>
      </c>
      <c r="F16" s="24">
        <f t="shared" si="0"/>
        <v>1157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-2377</v>
      </c>
      <c r="C17" s="24">
        <v>-1613</v>
      </c>
      <c r="D17" s="24">
        <v>-2610</v>
      </c>
      <c r="E17" s="24">
        <v>-2000</v>
      </c>
      <c r="F17" s="24">
        <f t="shared" si="0"/>
        <v>1374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-2305</v>
      </c>
      <c r="C18" s="24">
        <v>-1613</v>
      </c>
      <c r="D18" s="24">
        <v>-2633</v>
      </c>
      <c r="E18" s="24">
        <v>-2000</v>
      </c>
      <c r="F18" s="24">
        <f t="shared" si="0"/>
        <v>1325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-2219</v>
      </c>
      <c r="C19" s="24">
        <v>-1613</v>
      </c>
      <c r="D19" s="24">
        <v>-2604</v>
      </c>
      <c r="E19" s="24">
        <v>-2000</v>
      </c>
      <c r="F19" s="24">
        <f t="shared" si="0"/>
        <v>1210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-2197</v>
      </c>
      <c r="C20" s="24">
        <v>-1613</v>
      </c>
      <c r="D20" s="24">
        <v>-2274</v>
      </c>
      <c r="E20" s="24">
        <v>-2000</v>
      </c>
      <c r="F20" s="24">
        <f t="shared" si="0"/>
        <v>858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-2239</v>
      </c>
      <c r="C21" s="24">
        <v>-1613</v>
      </c>
      <c r="D21" s="24">
        <v>-701</v>
      </c>
      <c r="E21" s="24">
        <v>-2000</v>
      </c>
      <c r="F21" s="24">
        <f t="shared" si="0"/>
        <v>-673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-1978</v>
      </c>
      <c r="C22" s="24">
        <v>-1613</v>
      </c>
      <c r="D22" s="24">
        <v>-2517</v>
      </c>
      <c r="E22" s="24">
        <v>-2000</v>
      </c>
      <c r="F22" s="24">
        <f t="shared" si="0"/>
        <v>882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-1841</v>
      </c>
      <c r="C23" s="24">
        <v>-1613</v>
      </c>
      <c r="D23" s="24">
        <v>-2613</v>
      </c>
      <c r="E23" s="24">
        <v>-2000</v>
      </c>
      <c r="F23" s="24">
        <f t="shared" si="0"/>
        <v>841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-1545</v>
      </c>
      <c r="C24" s="24">
        <v>-1613</v>
      </c>
      <c r="D24" s="24">
        <v>-2628</v>
      </c>
      <c r="E24" s="24">
        <v>-2000</v>
      </c>
      <c r="F24" s="24">
        <f t="shared" si="0"/>
        <v>560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-2325</v>
      </c>
      <c r="C25" s="24">
        <v>-1613</v>
      </c>
      <c r="D25" s="24">
        <v>-2493</v>
      </c>
      <c r="E25" s="24">
        <v>-2000</v>
      </c>
      <c r="F25" s="24">
        <f t="shared" si="0"/>
        <v>1205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-2098</v>
      </c>
      <c r="C26" s="24">
        <v>-1613</v>
      </c>
      <c r="D26" s="24">
        <v>-2294</v>
      </c>
      <c r="E26" s="24">
        <v>-2000</v>
      </c>
      <c r="F26" s="24">
        <f t="shared" si="0"/>
        <v>779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-2163</v>
      </c>
      <c r="C27" s="24">
        <v>-3613</v>
      </c>
      <c r="D27" s="24">
        <v>-188</v>
      </c>
      <c r="E27" s="24">
        <v>-2000</v>
      </c>
      <c r="F27" s="24">
        <f t="shared" si="0"/>
        <v>-3262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-2184</v>
      </c>
      <c r="C28" s="24">
        <v>-3613</v>
      </c>
      <c r="D28" s="24">
        <v>-164</v>
      </c>
      <c r="E28" s="24">
        <v>-2000</v>
      </c>
      <c r="F28" s="24">
        <f t="shared" si="0"/>
        <v>-3265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-2053</v>
      </c>
      <c r="C29" s="24">
        <v>-3613</v>
      </c>
      <c r="D29" s="24">
        <v>-171</v>
      </c>
      <c r="E29" s="24">
        <v>-2000</v>
      </c>
      <c r="F29" s="24">
        <f t="shared" si="0"/>
        <v>-3389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-848</v>
      </c>
      <c r="C30" s="24">
        <v>-3613</v>
      </c>
      <c r="D30" s="24">
        <v>-605</v>
      </c>
      <c r="E30" s="24">
        <v>-2000</v>
      </c>
      <c r="F30" s="24">
        <f t="shared" si="0"/>
        <v>-4160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-1978</v>
      </c>
      <c r="C31" s="24">
        <v>-3613</v>
      </c>
      <c r="D31" s="24">
        <v>-2535</v>
      </c>
      <c r="E31" s="24">
        <v>-2000</v>
      </c>
      <c r="F31" s="24">
        <f t="shared" si="0"/>
        <v>-1100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-2306</v>
      </c>
      <c r="C32" s="24">
        <v>-1613</v>
      </c>
      <c r="D32" s="24">
        <v>-2624</v>
      </c>
      <c r="E32" s="24">
        <v>-2000</v>
      </c>
      <c r="F32" s="24">
        <f t="shared" si="0"/>
        <v>1317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>
        <v>-2165</v>
      </c>
      <c r="C33" s="24">
        <v>-1613</v>
      </c>
      <c r="D33" s="24">
        <v>-2362</v>
      </c>
      <c r="E33" s="24">
        <v>-2000</v>
      </c>
      <c r="F33" s="24">
        <f t="shared" si="0"/>
        <v>914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>
        <v>-2277</v>
      </c>
      <c r="C34" s="24">
        <v>-1613</v>
      </c>
      <c r="D34" s="24">
        <v>-588</v>
      </c>
      <c r="E34" s="24">
        <v>-2000</v>
      </c>
      <c r="F34" s="24">
        <f t="shared" si="0"/>
        <v>-748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-59062</v>
      </c>
      <c r="C37" s="24">
        <f>SUM(C6:C36)</f>
        <v>-56777</v>
      </c>
      <c r="D37" s="24">
        <f>SUM(D6:D36)</f>
        <v>-55147</v>
      </c>
      <c r="E37" s="24">
        <f>SUM(E6:E36)</f>
        <v>-58000</v>
      </c>
      <c r="F37" s="24">
        <f>SUM(F6:F36)</f>
        <v>-568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2.21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-1255.28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37225</v>
      </c>
      <c r="C40" s="322"/>
      <c r="D40" s="262"/>
      <c r="E40" s="262"/>
      <c r="F40" s="517">
        <f>-7085.01-120842.49</f>
        <v>-127927.5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37254</v>
      </c>
      <c r="C41" s="322"/>
      <c r="D41" s="262"/>
      <c r="E41" s="262"/>
      <c r="F41" s="104">
        <f>+F40+F39</f>
        <v>-129182.78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09">
        <f>-658-37833</f>
        <v>-38491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37254</v>
      </c>
      <c r="B47" s="32"/>
      <c r="C47" s="32"/>
      <c r="D47" s="355">
        <f>+F37</f>
        <v>-568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-39059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>
      <selection activeCell="A20" sqref="A20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226</v>
      </c>
      <c r="B1" s="32"/>
      <c r="C1" s="200"/>
      <c r="O1" s="34"/>
      <c r="AB1" s="38" t="s">
        <v>77</v>
      </c>
    </row>
    <row r="2" spans="1:43" ht="16.5" customHeight="1" x14ac:dyDescent="0.2">
      <c r="A2" s="153" t="s">
        <v>227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3" t="s">
        <v>228</v>
      </c>
      <c r="C3" s="208"/>
      <c r="D3" s="453" t="s">
        <v>230</v>
      </c>
      <c r="E3" s="207"/>
      <c r="F3" s="453" t="s">
        <v>232</v>
      </c>
      <c r="G3" s="207"/>
      <c r="H3" s="453" t="s">
        <v>234</v>
      </c>
      <c r="I3" s="207"/>
      <c r="J3" s="453" t="s">
        <v>236</v>
      </c>
      <c r="K3" s="207"/>
      <c r="L3" s="453" t="s">
        <v>238</v>
      </c>
      <c r="M3" s="207"/>
      <c r="N3" s="453" t="s">
        <v>240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229</v>
      </c>
      <c r="C4" s="32"/>
      <c r="D4" s="231" t="s">
        <v>231</v>
      </c>
      <c r="E4" s="24"/>
      <c r="F4" s="231" t="s">
        <v>233</v>
      </c>
      <c r="G4" s="24"/>
      <c r="H4" s="231" t="s">
        <v>235</v>
      </c>
      <c r="I4" s="24"/>
      <c r="J4" s="231" t="s">
        <v>237</v>
      </c>
      <c r="K4" s="24"/>
      <c r="L4" s="231" t="s">
        <v>239</v>
      </c>
      <c r="M4" s="24"/>
      <c r="N4" s="231" t="s">
        <v>241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>
        <v>-30</v>
      </c>
      <c r="H6" s="24"/>
      <c r="I6" s="24">
        <v>-12</v>
      </c>
      <c r="J6" s="24"/>
      <c r="K6" s="24"/>
      <c r="L6" s="24"/>
      <c r="M6" s="24"/>
      <c r="N6" s="24"/>
      <c r="O6" s="24">
        <v>-7</v>
      </c>
      <c r="P6" s="24">
        <f>+C6+E6+I6+K6+M6+O6-B6-D6-F6-H6-J6-L6-N6</f>
        <v>3362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>
        <v>-30</v>
      </c>
      <c r="H7" s="24"/>
      <c r="I7" s="24">
        <v>-12</v>
      </c>
      <c r="J7" s="24"/>
      <c r="K7" s="24"/>
      <c r="L7" s="24"/>
      <c r="M7" s="24"/>
      <c r="N7" s="24"/>
      <c r="O7" s="24">
        <v>-7</v>
      </c>
      <c r="P7" s="24">
        <f>+C7+E7+I7+K7+M7+O7-B7-D7-F7-H7-J7-L7-N7</f>
        <v>1930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>
        <v>-30</v>
      </c>
      <c r="H8" s="24"/>
      <c r="I8" s="24">
        <v>-12</v>
      </c>
      <c r="J8" s="24"/>
      <c r="K8" s="24"/>
      <c r="L8" s="24"/>
      <c r="M8" s="24"/>
      <c r="N8" s="24"/>
      <c r="O8" s="24">
        <v>-7</v>
      </c>
      <c r="P8" s="24">
        <f t="shared" ref="P8:P36" si="0">+C8+E8+I8+K8+M8+O8-B8-D8-F8-H8-J8-L8-N8</f>
        <v>-5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-1840</v>
      </c>
      <c r="C9" s="24">
        <v>-2104</v>
      </c>
      <c r="D9" s="51"/>
      <c r="E9" s="24">
        <v>-25</v>
      </c>
      <c r="F9" s="24"/>
      <c r="G9" s="24">
        <v>-30</v>
      </c>
      <c r="H9" s="24"/>
      <c r="I9" s="24">
        <v>-12</v>
      </c>
      <c r="J9" s="24"/>
      <c r="K9" s="24"/>
      <c r="L9" s="51"/>
      <c r="M9" s="24"/>
      <c r="N9" s="51"/>
      <c r="O9" s="24">
        <v>-7</v>
      </c>
      <c r="P9" s="24">
        <f t="shared" si="0"/>
        <v>-308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-1968</v>
      </c>
      <c r="C10" s="24">
        <v>-2104</v>
      </c>
      <c r="D10" s="51"/>
      <c r="E10" s="24">
        <v>-25</v>
      </c>
      <c r="F10" s="24"/>
      <c r="G10" s="24">
        <v>-30</v>
      </c>
      <c r="H10" s="24"/>
      <c r="I10" s="24">
        <v>-12</v>
      </c>
      <c r="J10" s="24"/>
      <c r="K10" s="24"/>
      <c r="L10" s="51"/>
      <c r="M10" s="24"/>
      <c r="N10" s="51"/>
      <c r="O10" s="24">
        <v>-7</v>
      </c>
      <c r="P10" s="24">
        <f t="shared" si="0"/>
        <v>-180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-1992</v>
      </c>
      <c r="C11" s="24">
        <v>-2104</v>
      </c>
      <c r="D11" s="24"/>
      <c r="E11" s="24">
        <v>-25</v>
      </c>
      <c r="F11" s="24"/>
      <c r="G11" s="24">
        <v>-30</v>
      </c>
      <c r="H11" s="24"/>
      <c r="I11" s="24">
        <v>-12</v>
      </c>
      <c r="J11" s="24"/>
      <c r="K11" s="24"/>
      <c r="L11" s="24"/>
      <c r="M11" s="24"/>
      <c r="N11" s="24"/>
      <c r="O11" s="24">
        <v>-7</v>
      </c>
      <c r="P11" s="24">
        <f t="shared" si="0"/>
        <v>-156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-1997</v>
      </c>
      <c r="C12" s="24">
        <v>-2104</v>
      </c>
      <c r="D12" s="51"/>
      <c r="E12" s="24">
        <v>-25</v>
      </c>
      <c r="F12" s="24"/>
      <c r="G12" s="24">
        <v>-30</v>
      </c>
      <c r="H12" s="24"/>
      <c r="I12" s="24">
        <v>-12</v>
      </c>
      <c r="J12" s="24"/>
      <c r="K12" s="24"/>
      <c r="L12" s="51"/>
      <c r="M12" s="24"/>
      <c r="N12" s="51"/>
      <c r="O12" s="24">
        <v>-7</v>
      </c>
      <c r="P12" s="24">
        <f t="shared" si="0"/>
        <v>-151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-2104</v>
      </c>
      <c r="D13" s="24">
        <v>-3</v>
      </c>
      <c r="E13" s="24">
        <v>-25</v>
      </c>
      <c r="F13" s="24"/>
      <c r="G13" s="24">
        <v>-30</v>
      </c>
      <c r="H13" s="24"/>
      <c r="I13" s="24">
        <v>-12</v>
      </c>
      <c r="J13" s="24"/>
      <c r="K13" s="24"/>
      <c r="L13" s="24"/>
      <c r="M13" s="24"/>
      <c r="N13" s="24"/>
      <c r="O13" s="24">
        <v>-7</v>
      </c>
      <c r="P13" s="24">
        <f t="shared" si="0"/>
        <v>17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-2166</v>
      </c>
      <c r="C14" s="24">
        <v>-2104</v>
      </c>
      <c r="D14" s="24"/>
      <c r="E14" s="24">
        <v>-25</v>
      </c>
      <c r="F14" s="24"/>
      <c r="G14" s="24">
        <v>-30</v>
      </c>
      <c r="H14" s="24"/>
      <c r="I14" s="24">
        <v>-12</v>
      </c>
      <c r="J14" s="24"/>
      <c r="K14" s="24"/>
      <c r="L14" s="24"/>
      <c r="M14" s="24"/>
      <c r="N14" s="24"/>
      <c r="O14" s="24">
        <v>-7</v>
      </c>
      <c r="P14" s="24">
        <f t="shared" si="0"/>
        <v>18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-2130</v>
      </c>
      <c r="C15" s="24">
        <v>-2104</v>
      </c>
      <c r="D15" s="24">
        <v>-7</v>
      </c>
      <c r="E15" s="24">
        <v>-25</v>
      </c>
      <c r="F15" s="24"/>
      <c r="G15" s="24">
        <v>-30</v>
      </c>
      <c r="H15" s="24"/>
      <c r="I15" s="24">
        <v>-12</v>
      </c>
      <c r="J15" s="24"/>
      <c r="K15" s="24"/>
      <c r="L15" s="24"/>
      <c r="M15" s="24"/>
      <c r="N15" s="24"/>
      <c r="O15" s="24">
        <v>-7</v>
      </c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-2131</v>
      </c>
      <c r="C16" s="24">
        <v>-2104</v>
      </c>
      <c r="D16" s="24"/>
      <c r="E16" s="24">
        <v>-25</v>
      </c>
      <c r="F16" s="24"/>
      <c r="G16" s="24">
        <v>-30</v>
      </c>
      <c r="H16" s="24"/>
      <c r="I16" s="24">
        <v>-12</v>
      </c>
      <c r="J16" s="24"/>
      <c r="K16" s="24"/>
      <c r="L16" s="24"/>
      <c r="M16" s="24"/>
      <c r="N16" s="24"/>
      <c r="O16" s="24">
        <v>-7</v>
      </c>
      <c r="P16" s="24">
        <f t="shared" si="0"/>
        <v>-17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-2157</v>
      </c>
      <c r="C17" s="24">
        <v>-2104</v>
      </c>
      <c r="D17" s="24"/>
      <c r="E17" s="24">
        <v>-25</v>
      </c>
      <c r="F17" s="24"/>
      <c r="G17" s="24">
        <v>-30</v>
      </c>
      <c r="H17" s="24"/>
      <c r="I17" s="24">
        <v>-12</v>
      </c>
      <c r="J17" s="24"/>
      <c r="K17" s="24"/>
      <c r="L17" s="24"/>
      <c r="M17" s="24"/>
      <c r="N17" s="24"/>
      <c r="O17" s="24">
        <v>-7</v>
      </c>
      <c r="P17" s="24">
        <f t="shared" si="0"/>
        <v>9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-2181</v>
      </c>
      <c r="C18" s="24">
        <v>-2104</v>
      </c>
      <c r="D18" s="24"/>
      <c r="E18" s="24">
        <v>-25</v>
      </c>
      <c r="F18" s="24"/>
      <c r="G18" s="24">
        <v>-30</v>
      </c>
      <c r="H18" s="24"/>
      <c r="I18" s="24">
        <v>-12</v>
      </c>
      <c r="J18" s="24"/>
      <c r="K18" s="24"/>
      <c r="L18" s="24"/>
      <c r="M18" s="24"/>
      <c r="N18" s="24"/>
      <c r="O18" s="24">
        <v>-7</v>
      </c>
      <c r="P18" s="24">
        <f t="shared" si="0"/>
        <v>33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-2112</v>
      </c>
      <c r="C19" s="24">
        <v>-2104</v>
      </c>
      <c r="D19" s="24"/>
      <c r="E19" s="24">
        <v>-25</v>
      </c>
      <c r="F19" s="24"/>
      <c r="G19" s="24">
        <v>-30</v>
      </c>
      <c r="H19" s="24"/>
      <c r="I19" s="24">
        <v>-12</v>
      </c>
      <c r="J19" s="24"/>
      <c r="K19" s="24"/>
      <c r="L19" s="24"/>
      <c r="M19" s="24"/>
      <c r="N19" s="24"/>
      <c r="O19" s="24">
        <v>-7</v>
      </c>
      <c r="P19" s="24">
        <f t="shared" si="0"/>
        <v>-36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-2111</v>
      </c>
      <c r="C20" s="24">
        <v>-2104</v>
      </c>
      <c r="D20" s="24"/>
      <c r="E20" s="24">
        <v>-25</v>
      </c>
      <c r="F20" s="24"/>
      <c r="G20" s="24">
        <v>-30</v>
      </c>
      <c r="H20" s="24"/>
      <c r="I20" s="24">
        <v>-12</v>
      </c>
      <c r="J20" s="24"/>
      <c r="K20" s="24"/>
      <c r="L20" s="24"/>
      <c r="M20" s="24"/>
      <c r="N20" s="24"/>
      <c r="O20" s="24">
        <v>-7</v>
      </c>
      <c r="P20" s="24">
        <f t="shared" si="0"/>
        <v>-37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-2215</v>
      </c>
      <c r="C21" s="24">
        <v>-2104</v>
      </c>
      <c r="D21" s="24"/>
      <c r="E21" s="24">
        <v>-25</v>
      </c>
      <c r="F21" s="24"/>
      <c r="G21" s="24">
        <v>-30</v>
      </c>
      <c r="H21" s="24"/>
      <c r="I21" s="24">
        <v>-12</v>
      </c>
      <c r="J21" s="24"/>
      <c r="K21" s="24"/>
      <c r="L21" s="24"/>
      <c r="M21" s="24"/>
      <c r="N21" s="24"/>
      <c r="O21" s="24">
        <v>-7</v>
      </c>
      <c r="P21" s="24">
        <f t="shared" si="0"/>
        <v>67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-2164</v>
      </c>
      <c r="C22" s="24">
        <v>-2104</v>
      </c>
      <c r="D22" s="24"/>
      <c r="E22" s="24">
        <v>-25</v>
      </c>
      <c r="F22" s="24"/>
      <c r="G22" s="24">
        <v>-30</v>
      </c>
      <c r="H22" s="24"/>
      <c r="I22" s="24">
        <v>-12</v>
      </c>
      <c r="J22" s="24"/>
      <c r="K22" s="24"/>
      <c r="L22" s="24"/>
      <c r="M22" s="24"/>
      <c r="N22" s="24"/>
      <c r="O22" s="24">
        <v>-7</v>
      </c>
      <c r="P22" s="24">
        <f t="shared" si="0"/>
        <v>16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-2162</v>
      </c>
      <c r="C23" s="24">
        <v>-2104</v>
      </c>
      <c r="D23" s="24">
        <v>-18</v>
      </c>
      <c r="E23" s="24">
        <v>-25</v>
      </c>
      <c r="F23" s="24"/>
      <c r="G23" s="24">
        <v>-30</v>
      </c>
      <c r="H23" s="24"/>
      <c r="I23" s="24">
        <v>-12</v>
      </c>
      <c r="J23" s="24"/>
      <c r="K23" s="24"/>
      <c r="L23" s="24"/>
      <c r="M23" s="24"/>
      <c r="N23" s="24"/>
      <c r="O23" s="24">
        <v>-7</v>
      </c>
      <c r="P23" s="24">
        <f t="shared" si="0"/>
        <v>32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-2159</v>
      </c>
      <c r="C24" s="24">
        <v>-2104</v>
      </c>
      <c r="D24" s="24"/>
      <c r="E24" s="24">
        <v>-25</v>
      </c>
      <c r="F24" s="24"/>
      <c r="G24" s="24">
        <v>-30</v>
      </c>
      <c r="H24" s="24"/>
      <c r="I24" s="24">
        <v>-12</v>
      </c>
      <c r="J24" s="24"/>
      <c r="K24" s="24"/>
      <c r="L24" s="24"/>
      <c r="M24" s="24"/>
      <c r="N24" s="24"/>
      <c r="O24" s="24">
        <v>-7</v>
      </c>
      <c r="P24" s="24">
        <f t="shared" si="0"/>
        <v>11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-2140</v>
      </c>
      <c r="C25" s="24">
        <v>-2104</v>
      </c>
      <c r="D25" s="24"/>
      <c r="E25" s="24">
        <v>-1</v>
      </c>
      <c r="F25" s="24"/>
      <c r="G25" s="24">
        <v>-1</v>
      </c>
      <c r="H25" s="24"/>
      <c r="I25" s="24">
        <v>-2</v>
      </c>
      <c r="J25" s="24"/>
      <c r="K25" s="24"/>
      <c r="L25" s="24"/>
      <c r="M25" s="24"/>
      <c r="N25" s="24"/>
      <c r="O25" s="24">
        <v>0</v>
      </c>
      <c r="P25" s="24">
        <f t="shared" si="0"/>
        <v>33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-2115</v>
      </c>
      <c r="C26" s="24">
        <v>-2104</v>
      </c>
      <c r="D26" s="24"/>
      <c r="E26" s="24">
        <v>-25</v>
      </c>
      <c r="F26" s="24"/>
      <c r="G26" s="24">
        <v>-30</v>
      </c>
      <c r="H26" s="24"/>
      <c r="I26" s="24">
        <v>-12</v>
      </c>
      <c r="J26" s="24"/>
      <c r="K26" s="24"/>
      <c r="L26" s="24"/>
      <c r="M26" s="24"/>
      <c r="N26" s="24"/>
      <c r="O26" s="24">
        <v>-7</v>
      </c>
      <c r="P26" s="24">
        <f t="shared" si="0"/>
        <v>-33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-2176</v>
      </c>
      <c r="C27" s="24">
        <v>-2104</v>
      </c>
      <c r="D27" s="24"/>
      <c r="E27" s="24">
        <v>-25</v>
      </c>
      <c r="F27" s="24"/>
      <c r="G27" s="24">
        <v>-30</v>
      </c>
      <c r="H27" s="24"/>
      <c r="I27" s="24">
        <v>-12</v>
      </c>
      <c r="J27" s="24"/>
      <c r="K27" s="24"/>
      <c r="L27" s="24"/>
      <c r="M27" s="24"/>
      <c r="N27" s="24"/>
      <c r="O27" s="24">
        <v>-7</v>
      </c>
      <c r="P27" s="24">
        <f t="shared" si="0"/>
        <v>28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>
        <v>-2183</v>
      </c>
      <c r="C28" s="24">
        <v>-2104</v>
      </c>
      <c r="D28" s="24"/>
      <c r="E28" s="24">
        <v>-25</v>
      </c>
      <c r="F28" s="24"/>
      <c r="G28" s="24">
        <v>-30</v>
      </c>
      <c r="H28" s="24"/>
      <c r="I28" s="24">
        <v>-12</v>
      </c>
      <c r="J28" s="24"/>
      <c r="K28" s="24"/>
      <c r="L28" s="24"/>
      <c r="M28" s="24"/>
      <c r="N28" s="24"/>
      <c r="O28" s="24">
        <v>-7</v>
      </c>
      <c r="P28" s="24">
        <f t="shared" si="0"/>
        <v>35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>
        <v>-2174</v>
      </c>
      <c r="C29" s="24">
        <v>-2104</v>
      </c>
      <c r="D29" s="24"/>
      <c r="E29" s="24">
        <v>-25</v>
      </c>
      <c r="F29" s="24"/>
      <c r="G29" s="24">
        <v>-30</v>
      </c>
      <c r="H29" s="24"/>
      <c r="I29" s="24">
        <v>-12</v>
      </c>
      <c r="J29" s="24"/>
      <c r="K29" s="24"/>
      <c r="L29" s="24"/>
      <c r="M29" s="24"/>
      <c r="N29" s="24"/>
      <c r="O29" s="24">
        <v>-7</v>
      </c>
      <c r="P29" s="24">
        <f t="shared" si="0"/>
        <v>26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>
        <v>-2182</v>
      </c>
      <c r="C30" s="24">
        <v>-2104</v>
      </c>
      <c r="D30" s="24"/>
      <c r="E30" s="24">
        <v>-25</v>
      </c>
      <c r="F30" s="24"/>
      <c r="G30" s="24">
        <v>-30</v>
      </c>
      <c r="H30" s="24"/>
      <c r="I30" s="24">
        <v>-12</v>
      </c>
      <c r="J30" s="24"/>
      <c r="K30" s="24"/>
      <c r="L30" s="24"/>
      <c r="M30" s="24"/>
      <c r="N30" s="24"/>
      <c r="O30" s="24">
        <v>-7</v>
      </c>
      <c r="P30" s="24">
        <f t="shared" si="0"/>
        <v>34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-53936</v>
      </c>
      <c r="C37" s="24">
        <f t="shared" si="1"/>
        <v>-48188</v>
      </c>
      <c r="D37" s="24">
        <f t="shared" si="1"/>
        <v>-28</v>
      </c>
      <c r="E37" s="24">
        <f t="shared" si="1"/>
        <v>-601</v>
      </c>
      <c r="F37" s="24">
        <f t="shared" si="1"/>
        <v>0</v>
      </c>
      <c r="G37" s="24">
        <f t="shared" si="1"/>
        <v>-721</v>
      </c>
      <c r="H37" s="24">
        <f t="shared" si="1"/>
        <v>0</v>
      </c>
      <c r="I37" s="24">
        <f t="shared" si="1"/>
        <v>-290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-168</v>
      </c>
      <c r="P37" s="24">
        <f t="shared" si="1"/>
        <v>4717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6"/>
      <c r="P38" s="104">
        <f>+summary!H4</f>
        <v>2.21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50"/>
      <c r="P39" s="104">
        <f>+P38*P37</f>
        <v>10424.57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0">
        <v>37225</v>
      </c>
      <c r="E40" s="14"/>
      <c r="O40" s="450"/>
      <c r="P40" s="517">
        <v>102894.9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400">
        <v>37250</v>
      </c>
      <c r="E41" s="14"/>
      <c r="O41" s="450"/>
      <c r="P41" s="104">
        <f>+P40+P39</f>
        <v>113319.47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09">
        <v>43028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37250</v>
      </c>
      <c r="B47" s="32"/>
      <c r="C47" s="32"/>
      <c r="D47" s="355">
        <f>+P37</f>
        <v>4717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47745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C35" sqref="C3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307</v>
      </c>
      <c r="C3" s="87"/>
      <c r="D3" s="87"/>
    </row>
    <row r="4" spans="1:4" x14ac:dyDescent="0.2">
      <c r="A4" s="3"/>
      <c r="B4" s="331" t="s">
        <v>306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-13990</v>
      </c>
      <c r="C6" s="11">
        <v>-14000</v>
      </c>
      <c r="D6" s="25">
        <f>+C6-B6</f>
        <v>-10</v>
      </c>
    </row>
    <row r="7" spans="1:4" x14ac:dyDescent="0.2">
      <c r="A7" s="10">
        <v>2</v>
      </c>
      <c r="B7" s="11">
        <v>-13992</v>
      </c>
      <c r="C7" s="11">
        <v>-14000</v>
      </c>
      <c r="D7" s="25">
        <f t="shared" ref="D7:D36" si="0">+C7-B7</f>
        <v>-8</v>
      </c>
    </row>
    <row r="8" spans="1:4" x14ac:dyDescent="0.2">
      <c r="A8" s="10">
        <v>3</v>
      </c>
      <c r="B8" s="129">
        <v>-14009</v>
      </c>
      <c r="C8" s="11">
        <v>-14000</v>
      </c>
      <c r="D8" s="25">
        <f t="shared" si="0"/>
        <v>9</v>
      </c>
    </row>
    <row r="9" spans="1:4" x14ac:dyDescent="0.2">
      <c r="A9" s="10">
        <v>4</v>
      </c>
      <c r="B9" s="129">
        <v>-14013</v>
      </c>
      <c r="C9" s="11">
        <v>-14000</v>
      </c>
      <c r="D9" s="25">
        <f t="shared" si="0"/>
        <v>13</v>
      </c>
    </row>
    <row r="10" spans="1:4" x14ac:dyDescent="0.2">
      <c r="A10" s="10">
        <v>5</v>
      </c>
      <c r="B10" s="129">
        <v>-13999</v>
      </c>
      <c r="C10" s="11">
        <v>-14000</v>
      </c>
      <c r="D10" s="25">
        <f t="shared" si="0"/>
        <v>-1</v>
      </c>
    </row>
    <row r="11" spans="1:4" x14ac:dyDescent="0.2">
      <c r="A11" s="10">
        <v>6</v>
      </c>
      <c r="B11" s="129">
        <v>-13873</v>
      </c>
      <c r="C11" s="11">
        <v>-13944</v>
      </c>
      <c r="D11" s="25">
        <f t="shared" si="0"/>
        <v>-71</v>
      </c>
    </row>
    <row r="12" spans="1:4" x14ac:dyDescent="0.2">
      <c r="A12" s="10">
        <v>7</v>
      </c>
      <c r="B12" s="129">
        <v>-14088</v>
      </c>
      <c r="C12" s="11">
        <v>-13955</v>
      </c>
      <c r="D12" s="25">
        <f t="shared" si="0"/>
        <v>133</v>
      </c>
    </row>
    <row r="13" spans="1:4" x14ac:dyDescent="0.2">
      <c r="A13" s="10">
        <v>8</v>
      </c>
      <c r="B13" s="11">
        <v>-13865</v>
      </c>
      <c r="C13" s="11">
        <v>-14000</v>
      </c>
      <c r="D13" s="25">
        <f t="shared" si="0"/>
        <v>-135</v>
      </c>
    </row>
    <row r="14" spans="1:4" x14ac:dyDescent="0.2">
      <c r="A14" s="10">
        <v>9</v>
      </c>
      <c r="B14" s="11">
        <v>-13897</v>
      </c>
      <c r="C14" s="11">
        <v>-14000</v>
      </c>
      <c r="D14" s="25">
        <f t="shared" si="0"/>
        <v>-103</v>
      </c>
    </row>
    <row r="15" spans="1:4" x14ac:dyDescent="0.2">
      <c r="A15" s="10">
        <v>10</v>
      </c>
      <c r="B15" s="11">
        <v>-13902</v>
      </c>
      <c r="C15" s="11">
        <v>-14000</v>
      </c>
      <c r="D15" s="25">
        <f t="shared" si="0"/>
        <v>-98</v>
      </c>
    </row>
    <row r="16" spans="1:4" x14ac:dyDescent="0.2">
      <c r="A16" s="10">
        <v>11</v>
      </c>
      <c r="B16" s="11">
        <v>-14419</v>
      </c>
      <c r="C16" s="11">
        <v>-14000</v>
      </c>
      <c r="D16" s="25">
        <f t="shared" si="0"/>
        <v>419</v>
      </c>
    </row>
    <row r="17" spans="1:4" x14ac:dyDescent="0.2">
      <c r="A17" s="10">
        <v>12</v>
      </c>
      <c r="B17" s="11">
        <v>-14067</v>
      </c>
      <c r="C17" s="11">
        <v>-14000</v>
      </c>
      <c r="D17" s="25">
        <f t="shared" si="0"/>
        <v>67</v>
      </c>
    </row>
    <row r="18" spans="1:4" x14ac:dyDescent="0.2">
      <c r="A18" s="10">
        <v>13</v>
      </c>
      <c r="B18" s="11">
        <v>-13881</v>
      </c>
      <c r="C18" s="11">
        <v>-14000</v>
      </c>
      <c r="D18" s="25">
        <f t="shared" si="0"/>
        <v>-119</v>
      </c>
    </row>
    <row r="19" spans="1:4" x14ac:dyDescent="0.2">
      <c r="A19" s="10">
        <v>14</v>
      </c>
      <c r="B19" s="11">
        <v>-13922</v>
      </c>
      <c r="C19" s="11">
        <v>-14000</v>
      </c>
      <c r="D19" s="25">
        <f t="shared" si="0"/>
        <v>-78</v>
      </c>
    </row>
    <row r="20" spans="1:4" x14ac:dyDescent="0.2">
      <c r="A20" s="10">
        <v>15</v>
      </c>
      <c r="B20" s="11">
        <v>-13942</v>
      </c>
      <c r="C20" s="11">
        <v>-14000</v>
      </c>
      <c r="D20" s="25">
        <f t="shared" si="0"/>
        <v>-58</v>
      </c>
    </row>
    <row r="21" spans="1:4" x14ac:dyDescent="0.2">
      <c r="A21" s="10">
        <v>16</v>
      </c>
      <c r="B21" s="11">
        <v>-13935</v>
      </c>
      <c r="C21" s="11">
        <v>-14000</v>
      </c>
      <c r="D21" s="25">
        <f t="shared" si="0"/>
        <v>-65</v>
      </c>
    </row>
    <row r="22" spans="1:4" x14ac:dyDescent="0.2">
      <c r="A22" s="10">
        <v>17</v>
      </c>
      <c r="B22" s="11">
        <v>-13937</v>
      </c>
      <c r="C22" s="11">
        <v>-14000</v>
      </c>
      <c r="D22" s="25">
        <f t="shared" si="0"/>
        <v>-63</v>
      </c>
    </row>
    <row r="23" spans="1:4" x14ac:dyDescent="0.2">
      <c r="A23" s="10">
        <v>18</v>
      </c>
      <c r="B23" s="11">
        <v>-13962</v>
      </c>
      <c r="C23" s="11">
        <v>-14000</v>
      </c>
      <c r="D23" s="25">
        <f t="shared" si="0"/>
        <v>-38</v>
      </c>
    </row>
    <row r="24" spans="1:4" x14ac:dyDescent="0.2">
      <c r="A24" s="10">
        <v>19</v>
      </c>
      <c r="B24" s="11">
        <v>-13945</v>
      </c>
      <c r="C24" s="11">
        <v>-14000</v>
      </c>
      <c r="D24" s="25">
        <f t="shared" si="0"/>
        <v>-55</v>
      </c>
    </row>
    <row r="25" spans="1:4" x14ac:dyDescent="0.2">
      <c r="A25" s="10">
        <v>20</v>
      </c>
      <c r="B25" s="11">
        <v>-13940</v>
      </c>
      <c r="C25" s="11">
        <v>-14000</v>
      </c>
      <c r="D25" s="25">
        <f t="shared" si="0"/>
        <v>-60</v>
      </c>
    </row>
    <row r="26" spans="1:4" x14ac:dyDescent="0.2">
      <c r="A26" s="10">
        <v>21</v>
      </c>
      <c r="B26" s="11">
        <v>-14194</v>
      </c>
      <c r="C26" s="11">
        <v>-14000</v>
      </c>
      <c r="D26" s="25">
        <f t="shared" si="0"/>
        <v>194</v>
      </c>
    </row>
    <row r="27" spans="1:4" x14ac:dyDescent="0.2">
      <c r="A27" s="10">
        <v>22</v>
      </c>
      <c r="B27" s="11">
        <v>-13922</v>
      </c>
      <c r="C27" s="11">
        <v>-14000</v>
      </c>
      <c r="D27" s="25">
        <f t="shared" si="0"/>
        <v>-78</v>
      </c>
    </row>
    <row r="28" spans="1:4" x14ac:dyDescent="0.2">
      <c r="A28" s="10">
        <v>23</v>
      </c>
      <c r="B28" s="11">
        <v>-13890</v>
      </c>
      <c r="C28" s="11">
        <v>-14000</v>
      </c>
      <c r="D28" s="25">
        <f t="shared" si="0"/>
        <v>-110</v>
      </c>
    </row>
    <row r="29" spans="1:4" x14ac:dyDescent="0.2">
      <c r="A29" s="10">
        <v>24</v>
      </c>
      <c r="B29" s="11">
        <v>-13307</v>
      </c>
      <c r="C29" s="11">
        <v>-14000</v>
      </c>
      <c r="D29" s="25">
        <f t="shared" si="0"/>
        <v>-693</v>
      </c>
    </row>
    <row r="30" spans="1:4" x14ac:dyDescent="0.2">
      <c r="A30" s="10">
        <v>25</v>
      </c>
      <c r="B30" s="11">
        <v>-12335</v>
      </c>
      <c r="C30" s="11">
        <v>-14000</v>
      </c>
      <c r="D30" s="25">
        <f t="shared" si="0"/>
        <v>-1665</v>
      </c>
    </row>
    <row r="31" spans="1:4" x14ac:dyDescent="0.2">
      <c r="A31" s="10">
        <v>26</v>
      </c>
      <c r="B31" s="11">
        <v>-11966</v>
      </c>
      <c r="C31" s="11">
        <v>-14000</v>
      </c>
      <c r="D31" s="25">
        <f t="shared" si="0"/>
        <v>-2034</v>
      </c>
    </row>
    <row r="32" spans="1:4" x14ac:dyDescent="0.2">
      <c r="A32" s="10">
        <v>27</v>
      </c>
      <c r="B32" s="11">
        <v>-13523</v>
      </c>
      <c r="C32" s="11">
        <v>-14000</v>
      </c>
      <c r="D32" s="25">
        <f t="shared" si="0"/>
        <v>-477</v>
      </c>
    </row>
    <row r="33" spans="1:4" x14ac:dyDescent="0.2">
      <c r="A33" s="10">
        <v>28</v>
      </c>
      <c r="B33" s="11">
        <v>-13409</v>
      </c>
      <c r="C33" s="11">
        <v>-14000</v>
      </c>
      <c r="D33" s="25">
        <f t="shared" si="0"/>
        <v>-591</v>
      </c>
    </row>
    <row r="34" spans="1:4" x14ac:dyDescent="0.2">
      <c r="A34" s="10">
        <v>29</v>
      </c>
      <c r="B34" s="11">
        <v>-13403</v>
      </c>
      <c r="C34" s="11">
        <v>-14000</v>
      </c>
      <c r="D34" s="25">
        <f t="shared" si="0"/>
        <v>-597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-399527</v>
      </c>
      <c r="C37" s="11">
        <f>SUM(C6:C36)</f>
        <v>-405899</v>
      </c>
      <c r="D37" s="25">
        <f>SUM(D6:D36)</f>
        <v>-6372</v>
      </c>
    </row>
    <row r="38" spans="1:4" x14ac:dyDescent="0.2">
      <c r="A38" s="26"/>
      <c r="C38" s="14"/>
      <c r="D38" s="329">
        <f>+summary!H4</f>
        <v>2.21</v>
      </c>
    </row>
    <row r="39" spans="1:4" x14ac:dyDescent="0.2">
      <c r="D39" s="138">
        <f>+D38*D37</f>
        <v>-14082.119999999999</v>
      </c>
    </row>
    <row r="40" spans="1:4" x14ac:dyDescent="0.2">
      <c r="A40" s="57">
        <v>37225</v>
      </c>
      <c r="C40" s="15"/>
      <c r="D40" s="519">
        <v>-482.28</v>
      </c>
    </row>
    <row r="41" spans="1:4" x14ac:dyDescent="0.2">
      <c r="A41" s="57">
        <v>37254</v>
      </c>
      <c r="C41" s="48"/>
      <c r="D41" s="138">
        <f>+D40+D39</f>
        <v>-14564.4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12777</v>
      </c>
    </row>
    <row r="47" spans="1:4" x14ac:dyDescent="0.2">
      <c r="A47" s="49">
        <f>+A41</f>
        <v>37254</v>
      </c>
      <c r="B47" s="32"/>
      <c r="C47" s="32"/>
      <c r="D47" s="355">
        <f>+D37</f>
        <v>-6372</v>
      </c>
    </row>
    <row r="48" spans="1:4" x14ac:dyDescent="0.2">
      <c r="A48" s="32"/>
      <c r="B48" s="32"/>
      <c r="C48" s="32"/>
      <c r="D48" s="14">
        <f>+D47+D46</f>
        <v>6405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">
      <c r="A9" s="10">
        <v>3</v>
      </c>
      <c r="B9" s="11">
        <v>159349</v>
      </c>
      <c r="C9" s="11">
        <v>165965</v>
      </c>
      <c r="D9" s="25">
        <f t="shared" ref="D9:D37" si="0">+C9-B9</f>
        <v>6616</v>
      </c>
    </row>
    <row r="10" spans="1:4" x14ac:dyDescent="0.2">
      <c r="A10" s="10">
        <v>4</v>
      </c>
      <c r="B10" s="11">
        <v>155848</v>
      </c>
      <c r="C10" s="11">
        <v>155735</v>
      </c>
      <c r="D10" s="25">
        <f t="shared" si="0"/>
        <v>-113</v>
      </c>
    </row>
    <row r="11" spans="1:4" x14ac:dyDescent="0.2">
      <c r="A11" s="10">
        <v>5</v>
      </c>
      <c r="B11" s="129">
        <v>166911</v>
      </c>
      <c r="C11" s="11">
        <v>168136</v>
      </c>
      <c r="D11" s="25">
        <f t="shared" si="0"/>
        <v>1225</v>
      </c>
    </row>
    <row r="12" spans="1:4" x14ac:dyDescent="0.2">
      <c r="A12" s="10">
        <v>6</v>
      </c>
      <c r="B12" s="11">
        <v>181580</v>
      </c>
      <c r="C12" s="11">
        <v>183336</v>
      </c>
      <c r="D12" s="25">
        <f t="shared" si="0"/>
        <v>1756</v>
      </c>
    </row>
    <row r="13" spans="1:4" x14ac:dyDescent="0.2">
      <c r="A13" s="10">
        <v>7</v>
      </c>
      <c r="B13" s="129">
        <v>184934</v>
      </c>
      <c r="C13" s="11">
        <v>184986</v>
      </c>
      <c r="D13" s="25">
        <f t="shared" si="0"/>
        <v>52</v>
      </c>
    </row>
    <row r="14" spans="1:4" x14ac:dyDescent="0.2">
      <c r="A14" s="10">
        <v>8</v>
      </c>
      <c r="B14" s="11">
        <v>195682</v>
      </c>
      <c r="C14" s="11">
        <v>194987</v>
      </c>
      <c r="D14" s="25">
        <f t="shared" si="0"/>
        <v>-695</v>
      </c>
    </row>
    <row r="15" spans="1:4" x14ac:dyDescent="0.2">
      <c r="A15" s="10">
        <v>9</v>
      </c>
      <c r="B15" s="11">
        <v>197184</v>
      </c>
      <c r="C15" s="11">
        <v>204987</v>
      </c>
      <c r="D15" s="25">
        <f t="shared" si="0"/>
        <v>7803</v>
      </c>
    </row>
    <row r="16" spans="1:4" x14ac:dyDescent="0.2">
      <c r="A16" s="10">
        <v>10</v>
      </c>
      <c r="B16" s="11">
        <v>172328</v>
      </c>
      <c r="C16" s="11">
        <v>172131</v>
      </c>
      <c r="D16" s="25">
        <f t="shared" si="0"/>
        <v>-197</v>
      </c>
    </row>
    <row r="17" spans="1:4" x14ac:dyDescent="0.2">
      <c r="A17" s="10">
        <v>11</v>
      </c>
      <c r="B17" s="11">
        <v>168128</v>
      </c>
      <c r="C17" s="11">
        <v>169997</v>
      </c>
      <c r="D17" s="25">
        <f t="shared" si="0"/>
        <v>1869</v>
      </c>
    </row>
    <row r="18" spans="1:4" x14ac:dyDescent="0.2">
      <c r="A18" s="10">
        <v>12</v>
      </c>
      <c r="B18" s="11">
        <v>179190</v>
      </c>
      <c r="C18" s="11">
        <v>178987</v>
      </c>
      <c r="D18" s="25">
        <f t="shared" si="0"/>
        <v>-203</v>
      </c>
    </row>
    <row r="19" spans="1:4" x14ac:dyDescent="0.2">
      <c r="A19" s="10">
        <v>13</v>
      </c>
      <c r="B19" s="11">
        <v>195118</v>
      </c>
      <c r="C19" s="11">
        <v>194973</v>
      </c>
      <c r="D19" s="25">
        <f t="shared" si="0"/>
        <v>-145</v>
      </c>
    </row>
    <row r="20" spans="1:4" x14ac:dyDescent="0.2">
      <c r="A20" s="10">
        <v>14</v>
      </c>
      <c r="B20" s="11">
        <v>157810</v>
      </c>
      <c r="C20" s="11">
        <v>157053</v>
      </c>
      <c r="D20" s="25">
        <f t="shared" si="0"/>
        <v>-757</v>
      </c>
    </row>
    <row r="21" spans="1:4" x14ac:dyDescent="0.2">
      <c r="A21" s="10">
        <v>15</v>
      </c>
      <c r="B21" s="11">
        <v>172272</v>
      </c>
      <c r="C21" s="11">
        <v>173740</v>
      </c>
      <c r="D21" s="25">
        <f t="shared" si="0"/>
        <v>1468</v>
      </c>
    </row>
    <row r="22" spans="1:4" x14ac:dyDescent="0.2">
      <c r="A22" s="10">
        <v>16</v>
      </c>
      <c r="B22" s="11">
        <v>174151</v>
      </c>
      <c r="C22" s="11">
        <v>174108</v>
      </c>
      <c r="D22" s="25">
        <f t="shared" si="0"/>
        <v>-43</v>
      </c>
    </row>
    <row r="23" spans="1:4" x14ac:dyDescent="0.2">
      <c r="A23" s="10">
        <v>17</v>
      </c>
      <c r="B23" s="11">
        <v>175009</v>
      </c>
      <c r="C23" s="11">
        <v>175353</v>
      </c>
      <c r="D23" s="25">
        <f t="shared" si="0"/>
        <v>344</v>
      </c>
    </row>
    <row r="24" spans="1:4" x14ac:dyDescent="0.2">
      <c r="A24" s="10">
        <v>18</v>
      </c>
      <c r="B24" s="11">
        <v>177850</v>
      </c>
      <c r="C24" s="11">
        <v>179956</v>
      </c>
      <c r="D24" s="25">
        <f t="shared" si="0"/>
        <v>2106</v>
      </c>
    </row>
    <row r="25" spans="1:4" x14ac:dyDescent="0.2">
      <c r="A25" s="10">
        <v>19</v>
      </c>
      <c r="B25" s="11">
        <v>158764</v>
      </c>
      <c r="C25" s="11">
        <v>158266</v>
      </c>
      <c r="D25" s="25">
        <f t="shared" si="0"/>
        <v>-498</v>
      </c>
    </row>
    <row r="26" spans="1:4" x14ac:dyDescent="0.2">
      <c r="A26" s="10">
        <v>20</v>
      </c>
      <c r="B26" s="129">
        <v>186649</v>
      </c>
      <c r="C26" s="11">
        <v>186182</v>
      </c>
      <c r="D26" s="25">
        <f t="shared" si="0"/>
        <v>-467</v>
      </c>
    </row>
    <row r="27" spans="1:4" x14ac:dyDescent="0.2">
      <c r="A27" s="10">
        <v>21</v>
      </c>
      <c r="B27" s="129">
        <v>162604</v>
      </c>
      <c r="C27" s="11">
        <v>162287</v>
      </c>
      <c r="D27" s="25">
        <f t="shared" si="0"/>
        <v>-317</v>
      </c>
    </row>
    <row r="28" spans="1:4" x14ac:dyDescent="0.2">
      <c r="A28" s="10">
        <v>22</v>
      </c>
      <c r="B28" s="11">
        <v>174669</v>
      </c>
      <c r="C28" s="11">
        <v>175804</v>
      </c>
      <c r="D28" s="25">
        <f t="shared" si="0"/>
        <v>1135</v>
      </c>
    </row>
    <row r="29" spans="1:4" x14ac:dyDescent="0.2">
      <c r="A29" s="10">
        <v>23</v>
      </c>
      <c r="B29" s="11">
        <v>170787</v>
      </c>
      <c r="C29" s="11">
        <v>174484</v>
      </c>
      <c r="D29" s="25">
        <f t="shared" si="0"/>
        <v>3697</v>
      </c>
    </row>
    <row r="30" spans="1:4" x14ac:dyDescent="0.2">
      <c r="A30" s="10">
        <v>24</v>
      </c>
      <c r="B30" s="11">
        <v>165583</v>
      </c>
      <c r="C30" s="11">
        <v>175686</v>
      </c>
      <c r="D30" s="25">
        <f t="shared" si="0"/>
        <v>10103</v>
      </c>
    </row>
    <row r="31" spans="1:4" x14ac:dyDescent="0.2">
      <c r="A31" s="10">
        <v>25</v>
      </c>
      <c r="B31" s="11">
        <v>168571</v>
      </c>
      <c r="C31" s="11">
        <v>176187</v>
      </c>
      <c r="D31" s="25">
        <f t="shared" si="0"/>
        <v>7616</v>
      </c>
    </row>
    <row r="32" spans="1:4" x14ac:dyDescent="0.2">
      <c r="A32" s="10">
        <v>26</v>
      </c>
      <c r="B32" s="11">
        <v>155227</v>
      </c>
      <c r="C32" s="11">
        <v>153977</v>
      </c>
      <c r="D32" s="25">
        <f t="shared" si="0"/>
        <v>-1250</v>
      </c>
    </row>
    <row r="33" spans="1:8" x14ac:dyDescent="0.2">
      <c r="A33" s="10">
        <v>27</v>
      </c>
      <c r="B33" s="11">
        <v>156985</v>
      </c>
      <c r="C33" s="11">
        <v>155299</v>
      </c>
      <c r="D33" s="25">
        <f t="shared" si="0"/>
        <v>-1686</v>
      </c>
    </row>
    <row r="34" spans="1:8" x14ac:dyDescent="0.2">
      <c r="A34" s="10">
        <v>28</v>
      </c>
      <c r="B34" s="11">
        <v>150819</v>
      </c>
      <c r="C34" s="11">
        <v>146187</v>
      </c>
      <c r="D34" s="25">
        <f t="shared" si="0"/>
        <v>-4632</v>
      </c>
    </row>
    <row r="35" spans="1:8" x14ac:dyDescent="0.2">
      <c r="A35" s="10">
        <v>29</v>
      </c>
      <c r="B35" s="11">
        <v>147069</v>
      </c>
      <c r="C35" s="11">
        <v>146635</v>
      </c>
      <c r="D35" s="25">
        <f t="shared" si="0"/>
        <v>-434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4921301</v>
      </c>
      <c r="C38" s="11">
        <f>SUM(C7:C37)</f>
        <v>4953314</v>
      </c>
      <c r="D38" s="11">
        <f>SUM(D7:D37)</f>
        <v>32013</v>
      </c>
    </row>
    <row r="39" spans="1:8" x14ac:dyDescent="0.2">
      <c r="A39" s="26"/>
      <c r="C39" s="14"/>
      <c r="D39" s="106">
        <f>+summary!H3</f>
        <v>2.2000000000000002</v>
      </c>
    </row>
    <row r="40" spans="1:8" x14ac:dyDescent="0.2">
      <c r="D40" s="138">
        <f>+D39*D38</f>
        <v>70428.600000000006</v>
      </c>
      <c r="H40">
        <v>20</v>
      </c>
    </row>
    <row r="41" spans="1:8" x14ac:dyDescent="0.2">
      <c r="A41" s="57">
        <v>37225</v>
      </c>
      <c r="C41" s="15"/>
      <c r="D41" s="542">
        <v>-23010</v>
      </c>
      <c r="H41">
        <v>530</v>
      </c>
    </row>
    <row r="42" spans="1:8" x14ac:dyDescent="0.2">
      <c r="A42" s="57">
        <v>37254</v>
      </c>
      <c r="D42" s="322">
        <f>+D41+D40</f>
        <v>47418.600000000006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152</v>
      </c>
      <c r="B46" s="32"/>
      <c r="C46" s="32"/>
      <c r="D46" s="32"/>
    </row>
    <row r="47" spans="1:8" x14ac:dyDescent="0.2">
      <c r="A47" s="49">
        <f>+A41</f>
        <v>37225</v>
      </c>
      <c r="B47" s="32"/>
      <c r="C47" s="32"/>
      <c r="D47" s="509">
        <v>-10969</v>
      </c>
    </row>
    <row r="48" spans="1:8" x14ac:dyDescent="0.2">
      <c r="A48" s="49">
        <f>+A42</f>
        <v>37254</v>
      </c>
      <c r="B48" s="32"/>
      <c r="C48" s="32"/>
      <c r="D48" s="355">
        <f>+D38</f>
        <v>32013</v>
      </c>
    </row>
    <row r="49" spans="1:4" x14ac:dyDescent="0.2">
      <c r="A49" s="32"/>
      <c r="B49" s="32"/>
      <c r="C49" s="32"/>
      <c r="D49" s="14">
        <f>+D48+D47</f>
        <v>21044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5" workbookViewId="0">
      <selection activeCell="A41" sqref="A4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">
      <c r="A7" s="10">
        <v>4</v>
      </c>
      <c r="B7" s="129">
        <v>-223094</v>
      </c>
      <c r="C7" s="11">
        <v>-223017</v>
      </c>
      <c r="D7" s="25">
        <f t="shared" si="0"/>
        <v>77</v>
      </c>
    </row>
    <row r="8" spans="1:4" x14ac:dyDescent="0.2">
      <c r="A8" s="10">
        <v>5</v>
      </c>
      <c r="B8" s="129">
        <v>-202987</v>
      </c>
      <c r="C8" s="11">
        <v>-201864</v>
      </c>
      <c r="D8" s="25">
        <f t="shared" si="0"/>
        <v>1123</v>
      </c>
    </row>
    <row r="9" spans="1:4" x14ac:dyDescent="0.2">
      <c r="A9" s="10">
        <v>6</v>
      </c>
      <c r="B9" s="129">
        <v>-227458</v>
      </c>
      <c r="C9" s="11">
        <v>-226646</v>
      </c>
      <c r="D9" s="25">
        <f t="shared" si="0"/>
        <v>812</v>
      </c>
    </row>
    <row r="10" spans="1:4" x14ac:dyDescent="0.2">
      <c r="A10" s="10">
        <v>7</v>
      </c>
      <c r="B10" s="129">
        <v>-263167</v>
      </c>
      <c r="C10" s="11">
        <v>-260228</v>
      </c>
      <c r="D10" s="25">
        <f t="shared" si="0"/>
        <v>2939</v>
      </c>
    </row>
    <row r="11" spans="1:4" x14ac:dyDescent="0.2">
      <c r="A11" s="10">
        <v>8</v>
      </c>
      <c r="B11" s="11">
        <v>-228626</v>
      </c>
      <c r="C11" s="11">
        <v>-227753</v>
      </c>
      <c r="D11" s="25">
        <f t="shared" si="0"/>
        <v>873</v>
      </c>
    </row>
    <row r="12" spans="1:4" x14ac:dyDescent="0.2">
      <c r="A12" s="10">
        <v>9</v>
      </c>
      <c r="B12" s="11">
        <v>-224124</v>
      </c>
      <c r="C12" s="11">
        <v>-223027</v>
      </c>
      <c r="D12" s="25">
        <f t="shared" si="0"/>
        <v>1097</v>
      </c>
    </row>
    <row r="13" spans="1:4" x14ac:dyDescent="0.2">
      <c r="A13" s="10">
        <v>10</v>
      </c>
      <c r="B13" s="11">
        <v>-223650</v>
      </c>
      <c r="C13" s="11">
        <v>-222542</v>
      </c>
      <c r="D13" s="25">
        <f t="shared" si="0"/>
        <v>1108</v>
      </c>
    </row>
    <row r="14" spans="1:4" x14ac:dyDescent="0.2">
      <c r="A14" s="10">
        <v>11</v>
      </c>
      <c r="B14" s="11">
        <v>-215716</v>
      </c>
      <c r="C14" s="11">
        <v>-219327</v>
      </c>
      <c r="D14" s="25">
        <f t="shared" si="0"/>
        <v>-3611</v>
      </c>
    </row>
    <row r="15" spans="1:4" x14ac:dyDescent="0.2">
      <c r="A15" s="10">
        <v>12</v>
      </c>
      <c r="B15" s="11">
        <v>-227714</v>
      </c>
      <c r="C15" s="11">
        <v>-232393</v>
      </c>
      <c r="D15" s="25">
        <f t="shared" si="0"/>
        <v>-4679</v>
      </c>
    </row>
    <row r="16" spans="1:4" x14ac:dyDescent="0.2">
      <c r="A16" s="10">
        <v>13</v>
      </c>
      <c r="B16" s="11">
        <v>-231329</v>
      </c>
      <c r="C16" s="11">
        <v>-233000</v>
      </c>
      <c r="D16" s="25">
        <f t="shared" si="0"/>
        <v>-1671</v>
      </c>
    </row>
    <row r="17" spans="1:4" x14ac:dyDescent="0.2">
      <c r="A17" s="10">
        <v>14</v>
      </c>
      <c r="B17" s="11">
        <v>-230200</v>
      </c>
      <c r="C17" s="11">
        <v>-229000</v>
      </c>
      <c r="D17" s="25">
        <f t="shared" si="0"/>
        <v>1200</v>
      </c>
    </row>
    <row r="18" spans="1:4" x14ac:dyDescent="0.2">
      <c r="A18" s="10">
        <v>15</v>
      </c>
      <c r="B18" s="11">
        <v>-230745</v>
      </c>
      <c r="C18" s="11">
        <v>-229607</v>
      </c>
      <c r="D18" s="25">
        <f t="shared" si="0"/>
        <v>1138</v>
      </c>
    </row>
    <row r="19" spans="1:4" x14ac:dyDescent="0.2">
      <c r="A19" s="10">
        <v>16</v>
      </c>
      <c r="B19" s="11">
        <v>-230998</v>
      </c>
      <c r="C19" s="11">
        <v>-229607</v>
      </c>
      <c r="D19" s="25">
        <f t="shared" si="0"/>
        <v>1391</v>
      </c>
    </row>
    <row r="20" spans="1:4" x14ac:dyDescent="0.2">
      <c r="A20" s="10">
        <v>17</v>
      </c>
      <c r="B20" s="11">
        <v>-229707</v>
      </c>
      <c r="C20" s="11">
        <v>-229607</v>
      </c>
      <c r="D20" s="25">
        <f t="shared" si="0"/>
        <v>100</v>
      </c>
    </row>
    <row r="21" spans="1:4" x14ac:dyDescent="0.2">
      <c r="A21" s="10">
        <v>18</v>
      </c>
      <c r="B21" s="129">
        <v>-233610</v>
      </c>
      <c r="C21" s="11">
        <v>-233000</v>
      </c>
      <c r="D21" s="25">
        <f t="shared" si="0"/>
        <v>610</v>
      </c>
    </row>
    <row r="22" spans="1:4" x14ac:dyDescent="0.2">
      <c r="A22" s="10">
        <v>19</v>
      </c>
      <c r="B22" s="129">
        <v>-235344</v>
      </c>
      <c r="C22" s="11">
        <v>-238000</v>
      </c>
      <c r="D22" s="25">
        <f t="shared" si="0"/>
        <v>-2656</v>
      </c>
    </row>
    <row r="23" spans="1:4" x14ac:dyDescent="0.2">
      <c r="A23" s="10">
        <v>20</v>
      </c>
      <c r="B23" s="11">
        <v>-231606</v>
      </c>
      <c r="C23" s="11">
        <v>-229608</v>
      </c>
      <c r="D23" s="25">
        <f t="shared" si="0"/>
        <v>1998</v>
      </c>
    </row>
    <row r="24" spans="1:4" x14ac:dyDescent="0.2">
      <c r="A24" s="10">
        <v>21</v>
      </c>
      <c r="B24" s="129">
        <v>-240415</v>
      </c>
      <c r="C24" s="11">
        <v>-239608</v>
      </c>
      <c r="D24" s="25">
        <f t="shared" si="0"/>
        <v>807</v>
      </c>
    </row>
    <row r="25" spans="1:4" x14ac:dyDescent="0.2">
      <c r="A25" s="10">
        <v>22</v>
      </c>
      <c r="B25" s="11">
        <v>-256467</v>
      </c>
      <c r="C25" s="11">
        <v>-265500</v>
      </c>
      <c r="D25" s="25">
        <f t="shared" si="0"/>
        <v>-9033</v>
      </c>
    </row>
    <row r="26" spans="1:4" x14ac:dyDescent="0.2">
      <c r="A26" s="10">
        <v>23</v>
      </c>
      <c r="B26" s="129">
        <v>-289123</v>
      </c>
      <c r="C26" s="11">
        <v>-288300</v>
      </c>
      <c r="D26" s="25">
        <f t="shared" si="0"/>
        <v>823</v>
      </c>
    </row>
    <row r="27" spans="1:4" x14ac:dyDescent="0.2">
      <c r="A27" s="10">
        <v>24</v>
      </c>
      <c r="B27" s="129">
        <v>-269224</v>
      </c>
      <c r="C27" s="11">
        <v>-268300</v>
      </c>
      <c r="D27" s="25">
        <f t="shared" si="0"/>
        <v>924</v>
      </c>
    </row>
    <row r="28" spans="1:4" x14ac:dyDescent="0.2">
      <c r="A28" s="10">
        <v>25</v>
      </c>
      <c r="B28" s="129">
        <v>-238499</v>
      </c>
      <c r="C28" s="11">
        <v>-238000</v>
      </c>
      <c r="D28" s="25">
        <f t="shared" si="0"/>
        <v>499</v>
      </c>
    </row>
    <row r="29" spans="1:4" x14ac:dyDescent="0.2">
      <c r="A29" s="10">
        <v>26</v>
      </c>
      <c r="B29" s="129">
        <v>-228743</v>
      </c>
      <c r="C29" s="11">
        <v>-238000</v>
      </c>
      <c r="D29" s="25">
        <f t="shared" si="0"/>
        <v>-9257</v>
      </c>
    </row>
    <row r="30" spans="1:4" x14ac:dyDescent="0.2">
      <c r="A30" s="10">
        <v>27</v>
      </c>
      <c r="B30" s="129">
        <v>-228631</v>
      </c>
      <c r="C30" s="11">
        <v>-237022</v>
      </c>
      <c r="D30" s="25">
        <f t="shared" si="0"/>
        <v>-8391</v>
      </c>
    </row>
    <row r="31" spans="1:4" x14ac:dyDescent="0.2">
      <c r="A31" s="10">
        <v>28</v>
      </c>
      <c r="B31" s="129">
        <v>-231575</v>
      </c>
      <c r="C31" s="11">
        <v>-230760</v>
      </c>
      <c r="D31" s="25">
        <f t="shared" si="0"/>
        <v>815</v>
      </c>
    </row>
    <row r="32" spans="1:4" x14ac:dyDescent="0.2">
      <c r="A32" s="10">
        <v>29</v>
      </c>
      <c r="B32" s="129">
        <v>-234609</v>
      </c>
      <c r="C32" s="11">
        <v>-235000</v>
      </c>
      <c r="D32" s="25">
        <f t="shared" si="0"/>
        <v>-391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-6740947</v>
      </c>
      <c r="C35" s="11">
        <f>SUM(C4:C34)</f>
        <v>-6758895</v>
      </c>
      <c r="D35" s="11">
        <f>SUM(D4:D34)</f>
        <v>-17948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37225</v>
      </c>
      <c r="D38" s="531">
        <v>74202</v>
      </c>
    </row>
    <row r="39" spans="1:30" x14ac:dyDescent="0.2">
      <c r="A39" s="12"/>
      <c r="D39" s="51"/>
    </row>
    <row r="40" spans="1:30" x14ac:dyDescent="0.2">
      <c r="A40" s="245">
        <v>37254</v>
      </c>
      <c r="D40" s="51">
        <f>+D38+D35</f>
        <v>56254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153</v>
      </c>
      <c r="B44" s="32"/>
      <c r="C44" s="32"/>
      <c r="D44" s="485"/>
      <c r="K44"/>
    </row>
    <row r="45" spans="1:30" x14ac:dyDescent="0.2">
      <c r="A45" s="49">
        <f>+A38</f>
        <v>37225</v>
      </c>
      <c r="B45" s="32"/>
      <c r="C45" s="32"/>
      <c r="D45" s="502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37254</v>
      </c>
      <c r="B46" s="32"/>
      <c r="C46" s="32"/>
      <c r="D46" s="382">
        <f>+D35*'by type_area'!J4</f>
        <v>-39665.08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6832.9199999999983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A41" sqref="A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">
      <c r="A5" s="10">
        <v>2</v>
      </c>
      <c r="B5" s="11">
        <f>-730195</f>
        <v>-730195</v>
      </c>
      <c r="C5" s="11">
        <f>-728895-10000</f>
        <v>-738895</v>
      </c>
      <c r="D5" s="11"/>
      <c r="E5" s="11"/>
      <c r="F5" s="25">
        <f t="shared" ref="F5:F34" si="0">+C5-B5+E5-D5</f>
        <v>-8700</v>
      </c>
      <c r="H5" s="10"/>
      <c r="I5" s="11"/>
    </row>
    <row r="6" spans="1:11" x14ac:dyDescent="0.2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">
      <c r="A7" s="10">
        <v>4</v>
      </c>
      <c r="B7" s="11">
        <v>-702439</v>
      </c>
      <c r="C7" s="11">
        <v>-710951</v>
      </c>
      <c r="D7" s="11"/>
      <c r="E7" s="11"/>
      <c r="F7" s="25">
        <f t="shared" si="0"/>
        <v>-8512</v>
      </c>
      <c r="H7" s="10"/>
      <c r="I7" s="11"/>
      <c r="K7" s="25"/>
    </row>
    <row r="8" spans="1:11" x14ac:dyDescent="0.2">
      <c r="A8" s="10">
        <v>5</v>
      </c>
      <c r="B8" s="129">
        <v>-710737</v>
      </c>
      <c r="C8" s="11">
        <v>-709528</v>
      </c>
      <c r="D8" s="11"/>
      <c r="E8" s="11"/>
      <c r="F8" s="25">
        <f t="shared" si="0"/>
        <v>1209</v>
      </c>
      <c r="H8" s="10"/>
      <c r="I8" s="11"/>
    </row>
    <row r="9" spans="1:11" x14ac:dyDescent="0.2">
      <c r="A9" s="10">
        <v>6</v>
      </c>
      <c r="B9" s="11">
        <v>-724060</v>
      </c>
      <c r="C9" s="11">
        <v>-724723</v>
      </c>
      <c r="D9" s="11"/>
      <c r="E9" s="11"/>
      <c r="F9" s="25">
        <f t="shared" si="0"/>
        <v>-663</v>
      </c>
      <c r="H9" s="10"/>
      <c r="I9" s="11"/>
    </row>
    <row r="10" spans="1:11" x14ac:dyDescent="0.2">
      <c r="A10" s="10">
        <v>7</v>
      </c>
      <c r="B10" s="129">
        <v>-747369</v>
      </c>
      <c r="C10" s="11">
        <v>-746978</v>
      </c>
      <c r="D10" s="129"/>
      <c r="E10" s="11"/>
      <c r="F10" s="25">
        <f t="shared" si="0"/>
        <v>391</v>
      </c>
      <c r="H10" s="10"/>
      <c r="I10" s="11"/>
    </row>
    <row r="11" spans="1:11" x14ac:dyDescent="0.2">
      <c r="A11" s="10">
        <v>8</v>
      </c>
      <c r="B11" s="11">
        <v>-762345</v>
      </c>
      <c r="C11" s="11">
        <v>-763214</v>
      </c>
      <c r="D11" s="11"/>
      <c r="E11" s="11"/>
      <c r="F11" s="25">
        <f t="shared" si="0"/>
        <v>-869</v>
      </c>
      <c r="H11" s="10"/>
      <c r="I11" s="11"/>
    </row>
    <row r="12" spans="1:11" x14ac:dyDescent="0.2">
      <c r="A12" s="10">
        <v>9</v>
      </c>
      <c r="B12" s="11">
        <v>-753963</v>
      </c>
      <c r="C12" s="11">
        <v>-756703</v>
      </c>
      <c r="D12" s="11"/>
      <c r="E12" s="11"/>
      <c r="F12" s="25">
        <f t="shared" si="0"/>
        <v>-2740</v>
      </c>
      <c r="H12" s="10"/>
      <c r="I12" s="11"/>
    </row>
    <row r="13" spans="1:11" x14ac:dyDescent="0.2">
      <c r="A13" s="10">
        <v>10</v>
      </c>
      <c r="B13" s="11">
        <v>-755573</v>
      </c>
      <c r="C13" s="11">
        <v>-756009</v>
      </c>
      <c r="D13" s="129"/>
      <c r="E13" s="11"/>
      <c r="F13" s="25">
        <f t="shared" si="0"/>
        <v>-436</v>
      </c>
      <c r="H13" s="10"/>
      <c r="I13" s="11"/>
    </row>
    <row r="14" spans="1:11" x14ac:dyDescent="0.2">
      <c r="A14" s="10">
        <v>11</v>
      </c>
      <c r="B14" s="11">
        <v>-762551</v>
      </c>
      <c r="C14" s="11">
        <v>-756396</v>
      </c>
      <c r="D14" s="11"/>
      <c r="E14" s="11"/>
      <c r="F14" s="25">
        <f t="shared" si="0"/>
        <v>6155</v>
      </c>
      <c r="H14" s="10"/>
      <c r="I14" s="11"/>
    </row>
    <row r="15" spans="1:11" x14ac:dyDescent="0.2">
      <c r="A15" s="10">
        <v>12</v>
      </c>
      <c r="B15" s="11">
        <v>-757415</v>
      </c>
      <c r="C15" s="11">
        <v>-758111</v>
      </c>
      <c r="D15" s="11"/>
      <c r="E15" s="11"/>
      <c r="F15" s="25">
        <f t="shared" si="0"/>
        <v>-696</v>
      </c>
      <c r="H15" s="10"/>
      <c r="I15" s="11"/>
    </row>
    <row r="16" spans="1:11" x14ac:dyDescent="0.2">
      <c r="A16" s="10">
        <v>13</v>
      </c>
      <c r="B16" s="11">
        <v>-752936</v>
      </c>
      <c r="C16" s="11">
        <v>-773274</v>
      </c>
      <c r="D16" s="11"/>
      <c r="E16" s="11"/>
      <c r="F16" s="25">
        <f t="shared" si="0"/>
        <v>-20338</v>
      </c>
      <c r="H16" s="10"/>
      <c r="I16" s="11"/>
      <c r="K16" s="25"/>
    </row>
    <row r="17" spans="1:11" x14ac:dyDescent="0.2">
      <c r="A17" s="10">
        <v>14</v>
      </c>
      <c r="B17" s="11">
        <v>-767245</v>
      </c>
      <c r="C17" s="11">
        <v>-768253</v>
      </c>
      <c r="D17" s="11"/>
      <c r="E17" s="11"/>
      <c r="F17" s="25">
        <f t="shared" si="0"/>
        <v>-1008</v>
      </c>
      <c r="H17" s="10"/>
      <c r="I17" s="11"/>
    </row>
    <row r="18" spans="1:11" x14ac:dyDescent="0.2">
      <c r="A18" s="10">
        <v>15</v>
      </c>
      <c r="B18" s="11">
        <v>-773091</v>
      </c>
      <c r="C18" s="11">
        <v>-772836</v>
      </c>
      <c r="D18" s="11"/>
      <c r="E18" s="11"/>
      <c r="F18" s="25">
        <f t="shared" si="0"/>
        <v>255</v>
      </c>
      <c r="H18" s="10"/>
      <c r="I18" s="11"/>
    </row>
    <row r="19" spans="1:11" x14ac:dyDescent="0.2">
      <c r="A19" s="10">
        <v>16</v>
      </c>
      <c r="B19" s="11">
        <v>-770638</v>
      </c>
      <c r="C19" s="11">
        <v>-773317</v>
      </c>
      <c r="D19" s="11"/>
      <c r="E19" s="11"/>
      <c r="F19" s="25">
        <f t="shared" si="0"/>
        <v>-2679</v>
      </c>
      <c r="H19" s="10"/>
      <c r="I19" s="11"/>
    </row>
    <row r="20" spans="1:11" x14ac:dyDescent="0.2">
      <c r="A20" s="10">
        <v>17</v>
      </c>
      <c r="B20" s="11">
        <v>-718667</v>
      </c>
      <c r="C20" s="11">
        <v>-710056</v>
      </c>
      <c r="D20" s="11"/>
      <c r="E20" s="11"/>
      <c r="F20" s="25">
        <f t="shared" si="0"/>
        <v>8611</v>
      </c>
      <c r="H20" s="10"/>
      <c r="I20" s="11"/>
    </row>
    <row r="21" spans="1:11" x14ac:dyDescent="0.2">
      <c r="A21" s="10">
        <v>18</v>
      </c>
      <c r="B21" s="11">
        <v>-754249</v>
      </c>
      <c r="C21" s="11">
        <v>-726250</v>
      </c>
      <c r="D21" s="11"/>
      <c r="E21" s="11"/>
      <c r="F21" s="25">
        <f t="shared" si="0"/>
        <v>27999</v>
      </c>
      <c r="H21" s="10"/>
      <c r="I21" s="11"/>
    </row>
    <row r="22" spans="1:11" x14ac:dyDescent="0.2">
      <c r="A22" s="10">
        <v>19</v>
      </c>
      <c r="B22" s="129">
        <v>-738651</v>
      </c>
      <c r="C22" s="11">
        <v>-734286</v>
      </c>
      <c r="D22" s="11"/>
      <c r="E22" s="11"/>
      <c r="F22" s="25">
        <f t="shared" si="0"/>
        <v>4365</v>
      </c>
      <c r="H22" s="10"/>
      <c r="I22" s="11"/>
    </row>
    <row r="23" spans="1:11" x14ac:dyDescent="0.2">
      <c r="A23" s="10">
        <v>20</v>
      </c>
      <c r="B23" s="129">
        <v>-715839</v>
      </c>
      <c r="C23" s="11">
        <v>-716580</v>
      </c>
      <c r="D23" s="11"/>
      <c r="E23" s="11"/>
      <c r="F23" s="25">
        <f t="shared" si="0"/>
        <v>-741</v>
      </c>
      <c r="H23" s="10"/>
      <c r="I23" s="11"/>
    </row>
    <row r="24" spans="1:11" x14ac:dyDescent="0.2">
      <c r="A24" s="10">
        <v>21</v>
      </c>
      <c r="B24" s="11">
        <v>-616464</v>
      </c>
      <c r="C24" s="11">
        <v>-616135</v>
      </c>
      <c r="D24" s="129"/>
      <c r="E24" s="11"/>
      <c r="F24" s="25">
        <f t="shared" si="0"/>
        <v>329</v>
      </c>
      <c r="H24" s="10"/>
      <c r="I24" s="11"/>
      <c r="K24" s="25"/>
    </row>
    <row r="25" spans="1:11" x14ac:dyDescent="0.2">
      <c r="A25" s="10">
        <v>22</v>
      </c>
      <c r="B25" s="11">
        <v>-645496</v>
      </c>
      <c r="C25" s="11">
        <v>-643692</v>
      </c>
      <c r="D25" s="11"/>
      <c r="E25" s="11"/>
      <c r="F25" s="25">
        <f t="shared" si="0"/>
        <v>1804</v>
      </c>
      <c r="H25" s="10"/>
      <c r="I25" s="11"/>
    </row>
    <row r="26" spans="1:11" x14ac:dyDescent="0.2">
      <c r="A26" s="10">
        <v>23</v>
      </c>
      <c r="B26" s="11">
        <v>-643191</v>
      </c>
      <c r="C26" s="11">
        <v>-643692</v>
      </c>
      <c r="D26" s="11"/>
      <c r="E26" s="11"/>
      <c r="F26" s="25">
        <f t="shared" si="0"/>
        <v>-501</v>
      </c>
      <c r="H26" s="10"/>
      <c r="I26" s="11"/>
    </row>
    <row r="27" spans="1:11" x14ac:dyDescent="0.2">
      <c r="A27" s="10">
        <v>24</v>
      </c>
      <c r="B27" s="11">
        <v>-635980</v>
      </c>
      <c r="C27" s="11">
        <v>-662571</v>
      </c>
      <c r="D27" s="11"/>
      <c r="E27" s="11"/>
      <c r="F27" s="25">
        <f t="shared" si="0"/>
        <v>-26591</v>
      </c>
      <c r="H27" s="10"/>
      <c r="I27" s="11"/>
      <c r="K27" s="25"/>
    </row>
    <row r="28" spans="1:11" x14ac:dyDescent="0.2">
      <c r="A28" s="10">
        <v>25</v>
      </c>
      <c r="B28" s="11">
        <v>-636735</v>
      </c>
      <c r="C28" s="11">
        <v>-643571</v>
      </c>
      <c r="D28" s="11"/>
      <c r="E28" s="11"/>
      <c r="F28" s="25">
        <f t="shared" si="0"/>
        <v>-6836</v>
      </c>
      <c r="H28" s="10"/>
      <c r="I28" s="11"/>
      <c r="K28" s="25"/>
    </row>
    <row r="29" spans="1:11" x14ac:dyDescent="0.2">
      <c r="A29" s="10">
        <v>26</v>
      </c>
      <c r="B29" s="11">
        <v>-612579</v>
      </c>
      <c r="C29" s="11">
        <v>-643605</v>
      </c>
      <c r="D29" s="11"/>
      <c r="E29" s="11"/>
      <c r="F29" s="25">
        <f t="shared" si="0"/>
        <v>-31026</v>
      </c>
      <c r="H29" s="10"/>
      <c r="I29" s="11"/>
      <c r="K29" s="25"/>
    </row>
    <row r="30" spans="1:11" x14ac:dyDescent="0.2">
      <c r="A30" s="10">
        <v>27</v>
      </c>
      <c r="B30" s="11">
        <v>-573104</v>
      </c>
      <c r="C30" s="11">
        <v>-571980</v>
      </c>
      <c r="D30" s="11"/>
      <c r="E30" s="11"/>
      <c r="F30" s="25">
        <f t="shared" si="0"/>
        <v>1124</v>
      </c>
      <c r="H30" s="10"/>
      <c r="I30" s="11"/>
      <c r="K30" s="25"/>
    </row>
    <row r="31" spans="1:11" x14ac:dyDescent="0.2">
      <c r="A31" s="10">
        <v>28</v>
      </c>
      <c r="B31" s="11">
        <v>-601299</v>
      </c>
      <c r="C31" s="11">
        <v>-603285</v>
      </c>
      <c r="D31" s="11"/>
      <c r="E31" s="11"/>
      <c r="F31" s="25">
        <f t="shared" si="0"/>
        <v>-1986</v>
      </c>
      <c r="H31" s="10"/>
      <c r="I31" s="11"/>
    </row>
    <row r="32" spans="1:11" x14ac:dyDescent="0.2">
      <c r="A32" s="10">
        <v>29</v>
      </c>
      <c r="B32" s="11">
        <v>-543215</v>
      </c>
      <c r="C32" s="11">
        <v>-535730</v>
      </c>
      <c r="D32" s="11"/>
      <c r="E32" s="11"/>
      <c r="F32" s="25">
        <f t="shared" si="0"/>
        <v>7485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-20310299</v>
      </c>
      <c r="C35" s="11">
        <f>SUM(C4:C34)</f>
        <v>-20373400</v>
      </c>
      <c r="D35" s="11">
        <f>SUM(D4:D34)</f>
        <v>0</v>
      </c>
      <c r="E35" s="11">
        <f>SUM(E4:E34)</f>
        <v>0</v>
      </c>
      <c r="F35" s="11">
        <f>SUM(F4:F34)</f>
        <v>-63101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37225</v>
      </c>
      <c r="D38" s="246"/>
      <c r="E38" s="246"/>
      <c r="F38" s="501">
        <v>170123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37254</v>
      </c>
      <c r="D40" s="246"/>
      <c r="E40" s="246"/>
      <c r="F40" s="51">
        <f>+F38+F35</f>
        <v>107022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153</v>
      </c>
      <c r="B44" s="32"/>
      <c r="C44" s="32"/>
      <c r="D44" s="485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37225</v>
      </c>
      <c r="B45" s="32"/>
      <c r="C45" s="32"/>
      <c r="D45" s="502">
        <v>479748.49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37254</v>
      </c>
      <c r="B46" s="32"/>
      <c r="C46" s="32"/>
      <c r="D46" s="486">
        <f>+F35*'by type_area'!J4</f>
        <v>-139453.21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84">
        <f>+D46+D45</f>
        <v>340295.28</v>
      </c>
      <c r="E47" s="246"/>
      <c r="F47" s="487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2" workbookViewId="0">
      <selection activeCell="C33" sqref="C33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19"/>
      <c r="L4" s="419"/>
      <c r="M4" s="419"/>
      <c r="N4" s="419"/>
      <c r="O4" s="285"/>
      <c r="P4" s="285"/>
    </row>
    <row r="5" spans="1:17" ht="12.75" x14ac:dyDescent="0.2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20" t="s">
        <v>180</v>
      </c>
      <c r="P5" s="189"/>
      <c r="Q5" s="2"/>
    </row>
    <row r="6" spans="1:17" ht="12.75" x14ac:dyDescent="0.2">
      <c r="A6" s="41">
        <v>3</v>
      </c>
      <c r="B6" s="11">
        <v>-4573</v>
      </c>
      <c r="C6" s="11">
        <v>-4260</v>
      </c>
      <c r="D6" s="11"/>
      <c r="E6" s="11"/>
      <c r="F6" s="11"/>
      <c r="G6" s="11"/>
      <c r="H6" s="11">
        <f t="shared" si="0"/>
        <v>313</v>
      </c>
      <c r="I6" s="11"/>
      <c r="J6" s="102"/>
      <c r="K6" s="118" t="s">
        <v>40</v>
      </c>
      <c r="L6" s="421" t="s">
        <v>20</v>
      </c>
      <c r="M6" s="421" t="s">
        <v>21</v>
      </c>
      <c r="N6" s="422" t="s">
        <v>50</v>
      </c>
      <c r="O6" s="420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-8603</v>
      </c>
      <c r="C7" s="11">
        <v>45</v>
      </c>
      <c r="D7" s="129"/>
      <c r="E7" s="11">
        <v>-8433</v>
      </c>
      <c r="F7" s="11"/>
      <c r="G7" s="11"/>
      <c r="H7" s="11">
        <f t="shared" si="0"/>
        <v>215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-9653</v>
      </c>
      <c r="C8" s="11"/>
      <c r="D8" s="11"/>
      <c r="E8" s="11">
        <v>-8241</v>
      </c>
      <c r="F8" s="11"/>
      <c r="G8" s="11"/>
      <c r="H8" s="11">
        <f t="shared" si="0"/>
        <v>1412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-16437</v>
      </c>
      <c r="C9" s="11">
        <v>181</v>
      </c>
      <c r="D9" s="11"/>
      <c r="E9" s="11">
        <v>-17010</v>
      </c>
      <c r="F9" s="11"/>
      <c r="G9" s="11"/>
      <c r="H9" s="11">
        <f t="shared" si="0"/>
        <v>-392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0">
        <v>8.2100000000000009</v>
      </c>
      <c r="P9" s="425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-8957</v>
      </c>
      <c r="C10" s="11">
        <v>181</v>
      </c>
      <c r="D10" s="11"/>
      <c r="E10" s="11">
        <v>-3732</v>
      </c>
      <c r="F10" s="11"/>
      <c r="G10" s="11"/>
      <c r="H10" s="11">
        <f t="shared" si="0"/>
        <v>5406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0">
        <v>5.62</v>
      </c>
      <c r="P10" s="425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-14890</v>
      </c>
      <c r="C11" s="11"/>
      <c r="D11" s="129"/>
      <c r="E11" s="11">
        <v>-14366</v>
      </c>
      <c r="F11" s="11"/>
      <c r="G11" s="11"/>
      <c r="H11" s="11">
        <f t="shared" si="0"/>
        <v>524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0">
        <v>4.9800000000000004</v>
      </c>
      <c r="P11" s="425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-13952</v>
      </c>
      <c r="C12" s="11"/>
      <c r="D12" s="11"/>
      <c r="E12" s="11">
        <v>-14366</v>
      </c>
      <c r="F12" s="11"/>
      <c r="G12" s="11"/>
      <c r="H12" s="11">
        <f t="shared" si="0"/>
        <v>-414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0">
        <v>4.87</v>
      </c>
      <c r="P12" s="425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-13939</v>
      </c>
      <c r="C13" s="11">
        <v>100</v>
      </c>
      <c r="D13" s="11"/>
      <c r="E13" s="129">
        <v>-14366</v>
      </c>
      <c r="F13" s="11"/>
      <c r="G13" s="11"/>
      <c r="H13" s="11">
        <f t="shared" si="0"/>
        <v>-327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0">
        <v>3.82</v>
      </c>
      <c r="P13" s="425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-53448</v>
      </c>
      <c r="C14" s="11">
        <v>181</v>
      </c>
      <c r="D14" s="11"/>
      <c r="E14" s="11">
        <v>-54000</v>
      </c>
      <c r="F14" s="11"/>
      <c r="G14" s="11"/>
      <c r="H14" s="11">
        <f t="shared" si="0"/>
        <v>-371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0">
        <v>3.2</v>
      </c>
      <c r="P14" s="425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-48863</v>
      </c>
      <c r="C15" s="11">
        <v>181</v>
      </c>
      <c r="D15" s="11"/>
      <c r="E15" s="11">
        <v>-49000</v>
      </c>
      <c r="F15" s="11"/>
      <c r="G15" s="11"/>
      <c r="H15" s="11">
        <f t="shared" si="0"/>
        <v>44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0">
        <v>2.77</v>
      </c>
      <c r="P15" s="426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-41699</v>
      </c>
      <c r="C16" s="11">
        <v>181</v>
      </c>
      <c r="D16" s="11"/>
      <c r="E16" s="11">
        <v>-41318</v>
      </c>
      <c r="F16" s="11"/>
      <c r="G16" s="11"/>
      <c r="H16" s="11">
        <f t="shared" si="0"/>
        <v>562</v>
      </c>
      <c r="I16" s="11"/>
      <c r="J16" s="102"/>
      <c r="K16" s="34"/>
      <c r="L16" s="119"/>
      <c r="M16" s="119"/>
      <c r="N16" s="119"/>
      <c r="O16" s="423"/>
      <c r="P16" s="424">
        <f>SUM(P9:P15)</f>
        <v>460835.37</v>
      </c>
      <c r="Q16" s="2"/>
    </row>
    <row r="17" spans="1:17" ht="13.5" thickTop="1" x14ac:dyDescent="0.2">
      <c r="A17" s="41">
        <v>14</v>
      </c>
      <c r="B17" s="11">
        <v>-12168</v>
      </c>
      <c r="C17" s="11">
        <v>181</v>
      </c>
      <c r="D17" s="11"/>
      <c r="E17" s="11">
        <v>-8926</v>
      </c>
      <c r="F17" s="11"/>
      <c r="G17" s="11"/>
      <c r="H17" s="11">
        <f t="shared" si="0"/>
        <v>3423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-50889</v>
      </c>
      <c r="C18" s="11">
        <v>181</v>
      </c>
      <c r="D18" s="11"/>
      <c r="E18" s="11">
        <v>-50196</v>
      </c>
      <c r="F18" s="11"/>
      <c r="G18" s="11"/>
      <c r="H18" s="11">
        <f t="shared" si="0"/>
        <v>874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>
        <v>-55543</v>
      </c>
      <c r="C19" s="11">
        <v>181</v>
      </c>
      <c r="D19" s="11"/>
      <c r="E19" s="11">
        <v>-50196</v>
      </c>
      <c r="F19" s="11"/>
      <c r="G19" s="11"/>
      <c r="H19" s="11">
        <f t="shared" si="0"/>
        <v>5528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>
        <v>-47733</v>
      </c>
      <c r="C20" s="11">
        <v>181</v>
      </c>
      <c r="D20" s="11"/>
      <c r="E20" s="11">
        <v>-50196</v>
      </c>
      <c r="F20" s="11"/>
      <c r="G20" s="11"/>
      <c r="H20" s="11">
        <f t="shared" si="0"/>
        <v>-2282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-106584</v>
      </c>
      <c r="C21" s="11">
        <v>-7912</v>
      </c>
      <c r="D21" s="11"/>
      <c r="E21" s="11">
        <v>-97269</v>
      </c>
      <c r="F21" s="11"/>
      <c r="G21" s="11"/>
      <c r="H21" s="11">
        <f t="shared" si="0"/>
        <v>1403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-70279</v>
      </c>
      <c r="C22" s="11">
        <v>181</v>
      </c>
      <c r="D22" s="11"/>
      <c r="E22" s="11">
        <v>-70000</v>
      </c>
      <c r="F22" s="11"/>
      <c r="G22" s="11"/>
      <c r="H22" s="11">
        <f t="shared" si="0"/>
        <v>460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-105246</v>
      </c>
      <c r="C23" s="11">
        <v>181</v>
      </c>
      <c r="D23" s="11"/>
      <c r="E23" s="11">
        <v>-105042</v>
      </c>
      <c r="F23" s="11"/>
      <c r="G23" s="11"/>
      <c r="H23" s="11">
        <f t="shared" si="0"/>
        <v>385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-68306</v>
      </c>
      <c r="C24" s="11">
        <v>-5740</v>
      </c>
      <c r="D24" s="11"/>
      <c r="E24" s="11">
        <v>-59000</v>
      </c>
      <c r="F24" s="11"/>
      <c r="G24" s="11"/>
      <c r="H24" s="11">
        <f t="shared" si="0"/>
        <v>3566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-45286</v>
      </c>
      <c r="C25" s="11">
        <v>181</v>
      </c>
      <c r="D25" s="11"/>
      <c r="E25" s="11">
        <v>-45000</v>
      </c>
      <c r="F25" s="11"/>
      <c r="G25" s="11"/>
      <c r="H25" s="11">
        <f t="shared" si="0"/>
        <v>467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-44808</v>
      </c>
      <c r="C26" s="11">
        <v>181</v>
      </c>
      <c r="D26" s="11"/>
      <c r="E26" s="11">
        <v>-45000</v>
      </c>
      <c r="F26" s="11"/>
      <c r="G26" s="11"/>
      <c r="H26" s="11">
        <f t="shared" si="0"/>
        <v>-11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-44785</v>
      </c>
      <c r="C27" s="11">
        <v>181</v>
      </c>
      <c r="D27" s="11"/>
      <c r="E27" s="11">
        <v>-45000</v>
      </c>
      <c r="F27" s="11"/>
      <c r="G27" s="11"/>
      <c r="H27" s="11">
        <f t="shared" si="0"/>
        <v>-34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>
        <v>-44945</v>
      </c>
      <c r="C28" s="11">
        <v>181</v>
      </c>
      <c r="D28" s="11"/>
      <c r="E28" s="11">
        <v>-45000</v>
      </c>
      <c r="F28" s="11"/>
      <c r="G28" s="11"/>
      <c r="H28" s="11">
        <f t="shared" si="0"/>
        <v>126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>
        <v>-45020</v>
      </c>
      <c r="C29" s="11">
        <v>181</v>
      </c>
      <c r="D29" s="11"/>
      <c r="E29" s="11">
        <v>-45000</v>
      </c>
      <c r="F29" s="11"/>
      <c r="G29" s="11"/>
      <c r="H29" s="11">
        <f t="shared" si="0"/>
        <v>201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>
        <v>-15745</v>
      </c>
      <c r="C30" s="11">
        <v>-9819</v>
      </c>
      <c r="D30" s="11"/>
      <c r="E30" s="11">
        <v>-5000</v>
      </c>
      <c r="F30" s="11"/>
      <c r="G30" s="11"/>
      <c r="H30" s="11">
        <f t="shared" si="0"/>
        <v>926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>
        <v>-46778</v>
      </c>
      <c r="C31" s="11">
        <v>-28318</v>
      </c>
      <c r="D31" s="129"/>
      <c r="E31" s="11">
        <v>-18482</v>
      </c>
      <c r="F31" s="11"/>
      <c r="G31" s="11"/>
      <c r="H31" s="11">
        <f t="shared" si="0"/>
        <v>-22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>
        <v>-39249</v>
      </c>
      <c r="C32" s="11">
        <v>-23985</v>
      </c>
      <c r="D32" s="11"/>
      <c r="E32" s="11">
        <v>-13831</v>
      </c>
      <c r="F32" s="11"/>
      <c r="G32" s="11"/>
      <c r="H32" s="11">
        <f t="shared" si="0"/>
        <v>1433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-1087856</v>
      </c>
      <c r="C35" s="44">
        <f t="shared" si="3"/>
        <v>-85513</v>
      </c>
      <c r="D35" s="11">
        <f t="shared" si="3"/>
        <v>0</v>
      </c>
      <c r="E35" s="44">
        <f t="shared" si="3"/>
        <v>-977970</v>
      </c>
      <c r="F35" s="11">
        <f t="shared" si="3"/>
        <v>0</v>
      </c>
      <c r="G35" s="11">
        <f t="shared" si="3"/>
        <v>0</v>
      </c>
      <c r="H35" s="11">
        <f t="shared" si="3"/>
        <v>24373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2.21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53864.33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488">
        <v>37225</v>
      </c>
      <c r="F38" s="485"/>
      <c r="G38" s="265"/>
      <c r="H38" s="519">
        <v>-125961.81</v>
      </c>
      <c r="I38" s="262"/>
      <c r="J38" s="102"/>
      <c r="K38" s="14"/>
      <c r="L38" s="14"/>
      <c r="M38" s="14"/>
      <c r="N38" s="16"/>
    </row>
    <row r="39" spans="1:14" x14ac:dyDescent="0.2">
      <c r="C39" s="14"/>
      <c r="D39" s="47"/>
      <c r="E39" s="263">
        <v>37254</v>
      </c>
      <c r="F39" s="485"/>
      <c r="G39" s="485"/>
      <c r="H39" s="322">
        <f>+H38+H37</f>
        <v>-72097.48</v>
      </c>
      <c r="I39" s="262"/>
      <c r="J39" s="102"/>
      <c r="K39" s="15"/>
      <c r="L39" s="15"/>
      <c r="M39" s="15"/>
      <c r="N39" s="46"/>
    </row>
    <row r="40" spans="1:14" x14ac:dyDescent="0.2">
      <c r="C40" s="14"/>
      <c r="D40" s="50"/>
      <c r="E40" s="489"/>
      <c r="F40" s="263"/>
      <c r="G40" s="489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489"/>
      <c r="F41" s="263"/>
      <c r="G41" s="489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152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37225</v>
      </c>
      <c r="E46" s="500">
        <v>-30730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37254</v>
      </c>
      <c r="E47" s="467">
        <f>+H35</f>
        <v>24373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-6357</v>
      </c>
      <c r="F48" s="129"/>
      <c r="G48" s="129"/>
      <c r="H48" s="129"/>
      <c r="I48" s="262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490"/>
      <c r="F49" s="129"/>
      <c r="G49" s="129"/>
      <c r="H49" s="129"/>
      <c r="I49" s="491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34" sqref="E34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-175839</v>
      </c>
      <c r="E5" s="11">
        <v>-179887</v>
      </c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1">
        <v>-210049</v>
      </c>
      <c r="E6" s="11">
        <v>-207310</v>
      </c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>
        <v>31</v>
      </c>
      <c r="C7" s="129"/>
      <c r="D7" s="11">
        <v>-180463</v>
      </c>
      <c r="E7" s="129">
        <v>-196959</v>
      </c>
      <c r="F7" s="11"/>
      <c r="G7" s="11"/>
      <c r="H7" s="24">
        <f t="shared" si="0"/>
        <v>-16527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18</v>
      </c>
      <c r="C8" s="129"/>
      <c r="D8" s="11">
        <v>-243538</v>
      </c>
      <c r="E8" s="129">
        <v>-220649</v>
      </c>
      <c r="F8" s="11"/>
      <c r="G8" s="11"/>
      <c r="H8" s="24">
        <f t="shared" si="0"/>
        <v>22871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-243566</v>
      </c>
      <c r="E9" s="11">
        <v>-242435</v>
      </c>
      <c r="F9" s="11"/>
      <c r="G9" s="11"/>
      <c r="H9" s="24">
        <f t="shared" si="0"/>
        <v>1131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-206367</v>
      </c>
      <c r="E10" s="11">
        <v>-201948</v>
      </c>
      <c r="F10" s="11"/>
      <c r="G10" s="11"/>
      <c r="H10" s="24">
        <f t="shared" si="0"/>
        <v>4419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>
        <v>54</v>
      </c>
      <c r="C11" s="11"/>
      <c r="D11" s="11">
        <v>-195278</v>
      </c>
      <c r="E11" s="11">
        <v>-197255</v>
      </c>
      <c r="F11" s="11"/>
      <c r="G11" s="11"/>
      <c r="H11" s="24">
        <f t="shared" si="0"/>
        <v>-2031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-205993</v>
      </c>
      <c r="E12" s="11">
        <v>-203491</v>
      </c>
      <c r="F12" s="11"/>
      <c r="G12" s="11"/>
      <c r="H12" s="24">
        <f t="shared" si="0"/>
        <v>2502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-206164</v>
      </c>
      <c r="E13" s="11">
        <v>-203264</v>
      </c>
      <c r="F13" s="11"/>
      <c r="G13" s="11"/>
      <c r="H13" s="24">
        <f t="shared" si="0"/>
        <v>2900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-200102</v>
      </c>
      <c r="E14" s="11">
        <v>-191383</v>
      </c>
      <c r="F14" s="11"/>
      <c r="G14" s="11"/>
      <c r="H14" s="24">
        <f t="shared" si="0"/>
        <v>8719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-199776</v>
      </c>
      <c r="E15" s="11">
        <v>-191344</v>
      </c>
      <c r="F15" s="11"/>
      <c r="G15" s="11"/>
      <c r="H15" s="24">
        <f t="shared" si="0"/>
        <v>8432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-225488</v>
      </c>
      <c r="E16" s="11">
        <v>-229897</v>
      </c>
      <c r="F16" s="11"/>
      <c r="G16" s="11"/>
      <c r="H16" s="24">
        <f t="shared" si="0"/>
        <v>-4409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-212688</v>
      </c>
      <c r="E17" s="11">
        <v>-214677</v>
      </c>
      <c r="F17" s="11"/>
      <c r="G17" s="11"/>
      <c r="H17" s="24">
        <f t="shared" si="0"/>
        <v>-1989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-238397</v>
      </c>
      <c r="E18" s="11">
        <v>-243198</v>
      </c>
      <c r="F18" s="11"/>
      <c r="G18" s="11"/>
      <c r="H18" s="24">
        <f t="shared" si="0"/>
        <v>-4801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-182977</v>
      </c>
      <c r="E19" s="11">
        <v>-189072</v>
      </c>
      <c r="F19" s="11"/>
      <c r="G19" s="11"/>
      <c r="H19" s="24">
        <f t="shared" si="0"/>
        <v>-6095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-185770</v>
      </c>
      <c r="E20" s="11">
        <v>-186515</v>
      </c>
      <c r="F20" s="11"/>
      <c r="G20" s="11"/>
      <c r="H20" s="24">
        <f t="shared" si="0"/>
        <v>-745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-204521</v>
      </c>
      <c r="E21" s="11">
        <v>-203917</v>
      </c>
      <c r="F21" s="11"/>
      <c r="G21" s="11"/>
      <c r="H21" s="24">
        <f t="shared" si="0"/>
        <v>604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-212126</v>
      </c>
      <c r="E22" s="11">
        <v>-217189</v>
      </c>
      <c r="F22" s="11"/>
      <c r="G22" s="11"/>
      <c r="H22" s="24">
        <f t="shared" si="0"/>
        <v>-5063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-211225</v>
      </c>
      <c r="E23" s="11">
        <v>-215567</v>
      </c>
      <c r="F23" s="11"/>
      <c r="G23" s="11"/>
      <c r="H23" s="24">
        <f t="shared" si="0"/>
        <v>-4342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-265789</v>
      </c>
      <c r="E24" s="11">
        <v>-267310</v>
      </c>
      <c r="F24" s="11"/>
      <c r="G24" s="11"/>
      <c r="H24" s="24">
        <f t="shared" si="0"/>
        <v>-1521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-247173</v>
      </c>
      <c r="E25" s="11">
        <v>-246755</v>
      </c>
      <c r="F25" s="11"/>
      <c r="G25" s="11"/>
      <c r="H25" s="24">
        <f t="shared" si="0"/>
        <v>418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-309846</v>
      </c>
      <c r="E26" s="11">
        <v>-300368</v>
      </c>
      <c r="F26" s="11"/>
      <c r="G26" s="11"/>
      <c r="H26" s="24">
        <f t="shared" si="0"/>
        <v>9478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v>-271662</v>
      </c>
      <c r="E27" s="11">
        <v>-269176</v>
      </c>
      <c r="F27" s="11"/>
      <c r="G27" s="11"/>
      <c r="H27" s="24">
        <f t="shared" si="0"/>
        <v>2486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-278891</v>
      </c>
      <c r="E28" s="11">
        <v>-276439</v>
      </c>
      <c r="F28" s="11"/>
      <c r="G28" s="11"/>
      <c r="H28" s="24">
        <f t="shared" si="0"/>
        <v>2452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v>-268906</v>
      </c>
      <c r="E29" s="11">
        <v>-273471</v>
      </c>
      <c r="F29" s="11"/>
      <c r="G29" s="11"/>
      <c r="H29" s="24">
        <f t="shared" si="0"/>
        <v>-4565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>
        <v>-273950</v>
      </c>
      <c r="E30" s="11">
        <v>-273479</v>
      </c>
      <c r="F30" s="11"/>
      <c r="G30" s="11"/>
      <c r="H30" s="24">
        <f t="shared" si="0"/>
        <v>471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v>-254236</v>
      </c>
      <c r="E31" s="11">
        <v>-251135</v>
      </c>
      <c r="F31" s="11"/>
      <c r="G31" s="11"/>
      <c r="H31" s="24">
        <f t="shared" si="0"/>
        <v>3101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>
        <v>-283801</v>
      </c>
      <c r="E32" s="11">
        <v>-282098</v>
      </c>
      <c r="F32" s="11"/>
      <c r="G32" s="11"/>
      <c r="H32" s="24">
        <f t="shared" si="0"/>
        <v>1703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>
        <v>-262837</v>
      </c>
      <c r="E33" s="11">
        <v>-260163</v>
      </c>
      <c r="F33" s="11"/>
      <c r="G33" s="11"/>
      <c r="H33" s="24">
        <f t="shared" si="0"/>
        <v>2674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103</v>
      </c>
      <c r="C36" s="11">
        <f t="shared" si="15"/>
        <v>0</v>
      </c>
      <c r="D36" s="11">
        <f t="shared" si="15"/>
        <v>-6657418</v>
      </c>
      <c r="E36" s="11">
        <f t="shared" si="15"/>
        <v>-6636351</v>
      </c>
      <c r="F36" s="11">
        <f t="shared" si="15"/>
        <v>0</v>
      </c>
      <c r="G36" s="11">
        <f t="shared" si="15"/>
        <v>0</v>
      </c>
      <c r="H36" s="11">
        <f t="shared" si="15"/>
        <v>20964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-103</v>
      </c>
      <c r="E37" s="25">
        <f>+E36-D36</f>
        <v>21067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37225</v>
      </c>
      <c r="B38" s="2" t="s">
        <v>46</v>
      </c>
      <c r="C38" s="503">
        <v>64269</v>
      </c>
      <c r="D38" s="323"/>
      <c r="E38" s="506">
        <v>-53414</v>
      </c>
      <c r="F38" s="24"/>
      <c r="G38" s="24"/>
      <c r="H38" s="236">
        <f>+C38+E38+G38</f>
        <v>10855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37254</v>
      </c>
      <c r="B39" s="2" t="s">
        <v>46</v>
      </c>
      <c r="C39" s="131">
        <f>+C38+C37</f>
        <v>64166</v>
      </c>
      <c r="D39" s="252"/>
      <c r="E39" s="131">
        <f>+E38+E37</f>
        <v>-32347</v>
      </c>
      <c r="F39" s="252"/>
      <c r="G39" s="131"/>
      <c r="H39" s="131">
        <f>+H38+H36</f>
        <v>31819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153</v>
      </c>
      <c r="B43" s="32"/>
      <c r="C43" s="32"/>
      <c r="D43" s="47"/>
      <c r="E43" s="27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37225</v>
      </c>
      <c r="B44" s="32"/>
      <c r="C44" s="504">
        <v>-1582961.01</v>
      </c>
      <c r="D44" s="205"/>
      <c r="E44" s="505">
        <v>969783.3</v>
      </c>
      <c r="F44" s="47">
        <f>+E44+C44</f>
        <v>-613177.71</v>
      </c>
      <c r="G44" s="247"/>
      <c r="H44" s="38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37254</v>
      </c>
      <c r="B45" s="32"/>
      <c r="C45" s="47">
        <f>+C37*summary!H4</f>
        <v>-227.63</v>
      </c>
      <c r="D45" s="205"/>
      <c r="E45" s="384">
        <f>+E37*summary!H3</f>
        <v>46347.4</v>
      </c>
      <c r="F45" s="47">
        <f>+E45+C45</f>
        <v>46119.770000000004</v>
      </c>
      <c r="G45" s="247"/>
      <c r="H45" s="38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-1583188.64</v>
      </c>
      <c r="D46" s="205"/>
      <c r="E46" s="384">
        <v>925707</v>
      </c>
      <c r="F46" s="47">
        <f>+E46+C46</f>
        <v>-657481.6399999999</v>
      </c>
      <c r="G46" s="247"/>
      <c r="H46" s="38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4"/>
      <c r="D47" s="384"/>
      <c r="E47" s="384"/>
      <c r="F47" s="47"/>
      <c r="G47" s="247"/>
      <c r="H47" s="38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C42" sqref="C42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58"/>
      <c r="J6" s="58"/>
      <c r="K6" s="58"/>
      <c r="L6" s="58"/>
      <c r="M6" s="4" t="s">
        <v>50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20</v>
      </c>
      <c r="J7" s="40" t="s">
        <v>21</v>
      </c>
      <c r="K7" s="40" t="s">
        <v>20</v>
      </c>
      <c r="L7" s="40" t="s">
        <v>21</v>
      </c>
      <c r="M7" s="6" t="s">
        <v>15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135466</v>
      </c>
      <c r="C10" s="11">
        <v>131970</v>
      </c>
      <c r="D10" s="11">
        <v>12685</v>
      </c>
      <c r="E10" s="11">
        <v>13351</v>
      </c>
      <c r="F10" s="11">
        <f t="shared" si="5"/>
        <v>-2830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142004</v>
      </c>
      <c r="C11" s="11">
        <v>140968</v>
      </c>
      <c r="D11" s="11">
        <v>13527</v>
      </c>
      <c r="E11" s="11">
        <v>13349</v>
      </c>
      <c r="F11" s="11">
        <f t="shared" si="5"/>
        <v>-1214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140637</v>
      </c>
      <c r="C12" s="11">
        <v>143286</v>
      </c>
      <c r="D12" s="11">
        <v>12744</v>
      </c>
      <c r="E12" s="11">
        <v>13033</v>
      </c>
      <c r="F12" s="11">
        <f t="shared" si="5"/>
        <v>2938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143787</v>
      </c>
      <c r="C13" s="11">
        <v>144422</v>
      </c>
      <c r="D13" s="11">
        <v>12893</v>
      </c>
      <c r="E13" s="11">
        <v>12532</v>
      </c>
      <c r="F13" s="11">
        <f t="shared" si="5"/>
        <v>274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144661</v>
      </c>
      <c r="C14" s="11">
        <v>145311</v>
      </c>
      <c r="D14" s="11">
        <v>13371</v>
      </c>
      <c r="E14" s="11">
        <v>12532</v>
      </c>
      <c r="F14" s="11">
        <f t="shared" si="5"/>
        <v>-189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145757</v>
      </c>
      <c r="C15" s="11">
        <v>145315</v>
      </c>
      <c r="D15" s="11">
        <v>12071</v>
      </c>
      <c r="E15" s="11">
        <v>12532</v>
      </c>
      <c r="F15" s="11">
        <f t="shared" si="5"/>
        <v>19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145534</v>
      </c>
      <c r="C16" s="11">
        <v>145186</v>
      </c>
      <c r="D16" s="11">
        <v>12077</v>
      </c>
      <c r="E16" s="11">
        <v>12532</v>
      </c>
      <c r="F16" s="11">
        <f t="shared" si="5"/>
        <v>107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144926</v>
      </c>
      <c r="C17" s="11">
        <v>145079</v>
      </c>
      <c r="D17" s="11">
        <v>12925</v>
      </c>
      <c r="E17" s="11">
        <v>12532</v>
      </c>
      <c r="F17" s="11">
        <f t="shared" si="5"/>
        <v>-240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145896</v>
      </c>
      <c r="C18" s="11">
        <v>145311</v>
      </c>
      <c r="D18" s="11">
        <v>10379</v>
      </c>
      <c r="E18" s="11">
        <v>12532</v>
      </c>
      <c r="F18" s="11">
        <f t="shared" si="5"/>
        <v>1568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150058</v>
      </c>
      <c r="C19" s="11">
        <v>141990</v>
      </c>
      <c r="D19" s="11">
        <v>12694</v>
      </c>
      <c r="E19" s="11">
        <v>12532</v>
      </c>
      <c r="F19" s="11">
        <f t="shared" si="5"/>
        <v>-8230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144027</v>
      </c>
      <c r="C20" s="11">
        <v>141430</v>
      </c>
      <c r="D20" s="11">
        <v>11842</v>
      </c>
      <c r="E20" s="11">
        <v>12532</v>
      </c>
      <c r="F20" s="11">
        <f t="shared" si="5"/>
        <v>-1907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140992</v>
      </c>
      <c r="C21" s="11">
        <v>140106</v>
      </c>
      <c r="D21" s="11">
        <v>12826</v>
      </c>
      <c r="E21" s="11">
        <v>12532</v>
      </c>
      <c r="F21" s="11">
        <f t="shared" si="5"/>
        <v>-1180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140634</v>
      </c>
      <c r="C22" s="11">
        <v>140149</v>
      </c>
      <c r="D22" s="11">
        <v>12761</v>
      </c>
      <c r="E22" s="11">
        <v>12532</v>
      </c>
      <c r="F22" s="11">
        <f t="shared" si="5"/>
        <v>-714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140673</v>
      </c>
      <c r="C23" s="11">
        <v>137817</v>
      </c>
      <c r="D23" s="11">
        <v>12743</v>
      </c>
      <c r="E23" s="11">
        <v>12532</v>
      </c>
      <c r="F23" s="11">
        <f t="shared" si="5"/>
        <v>-3067</v>
      </c>
      <c r="G23" s="142"/>
      <c r="H23" s="537">
        <f>+A45</f>
        <v>37254</v>
      </c>
      <c r="I23" s="11">
        <f>+B39</f>
        <v>4137438</v>
      </c>
      <c r="J23" s="11">
        <f>+C39</f>
        <v>4085334</v>
      </c>
      <c r="K23" s="11">
        <f>+D39</f>
        <v>359465</v>
      </c>
      <c r="L23" s="11">
        <f>+E39</f>
        <v>357557</v>
      </c>
      <c r="M23" s="42">
        <f>+J23-I23+L23-K23</f>
        <v>-54012</v>
      </c>
      <c r="N23" s="102">
        <f>+summary!H3</f>
        <v>2.2000000000000002</v>
      </c>
      <c r="O23" s="539">
        <f>+N23*M23</f>
        <v>-118826.40000000001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141551</v>
      </c>
      <c r="C24" s="11">
        <v>137557</v>
      </c>
      <c r="D24" s="11">
        <v>10423</v>
      </c>
      <c r="E24" s="11">
        <v>8883</v>
      </c>
      <c r="F24" s="11">
        <f t="shared" si="5"/>
        <v>-5534</v>
      </c>
      <c r="G24" s="268"/>
      <c r="H24" s="168"/>
      <c r="I24" s="11"/>
      <c r="J24" s="11"/>
      <c r="K24" s="11"/>
      <c r="L24" s="142"/>
      <c r="M24" s="538">
        <f>SUM(M9:M23)</f>
        <v>35788</v>
      </c>
      <c r="N24" s="102"/>
      <c r="O24" s="102">
        <f>SUM(O9:O23)</f>
        <v>449289.93999999994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>
        <v>144026</v>
      </c>
      <c r="C25" s="11">
        <v>141912</v>
      </c>
      <c r="D25" s="11">
        <v>10174</v>
      </c>
      <c r="E25" s="11">
        <v>10286</v>
      </c>
      <c r="F25" s="11">
        <f t="shared" si="5"/>
        <v>-2002</v>
      </c>
      <c r="G25" s="309"/>
      <c r="H25" s="536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140860</v>
      </c>
      <c r="C26" s="11">
        <v>140587</v>
      </c>
      <c r="D26" s="11">
        <v>13076</v>
      </c>
      <c r="E26" s="11">
        <v>12532</v>
      </c>
      <c r="F26" s="11">
        <f t="shared" si="5"/>
        <v>-817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143121</v>
      </c>
      <c r="C27" s="11">
        <v>141357</v>
      </c>
      <c r="D27" s="11">
        <v>11793</v>
      </c>
      <c r="E27" s="11">
        <v>12532</v>
      </c>
      <c r="F27" s="11">
        <f t="shared" si="5"/>
        <v>-1025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>
        <v>142272</v>
      </c>
      <c r="C28" s="150">
        <v>140821</v>
      </c>
      <c r="D28" s="150">
        <v>12772</v>
      </c>
      <c r="E28" s="150">
        <v>12532</v>
      </c>
      <c r="F28" s="11">
        <f t="shared" si="5"/>
        <v>-1691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>
        <v>144274</v>
      </c>
      <c r="C29" s="150">
        <v>143011</v>
      </c>
      <c r="D29" s="150">
        <v>9249</v>
      </c>
      <c r="E29" s="150">
        <v>8838</v>
      </c>
      <c r="F29" s="11">
        <f t="shared" si="5"/>
        <v>-1674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144390</v>
      </c>
      <c r="C30" s="150">
        <v>143033</v>
      </c>
      <c r="D30" s="150">
        <v>12561</v>
      </c>
      <c r="E30" s="150">
        <v>12532</v>
      </c>
      <c r="F30" s="11">
        <f t="shared" si="5"/>
        <v>-1386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142954</v>
      </c>
      <c r="C31" s="150">
        <v>142653</v>
      </c>
      <c r="D31" s="150">
        <v>13179</v>
      </c>
      <c r="E31" s="150">
        <v>12532</v>
      </c>
      <c r="F31" s="11">
        <f t="shared" si="5"/>
        <v>-948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143367</v>
      </c>
      <c r="C32" s="150">
        <v>142313</v>
      </c>
      <c r="D32" s="150">
        <v>13090</v>
      </c>
      <c r="E32" s="150">
        <v>12532</v>
      </c>
      <c r="F32" s="11">
        <f t="shared" si="5"/>
        <v>-1612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146324</v>
      </c>
      <c r="C33" s="150">
        <v>142865</v>
      </c>
      <c r="D33" s="150">
        <v>13454</v>
      </c>
      <c r="E33" s="150">
        <v>12532</v>
      </c>
      <c r="F33" s="11">
        <f t="shared" si="5"/>
        <v>-4381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>
        <v>143644</v>
      </c>
      <c r="C34" s="150">
        <v>140080</v>
      </c>
      <c r="D34" s="150">
        <v>13041</v>
      </c>
      <c r="E34" s="150">
        <v>12532</v>
      </c>
      <c r="F34" s="11">
        <f t="shared" si="5"/>
        <v>-4073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>
        <v>142255</v>
      </c>
      <c r="C35" s="150">
        <v>139417</v>
      </c>
      <c r="D35" s="150">
        <v>13143</v>
      </c>
      <c r="E35" s="150">
        <v>12532</v>
      </c>
      <c r="F35" s="11">
        <f t="shared" si="5"/>
        <v>-3449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>
        <v>141446</v>
      </c>
      <c r="C36" s="150">
        <v>138977</v>
      </c>
      <c r="D36" s="150">
        <v>13130</v>
      </c>
      <c r="E36" s="150">
        <v>12532</v>
      </c>
      <c r="F36" s="11">
        <f t="shared" si="5"/>
        <v>-3067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4137438</v>
      </c>
      <c r="C39" s="150">
        <f>SUM(C8:C38)</f>
        <v>4085334</v>
      </c>
      <c r="D39" s="150">
        <f>SUM(D8:D38)</f>
        <v>359465</v>
      </c>
      <c r="E39" s="150">
        <f>SUM(E8:E38)</f>
        <v>357557</v>
      </c>
      <c r="F39" s="11">
        <f t="shared" si="5"/>
        <v>-54012</v>
      </c>
      <c r="G39" s="152">
        <f>+F39-3500</f>
        <v>-57512</v>
      </c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15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37225</v>
      </c>
      <c r="B44" s="32"/>
      <c r="C44" s="470"/>
      <c r="D44" s="111"/>
      <c r="E44" s="470"/>
      <c r="F44" s="514">
        <f>111145-21345</f>
        <v>89800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37254</v>
      </c>
      <c r="B45" s="32"/>
      <c r="C45" s="106"/>
      <c r="D45" s="106"/>
      <c r="E45" s="106"/>
      <c r="F45" s="24">
        <f>+F44+F39</f>
        <v>35788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324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37225</v>
      </c>
      <c r="B50" s="32"/>
      <c r="C50" s="32"/>
      <c r="D50" s="514">
        <v>568019.34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37254</v>
      </c>
      <c r="B51" s="32"/>
      <c r="C51" s="32"/>
      <c r="D51" s="355">
        <f>+F39*summary!H3</f>
        <v>-118826.40000000001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449192.93999999994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3"/>
      <c r="F56" s="34">
        <f>-42263.1+610282.44</f>
        <v>568019.34</v>
      </c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F57" s="34">
        <f>111145-21345</f>
        <v>89800</v>
      </c>
      <c r="G57" s="186">
        <f>+F57+F39</f>
        <v>35788</v>
      </c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F58" s="34">
        <f>+F56/F57</f>
        <v>6.325382405345211</v>
      </c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F59" s="34">
        <v>168000</v>
      </c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F60" s="34">
        <f>+F59/F57</f>
        <v>1.8708240534521159</v>
      </c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27</vt:i4>
      </vt:variant>
    </vt:vector>
  </HeadingPairs>
  <TitlesOfParts>
    <vt:vector size="70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2001-12-31T21:16:32Z</cp:lastPrinted>
  <dcterms:created xsi:type="dcterms:W3CDTF">2000-03-28T16:52:23Z</dcterms:created>
  <dcterms:modified xsi:type="dcterms:W3CDTF">2023-09-13T23:17:09Z</dcterms:modified>
</cp:coreProperties>
</file>