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D802F3-345B-4F03-B9C0-5F3D387BC473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K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<sst xmlns="http://schemas.openxmlformats.org/spreadsheetml/2006/main" count="1038" uniqueCount="335">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</sst>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2.17</v>
          </cell>
          <cell r="K39">
            <v>2.12</v>
          </cell>
          <cell r="M39">
            <v>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G19" sqref="G19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2.12</v>
      </c>
      <c r="H3" s="407">
        <f ca="1">NOW()</f>
        <v>37274.760221064818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2.15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2.17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119877.77</v>
      </c>
      <c r="C12" s="374">
        <f>+B12/$G$4</f>
        <v>55757.1023255814</v>
      </c>
      <c r="D12" s="14">
        <f>+Calpine!D47</f>
        <v>145658</v>
      </c>
      <c r="E12" s="70">
        <f>+C12-D12</f>
        <v>-89900.897674418607</v>
      </c>
      <c r="F12" s="369">
        <f>+Calpine!A41</f>
        <v>37273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-20725.679999999993</v>
      </c>
      <c r="C13" s="373">
        <f>+B13/$G$4</f>
        <v>-9639.8511627906955</v>
      </c>
      <c r="D13" s="14">
        <f>+'Citizens-Griffith'!D48</f>
        <v>-4997</v>
      </c>
      <c r="E13" s="70">
        <f>+C13-D13</f>
        <v>-4642.8511627906955</v>
      </c>
      <c r="F13" s="369">
        <f>+'Citizens-Griffith'!A41</f>
        <v>37273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-24819.73</v>
      </c>
      <c r="C14" s="373">
        <f>+B14/G4</f>
        <v>-11544.060465116279</v>
      </c>
      <c r="D14" s="14">
        <f>+SWGasTrans!$D$48</f>
        <v>1268</v>
      </c>
      <c r="E14" s="70">
        <f>+C14-D14</f>
        <v>-12812.060465116279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-312248.15000000002</v>
      </c>
      <c r="C15" s="373">
        <f>+B15/$G$4</f>
        <v>-145231.69767441862</v>
      </c>
      <c r="D15" s="14">
        <f>+'NS Steel'!D50</f>
        <v>-24362</v>
      </c>
      <c r="E15" s="70">
        <f>+C15-D15</f>
        <v>-120869.69767441862</v>
      </c>
      <c r="F15" s="370">
        <f>+'NS Steel'!A41</f>
        <v>37273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-554808.94000000006</v>
      </c>
      <c r="C16" s="375">
        <f>+B16/$G$4</f>
        <v>-258050.6697674419</v>
      </c>
      <c r="D16" s="355">
        <f>+Citizens!D24</f>
        <v>-44784</v>
      </c>
      <c r="E16" s="72">
        <f>+C16-D16</f>
        <v>-213266.6697674419</v>
      </c>
      <c r="F16" s="369">
        <f>+Citizens!A18</f>
        <v>37272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-792724.7300000001</v>
      </c>
      <c r="C17" s="398">
        <f>SUBTOTAL(9,C12:C16)</f>
        <v>-368709.17674418609</v>
      </c>
      <c r="D17" s="399">
        <f>SUBTOTAL(9,D12:D16)</f>
        <v>72783</v>
      </c>
      <c r="E17" s="400">
        <f>SUBTOTAL(9,E12:E16)</f>
        <v>-441492.17674418609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24646</v>
      </c>
      <c r="C20" s="373">
        <f>+B20/$G$4</f>
        <v>11463.255813953489</v>
      </c>
      <c r="D20" s="14">
        <f>+transcol!D50</f>
        <v>-44282</v>
      </c>
      <c r="E20" s="70">
        <f>+C20-D20</f>
        <v>55745.255813953489</v>
      </c>
      <c r="F20" s="370">
        <f>+transcol!A43</f>
        <v>37273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58512</v>
      </c>
      <c r="C21" s="373">
        <f>+williams!J40</f>
        <v>27600</v>
      </c>
      <c r="D21" s="14">
        <f>+C21</f>
        <v>27600</v>
      </c>
      <c r="E21" s="70">
        <f>+C21-D21</f>
        <v>0</v>
      </c>
      <c r="F21" s="370">
        <f>+williams!A40</f>
        <v>37273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-7139.2200000000012</v>
      </c>
      <c r="C22" s="377">
        <f>+B22/$G$3</f>
        <v>-3367.5566037735853</v>
      </c>
      <c r="D22" s="355">
        <f>+burlington!D49</f>
        <v>-5407</v>
      </c>
      <c r="E22" s="72">
        <f>+C22-D22</f>
        <v>2039.4433962264147</v>
      </c>
      <c r="F22" s="369">
        <f>+burlington!A42</f>
        <v>37272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76018.78</v>
      </c>
      <c r="C23" s="394">
        <f>SUBTOTAL(9,C20:C22)</f>
        <v>35695.699210179904</v>
      </c>
      <c r="D23" s="399">
        <f>SUBTOTAL(9,D20:D22)</f>
        <v>-22089</v>
      </c>
      <c r="E23" s="400">
        <f>SUBTOTAL(9,E20:E22)</f>
        <v>57784.699210179904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30920.050000000003</v>
      </c>
      <c r="C26" s="373">
        <f>+B26/$G$4</f>
        <v>14381.418604651164</v>
      </c>
      <c r="D26" s="14">
        <f>+NNG!D34</f>
        <v>13447</v>
      </c>
      <c r="E26" s="70">
        <f t="shared" ref="E26:E50" si="0">+C26-D26</f>
        <v>934.41860465116406</v>
      </c>
      <c r="F26" s="369">
        <f>+NNG!A24</f>
        <v>37272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476321.64</v>
      </c>
      <c r="C27" s="373">
        <f>+B27/$G$4</f>
        <v>221544.94883720932</v>
      </c>
      <c r="D27" s="14">
        <f>+Conoco!D48</f>
        <v>25360</v>
      </c>
      <c r="E27" s="70">
        <f t="shared" si="0"/>
        <v>196184.94883720932</v>
      </c>
      <c r="F27" s="369">
        <f>+Conoco!A41</f>
        <v>37273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172021.97999999998</v>
      </c>
      <c r="C28" s="373">
        <f>+B28/$G$4</f>
        <v>80010.223255813951</v>
      </c>
      <c r="D28" s="14">
        <f>+'Amoco Abo'!D49</f>
        <v>-358718</v>
      </c>
      <c r="E28" s="70">
        <f t="shared" si="0"/>
        <v>438728.22325581394</v>
      </c>
      <c r="F28" s="370">
        <f>+'Amoco Abo'!A43</f>
        <v>37272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262758.74</v>
      </c>
      <c r="C29" s="373">
        <f>+B29/$G$4</f>
        <v>122213.36744186046</v>
      </c>
      <c r="D29" s="14">
        <f>+KN_Westar!D48</f>
        <v>-67067</v>
      </c>
      <c r="E29" s="70">
        <f t="shared" si="0"/>
        <v>189280.36744186046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1222234.44</v>
      </c>
      <c r="C30" s="374">
        <f>+B30/$G$5</f>
        <v>563241.67741935479</v>
      </c>
      <c r="D30" s="14">
        <f>+Duke!$G$40+Duke!$H$40+Duke!$I$53+Duke!$I$54</f>
        <v>363616</v>
      </c>
      <c r="E30" s="70">
        <f t="shared" si="0"/>
        <v>199625.67741935479</v>
      </c>
      <c r="F30" s="370">
        <f>+Duke!A42</f>
        <v>37273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1578506.12</v>
      </c>
      <c r="C31" s="374">
        <f>+B31/$G$5</f>
        <v>727422.17511520744</v>
      </c>
      <c r="D31" s="14">
        <f>+Duke!$F$40</f>
        <v>400330</v>
      </c>
      <c r="E31" s="70">
        <f t="shared" si="0"/>
        <v>327092.17511520744</v>
      </c>
      <c r="F31" s="370">
        <f>+Duke!A7</f>
        <v>37273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+summary!B40</f>
        <v>-2793358.92</v>
      </c>
      <c r="C32" s="374">
        <f>+B32/$G$5</f>
        <v>-1287262.1751152074</v>
      </c>
      <c r="D32" s="14">
        <f>+DEFS!$I$36+DEFS!$J$36+DEFS!$K$45+DEFS!$K$46+DEFS!$K$47+DEFS!$K$48</f>
        <v>-432213</v>
      </c>
      <c r="E32" s="70">
        <f t="shared" si="0"/>
        <v>-855049.17511520744</v>
      </c>
      <c r="F32" s="370">
        <f>+DEFS!A40</f>
        <v>37273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397730.17</v>
      </c>
      <c r="C33" s="373">
        <f>+B33/$G$4</f>
        <v>184990.77674418603</v>
      </c>
      <c r="D33" s="14">
        <f>+mewborne!D49</f>
        <v>162703</v>
      </c>
      <c r="E33" s="70">
        <f t="shared" si="0"/>
        <v>22287.776744186034</v>
      </c>
      <c r="F33" s="370">
        <f>+mewborne!A43</f>
        <v>37272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+PGETX!$H$39</f>
        <v>-50443.100000000006</v>
      </c>
      <c r="C34" s="373">
        <f>+B34/$G$4</f>
        <v>-23461.906976744191</v>
      </c>
      <c r="D34" s="14">
        <f>+PGETX!E48</f>
        <v>3202</v>
      </c>
      <c r="E34" s="70">
        <f t="shared" si="0"/>
        <v>-26663.906976744191</v>
      </c>
      <c r="F34" s="370">
        <f>+PGETX!E39</f>
        <v>37273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806072.2699999999</v>
      </c>
      <c r="C35" s="373">
        <f>+B35/$G$4</f>
        <v>374917.33488372091</v>
      </c>
      <c r="D35" s="14">
        <f>+PNM!D30</f>
        <v>325535</v>
      </c>
      <c r="E35" s="70">
        <f t="shared" si="0"/>
        <v>49382.334883720905</v>
      </c>
      <c r="F35" s="370">
        <f>+PNM!A23</f>
        <v>37272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59967.509999999995</v>
      </c>
      <c r="C36" s="373">
        <f>+B36/$G$4</f>
        <v>27891.86511627907</v>
      </c>
      <c r="D36" s="14">
        <f>+EOG!D48</f>
        <v>-99756</v>
      </c>
      <c r="E36" s="70">
        <f t="shared" si="0"/>
        <v>127647.86511627908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-31451.160000000003</v>
      </c>
      <c r="C37" s="373">
        <f>+B37/G5</f>
        <v>-14493.622119815671</v>
      </c>
      <c r="D37" s="14">
        <f>+Oasis!D47</f>
        <v>-17254</v>
      </c>
      <c r="E37" s="70">
        <f>+C37-D37</f>
        <v>2760.3778801843291</v>
      </c>
      <c r="F37" s="369">
        <f>+Oasis!A40</f>
        <v>37272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23896.350000000002</v>
      </c>
      <c r="C38" s="373">
        <f>+B38/$G$5</f>
        <v>11012.142857142859</v>
      </c>
      <c r="D38" s="14">
        <f>+SidR!D48</f>
        <v>11496</v>
      </c>
      <c r="E38" s="70">
        <f t="shared" si="0"/>
        <v>-483.8571428571413</v>
      </c>
      <c r="F38" s="370">
        <f>+SidR!A41</f>
        <v>37272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+summary!$B$43</f>
        <v>-203736.06</v>
      </c>
      <c r="C39" s="373">
        <f>+summary!$C$43</f>
        <v>-93887.585253456229</v>
      </c>
      <c r="D39" s="14">
        <f>+MiVida_Rich!D48</f>
        <v>-51454</v>
      </c>
      <c r="E39" s="70">
        <f>+C39-D39</f>
        <v>-42433.585253456229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176995.79</v>
      </c>
      <c r="C40" s="373">
        <f>+B40/$G$5</f>
        <v>81564.880184331807</v>
      </c>
      <c r="D40" s="14">
        <f>+Dominion!D48</f>
        <v>77606</v>
      </c>
      <c r="E40" s="70">
        <f t="shared" si="0"/>
        <v>3958.880184331807</v>
      </c>
      <c r="F40" s="370">
        <f>+Dominion!A41</f>
        <v>37273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-34119.18</v>
      </c>
      <c r="C41" s="373">
        <f>+B41/$G$4</f>
        <v>-15869.386046511629</v>
      </c>
      <c r="D41" s="14">
        <f>+WTGmktg!D50</f>
        <v>-2773</v>
      </c>
      <c r="E41" s="70">
        <f t="shared" si="0"/>
        <v>-13096.386046511629</v>
      </c>
      <c r="F41" s="370">
        <f>+WTGmktg!A43</f>
        <v>37273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36657.14</v>
      </c>
      <c r="C42" s="373">
        <f>+B42/G4</f>
        <v>17049.832558139537</v>
      </c>
      <c r="D42" s="14">
        <f>+'WTG inc'!D50</f>
        <v>13992</v>
      </c>
      <c r="E42" s="70">
        <f>+C42-D42</f>
        <v>3057.8325581395366</v>
      </c>
      <c r="F42" s="370">
        <f>+'WTG inc'!A43</f>
        <v>37273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155053.74</v>
      </c>
      <c r="C43" s="373">
        <f>+B43/$G$5</f>
        <v>71453.336405529946</v>
      </c>
      <c r="D43" s="14">
        <f>+Devon!D48</f>
        <v>31096</v>
      </c>
      <c r="E43" s="70">
        <f t="shared" si="0"/>
        <v>40357.336405529946</v>
      </c>
      <c r="F43" s="370">
        <f>+Devon!A41</f>
        <v>37273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-107315.73999999999</v>
      </c>
      <c r="C44" s="373">
        <f>+B44/$G$4</f>
        <v>-49914.297674418602</v>
      </c>
      <c r="D44" s="14">
        <f>+crosstex!D48</f>
        <v>-31282</v>
      </c>
      <c r="E44" s="70">
        <f t="shared" si="0"/>
        <v>-18632.297674418602</v>
      </c>
      <c r="F44" s="370">
        <f>+crosstex!A41</f>
        <v>37272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92632.75</v>
      </c>
      <c r="C45" s="373">
        <f>+B45/$G$4</f>
        <v>43085</v>
      </c>
      <c r="D45" s="14">
        <f>+Amarillo!D48</f>
        <v>38439</v>
      </c>
      <c r="E45" s="70">
        <f t="shared" si="0"/>
        <v>4646</v>
      </c>
      <c r="F45" s="370">
        <f>+Amarillo!A41</f>
        <v>37273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42576.81</v>
      </c>
      <c r="C46" s="374">
        <f>+B46/$G$4</f>
        <v>19803.167441860463</v>
      </c>
      <c r="D46" s="14">
        <f>+Stratland!D48</f>
        <v>14572</v>
      </c>
      <c r="E46" s="70">
        <f>+C46-D46</f>
        <v>5231.1674418604634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50208.502325581394</v>
      </c>
      <c r="D47" s="14">
        <f>+Plains!D50</f>
        <v>36315</v>
      </c>
      <c r="E47" s="70">
        <f>+C47-D47</f>
        <v>13893.502325581394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34692</v>
      </c>
      <c r="C48" s="374">
        <f>+B48/$G$4</f>
        <v>16135.813953488372</v>
      </c>
      <c r="D48" s="14">
        <f>+Continental!D50</f>
        <v>948</v>
      </c>
      <c r="E48" s="70">
        <f t="shared" si="0"/>
        <v>15187.813953488372</v>
      </c>
      <c r="F48" s="370">
        <f>+Continental!A43</f>
        <v>37268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74488.28</v>
      </c>
      <c r="C49" s="374">
        <f>+B49/$G$5</f>
        <v>34326.396313364057</v>
      </c>
      <c r="D49" s="14">
        <f>+EPFS!D47</f>
        <v>49736</v>
      </c>
      <c r="E49" s="70">
        <f t="shared" si="0"/>
        <v>-15409.603686635943</v>
      </c>
      <c r="F49" s="369">
        <f>+EPFS!A41</f>
        <v>37273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-158594.56999999998</v>
      </c>
      <c r="C50" s="375">
        <f>+B50/$G$4</f>
        <v>-73764.916279069759</v>
      </c>
      <c r="D50" s="355">
        <f>+Agave!D31</f>
        <v>-60093</v>
      </c>
      <c r="E50" s="72">
        <f t="shared" si="0"/>
        <v>-13671.916279069759</v>
      </c>
      <c r="F50" s="369">
        <f>+Agave!A24</f>
        <v>37273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2372455.3299999991</v>
      </c>
      <c r="C51" s="398">
        <f>SUBTOTAL(9,C26:C50)</f>
        <v>1102598.9699924982</v>
      </c>
      <c r="D51" s="399">
        <f>SUBTOTAL(9,D26:D50)</f>
        <v>447783</v>
      </c>
      <c r="E51" s="400">
        <f>SUBTOTAL(9,E26:E50)</f>
        <v>654815.96999249805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1655749.3800000001</v>
      </c>
      <c r="C53" s="398">
        <f>SUBTOTAL(9,C12:C50)</f>
        <v>769585.49245849194</v>
      </c>
      <c r="D53" s="399">
        <f>SUBTOTAL(9,D12:D50)</f>
        <v>498477</v>
      </c>
      <c r="E53" s="400">
        <f>SUBTOTAL(9,E12:E50)</f>
        <v>271108.49245849182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2.12</v>
      </c>
      <c r="H59" s="407">
        <f ca="1">NOW()</f>
        <v>37274.760221064818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2.15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2.17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195829</v>
      </c>
      <c r="C68" s="351">
        <f>+B68*$G$4</f>
        <v>421032.35</v>
      </c>
      <c r="D68" s="47">
        <f>+Mojave!D47</f>
        <v>219175.9</v>
      </c>
      <c r="E68" s="47">
        <f>+C68-D68</f>
        <v>201856.44999999998</v>
      </c>
      <c r="F68" s="370">
        <f>+Mojave!A40</f>
        <v>37273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78768</v>
      </c>
      <c r="C69" s="351">
        <f>+B69*$G$4</f>
        <v>169351.19999999998</v>
      </c>
      <c r="D69" s="47">
        <f>+SoCal!D47</f>
        <v>276765.2</v>
      </c>
      <c r="E69" s="47">
        <f>+C69-D69</f>
        <v>-107414.00000000003</v>
      </c>
      <c r="F69" s="370">
        <f>+SoCal!A40</f>
        <v>37273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138178.35</v>
      </c>
      <c r="D70" s="47">
        <f>+'El Paso'!C46</f>
        <v>-1582961.01</v>
      </c>
      <c r="E70" s="47">
        <f>+C70-D70</f>
        <v>1721139.36</v>
      </c>
      <c r="F70" s="370">
        <f>+'El Paso'!A39</f>
        <v>37273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31836</v>
      </c>
      <c r="C71" s="354">
        <f>+B71*$G$4</f>
        <v>68447.399999999994</v>
      </c>
      <c r="D71" s="354">
        <f>+'PG&amp;E'!D47</f>
        <v>-139098.4</v>
      </c>
      <c r="E71" s="354">
        <f>+C71-D71</f>
        <v>207545.8</v>
      </c>
      <c r="F71" s="370">
        <f>+'PG&amp;E'!A40</f>
        <v>37273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370702</v>
      </c>
      <c r="C72" s="393">
        <f>SUBTOTAL(9,C68:C71)</f>
        <v>797009.29999999993</v>
      </c>
      <c r="D72" s="393">
        <f>SUBTOTAL(9,D68:D71)</f>
        <v>-1226118.31</v>
      </c>
      <c r="E72" s="393">
        <f>SUBTOTAL(9,E68:E71)</f>
        <v>2023127.61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20216</v>
      </c>
      <c r="C75" s="352">
        <f>+B75*G59</f>
        <v>42857.920000000006</v>
      </c>
      <c r="D75" s="200">
        <f>+'Red C'!D52</f>
        <v>413340.98000000004</v>
      </c>
      <c r="E75" s="47">
        <f>+C75-D75</f>
        <v>-370483.06000000006</v>
      </c>
      <c r="F75" s="369">
        <f>+'Red C'!A45</f>
        <v>37273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11540</v>
      </c>
      <c r="C76" s="351">
        <f>+B76*$G$3</f>
        <v>24464.800000000003</v>
      </c>
      <c r="D76" s="47">
        <f>+Amoco!D47</f>
        <v>361092</v>
      </c>
      <c r="E76" s="47">
        <f>+C76-D76</f>
        <v>-336627.20000000001</v>
      </c>
      <c r="F76" s="370">
        <f>+Amoco!A40</f>
        <v>37273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-56894</v>
      </c>
      <c r="C77" s="351">
        <f>+B77*$G$3</f>
        <v>-120615.28</v>
      </c>
      <c r="D77" s="47">
        <f>+'El Paso'!F46</f>
        <v>-657254.01</v>
      </c>
      <c r="E77" s="47">
        <f>+C77-D77</f>
        <v>536638.73</v>
      </c>
      <c r="F77" s="370">
        <f>+'El Paso'!A39</f>
        <v>37273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-25833</v>
      </c>
      <c r="C78" s="354">
        <f>+B78*$G$3</f>
        <v>-54765.96</v>
      </c>
      <c r="D78" s="354">
        <f>+NW!E49</f>
        <v>-514909.28</v>
      </c>
      <c r="E78" s="354">
        <f>+C78-D78</f>
        <v>460143.32</v>
      </c>
      <c r="F78" s="369">
        <f>+NW!B41</f>
        <v>37272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-50971</v>
      </c>
      <c r="C79" s="393">
        <f>SUBTOTAL(9,C75:C78)</f>
        <v>-108058.51999999999</v>
      </c>
      <c r="D79" s="393">
        <f>SUBTOTAL(9,D75:D78)</f>
        <v>-397730.31000000006</v>
      </c>
      <c r="E79" s="393">
        <f>SUBTOTAL(9,E75:E78)</f>
        <v>289671.78999999998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134010</v>
      </c>
      <c r="C82" s="486">
        <f>+B82*$G$5</f>
        <v>290801.7</v>
      </c>
      <c r="D82" s="47">
        <f>+NGPL!D45</f>
        <v>336729.35</v>
      </c>
      <c r="E82" s="47">
        <f>+C82-D82</f>
        <v>-45927.649999999965</v>
      </c>
      <c r="F82" s="370">
        <f>+NGPL!A38</f>
        <v>37273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-19647</v>
      </c>
      <c r="C83" s="487">
        <f>+B83*$G$4</f>
        <v>-42241.049999999996</v>
      </c>
      <c r="D83" s="47">
        <f>+PEPL!D47</f>
        <v>151771.20000000001</v>
      </c>
      <c r="E83" s="47">
        <f>+C83-D83</f>
        <v>-194012.25</v>
      </c>
      <c r="F83" s="370">
        <f>+PEPL!A41</f>
        <v>37273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37812.049999999996</v>
      </c>
      <c r="D84" s="200">
        <f>+CIG!D49</f>
        <v>385984.85</v>
      </c>
      <c r="E84" s="70">
        <f>+C84-D84</f>
        <v>-348172.79999999999</v>
      </c>
      <c r="F84" s="370">
        <f>+CIG!A42</f>
        <v>37273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35713.83</v>
      </c>
      <c r="C85" s="505">
        <f>+B85*G61</f>
        <v>77499.011100000003</v>
      </c>
      <c r="D85" s="354">
        <f>+Lonestar!D50</f>
        <v>31942.240000000002</v>
      </c>
      <c r="E85" s="354">
        <f>+C85-D85</f>
        <v>45556.771099999998</v>
      </c>
      <c r="F85" s="369">
        <f>+Lonestar!A43</f>
        <v>37273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167663.83000000002</v>
      </c>
      <c r="C86" s="393">
        <f>SUBTOTAL(9,C82:C85)</f>
        <v>363871.71110000001</v>
      </c>
      <c r="D86" s="393">
        <f>SUBTOTAL(9,D82:D85)</f>
        <v>906427.6399999999</v>
      </c>
      <c r="E86" s="393">
        <f>SUBTOTAL(9,E82:E85)</f>
        <v>-542555.92889999994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487394.83</v>
      </c>
      <c r="C88" s="393">
        <f>SUBTOTAL(9,C68:C85)</f>
        <v>1052822.4911</v>
      </c>
      <c r="D88" s="393">
        <f>SUBTOTAL(9,D68:D85)</f>
        <v>-717420.9800000001</v>
      </c>
      <c r="E88" s="393">
        <f>SUBTOTAL(9,E68:E85)</f>
        <v>1770243.4711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2708571.8711000001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1256980.3224584919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42" sqref="C4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2579991</v>
      </c>
      <c r="C37" s="416">
        <f>SUM(C6:C36)</f>
        <v>2621741</v>
      </c>
      <c r="D37" s="416">
        <f>SUM(D6:D36)</f>
        <v>41750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37273</v>
      </c>
      <c r="B40" s="285"/>
      <c r="C40" s="441"/>
      <c r="D40" s="310">
        <f>+D39+D37</f>
        <v>11540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37273</v>
      </c>
      <c r="B46" s="32"/>
      <c r="C46" s="32"/>
      <c r="D46" s="380">
        <f>+D37*'by type_area'!G3</f>
        <v>88510</v>
      </c>
      <c r="H46">
        <v>500</v>
      </c>
    </row>
    <row r="47" spans="1:16" x14ac:dyDescent="0.2">
      <c r="A47" s="32"/>
      <c r="B47" s="32"/>
      <c r="C47" s="32"/>
      <c r="D47" s="200">
        <f>+D46+D45</f>
        <v>361092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7" workbookViewId="0">
      <selection activeCell="C21" sqref="C2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-749135</v>
      </c>
      <c r="C36" s="24">
        <f>SUM(C5:C35)</f>
        <v>-748310</v>
      </c>
      <c r="D36" s="24">
        <f t="shared" si="0"/>
        <v>825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1790.25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37272</v>
      </c>
      <c r="B40"/>
      <c r="C40" s="48"/>
      <c r="D40" s="138">
        <f>+D39+D38</f>
        <v>-31451.160000000003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37272</v>
      </c>
      <c r="B46" s="32"/>
      <c r="C46" s="32"/>
      <c r="D46" s="355">
        <f>+D36</f>
        <v>825</v>
      </c>
    </row>
    <row r="47" spans="1:65" x14ac:dyDescent="0.2">
      <c r="A47" s="32"/>
      <c r="B47" s="32"/>
      <c r="C47" s="32"/>
      <c r="D47" s="14">
        <f>+D46+D45</f>
        <v>-17254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503386+31805</f>
        <v>535191</v>
      </c>
      <c r="C5" s="90">
        <v>529719</v>
      </c>
      <c r="D5" s="90">
        <f>+C5-B5</f>
        <v>-5472</v>
      </c>
      <c r="E5" s="275"/>
      <c r="F5" s="273"/>
    </row>
    <row r="6" spans="1:13" x14ac:dyDescent="0.2">
      <c r="A6" s="87">
        <v>78311</v>
      </c>
      <c r="B6" s="90">
        <f>199220+9658</f>
        <v>208878</v>
      </c>
      <c r="C6" s="90">
        <v>187452</v>
      </c>
      <c r="D6" s="90">
        <f t="shared" ref="D6:D17" si="0">+C6-B6</f>
        <v>-21426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414869+25321</f>
        <v>440190</v>
      </c>
      <c r="C7" s="90">
        <v>461928</v>
      </c>
      <c r="D7" s="90">
        <f t="shared" si="0"/>
        <v>21738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489285+38180</f>
        <v>527465</v>
      </c>
      <c r="C8" s="90">
        <v>426881</v>
      </c>
      <c r="D8" s="90">
        <f t="shared" si="0"/>
        <v>-100584</v>
      </c>
      <c r="E8" s="461"/>
      <c r="F8" s="273"/>
    </row>
    <row r="9" spans="1:13" x14ac:dyDescent="0.2">
      <c r="A9" s="87">
        <v>500293</v>
      </c>
      <c r="B9" s="90">
        <v>258156</v>
      </c>
      <c r="C9" s="90">
        <v>276810</v>
      </c>
      <c r="D9" s="90">
        <f t="shared" si="0"/>
        <v>18654</v>
      </c>
      <c r="E9" s="275"/>
      <c r="F9" s="273"/>
    </row>
    <row r="10" spans="1:13" x14ac:dyDescent="0.2">
      <c r="A10" s="87">
        <v>500302</v>
      </c>
      <c r="B10" s="90"/>
      <c r="C10" s="90">
        <v>4701</v>
      </c>
      <c r="D10" s="90">
        <f t="shared" si="0"/>
        <v>4701</v>
      </c>
      <c r="E10" s="275"/>
      <c r="F10" s="273"/>
    </row>
    <row r="11" spans="1:13" x14ac:dyDescent="0.2">
      <c r="A11" s="87">
        <v>500303</v>
      </c>
      <c r="B11" s="90"/>
      <c r="C11" s="90">
        <v>167805</v>
      </c>
      <c r="D11" s="90">
        <f t="shared" si="0"/>
        <v>167805</v>
      </c>
      <c r="E11" s="275"/>
      <c r="F11" s="273"/>
    </row>
    <row r="12" spans="1:13" x14ac:dyDescent="0.2">
      <c r="A12" s="91">
        <v>500305</v>
      </c>
      <c r="B12" s="90">
        <f>818272+52570</f>
        <v>870842</v>
      </c>
      <c r="C12" s="90">
        <v>826001</v>
      </c>
      <c r="D12" s="90">
        <f t="shared" si="0"/>
        <v>-44841</v>
      </c>
      <c r="E12" s="276"/>
      <c r="F12" s="273"/>
    </row>
    <row r="13" spans="1:13" x14ac:dyDescent="0.2">
      <c r="A13" s="87">
        <v>500307</v>
      </c>
      <c r="B13" s="90">
        <f>43375+3926</f>
        <v>47301</v>
      </c>
      <c r="C13" s="90">
        <v>19152</v>
      </c>
      <c r="D13" s="90">
        <f t="shared" si="0"/>
        <v>-28149</v>
      </c>
      <c r="E13" s="275"/>
      <c r="F13" s="273"/>
    </row>
    <row r="14" spans="1:13" x14ac:dyDescent="0.2">
      <c r="A14" s="87">
        <v>500313</v>
      </c>
      <c r="B14" s="90"/>
      <c r="C14" s="90">
        <v>909</v>
      </c>
      <c r="D14" s="90">
        <f t="shared" si="0"/>
        <v>909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122220+6700</f>
        <v>128920</v>
      </c>
      <c r="C16" s="90"/>
      <c r="D16" s="90">
        <f t="shared" si="0"/>
        <v>-128920</v>
      </c>
      <c r="E16" s="275"/>
      <c r="F16" s="273"/>
    </row>
    <row r="17" spans="1:6" x14ac:dyDescent="0.2">
      <c r="A17" s="87">
        <v>500657</v>
      </c>
      <c r="B17" s="88">
        <f>89821+5381</f>
        <v>95202</v>
      </c>
      <c r="C17" s="88">
        <v>118988</v>
      </c>
      <c r="D17" s="94">
        <f t="shared" si="0"/>
        <v>23786</v>
      </c>
      <c r="E17" s="275"/>
      <c r="F17" s="273"/>
    </row>
    <row r="18" spans="1:6" x14ac:dyDescent="0.2">
      <c r="A18" s="87"/>
      <c r="B18" s="88"/>
      <c r="C18" s="88"/>
      <c r="D18" s="88">
        <f>SUM(D5:D17)</f>
        <v>-91799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2.17</v>
      </c>
      <c r="E19" s="277"/>
      <c r="F19" s="273"/>
    </row>
    <row r="20" spans="1:6" x14ac:dyDescent="0.2">
      <c r="A20" s="87"/>
      <c r="B20" s="88"/>
      <c r="C20" s="88"/>
      <c r="D20" s="96">
        <f>+D19*D18</f>
        <v>-199203.83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37273</v>
      </c>
      <c r="B24" s="88"/>
      <c r="C24" s="88"/>
      <c r="D24" s="321">
        <f>+D22+D20</f>
        <v>-158594.56999999998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37273</v>
      </c>
      <c r="B30" s="32"/>
      <c r="C30" s="32"/>
      <c r="D30" s="355">
        <f>+D18</f>
        <v>-91799</v>
      </c>
    </row>
    <row r="31" spans="1:6" x14ac:dyDescent="0.2">
      <c r="A31" s="32"/>
      <c r="B31" s="32"/>
      <c r="C31" s="32"/>
      <c r="D31" s="14">
        <f>+D30+D29</f>
        <v>-60093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30148</v>
      </c>
      <c r="C20" s="11">
        <v>31567</v>
      </c>
      <c r="D20" s="11">
        <v>33774</v>
      </c>
      <c r="E20" s="11">
        <v>31000</v>
      </c>
      <c r="F20" s="25">
        <f t="shared" si="2"/>
        <v>-1355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545099</v>
      </c>
      <c r="C35" s="11">
        <f>SUM(C4:C34)</f>
        <v>556229</v>
      </c>
      <c r="D35" s="11">
        <f>SUM(D4:D34)</f>
        <v>544099</v>
      </c>
      <c r="E35" s="11">
        <f>SUM(E4:E34)</f>
        <v>540362</v>
      </c>
      <c r="F35" s="11">
        <f>+E35-D35+C35-B35</f>
        <v>7393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2.15</v>
      </c>
    </row>
    <row r="38" spans="1:7" x14ac:dyDescent="0.2">
      <c r="C38" s="48"/>
      <c r="D38" s="47"/>
      <c r="E38" s="48"/>
      <c r="F38" s="46">
        <f>+F37*F35</f>
        <v>15894.949999999999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37273</v>
      </c>
      <c r="C41" s="106"/>
      <c r="D41" s="106"/>
      <c r="E41" s="106"/>
      <c r="F41" s="106">
        <f>+F38+F40</f>
        <v>476321.64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37273</v>
      </c>
      <c r="D47" s="355">
        <f>+F35</f>
        <v>7393</v>
      </c>
      <c r="E47" s="11"/>
      <c r="F47" s="11"/>
      <c r="G47" s="25"/>
    </row>
    <row r="48" spans="1:7" x14ac:dyDescent="0.2">
      <c r="D48" s="14">
        <f>+D47+D46</f>
        <v>25360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2" sqref="E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2841663</v>
      </c>
      <c r="C36" s="11">
        <f>SUM(C5:C35)</f>
        <v>2853687</v>
      </c>
      <c r="D36" s="11">
        <f>SUM(D5:D35)</f>
        <v>0</v>
      </c>
      <c r="E36" s="11">
        <f>SUM(E5:E35)</f>
        <v>-15468</v>
      </c>
      <c r="F36" s="11">
        <f>SUM(F5:F35)</f>
        <v>-3444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37272</v>
      </c>
      <c r="F41" s="336">
        <f>+F39+F36</f>
        <v>-25833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37272</v>
      </c>
      <c r="C48" s="32"/>
      <c r="D48" s="32"/>
      <c r="E48" s="380">
        <f>+F36*'by type_area'!G3</f>
        <v>-7301.2800000000007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-514909.28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8" sqref="C4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94981</v>
      </c>
      <c r="C24" s="11">
        <v>93956</v>
      </c>
      <c r="D24" s="11">
        <f t="shared" si="0"/>
        <v>-1025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1656436</v>
      </c>
      <c r="C39" s="11">
        <f>SUM(C8:C38)</f>
        <v>1661936</v>
      </c>
      <c r="D39" s="11">
        <f>SUM(D8:D38)</f>
        <v>5500</v>
      </c>
      <c r="E39" s="10"/>
      <c r="F39" s="11"/>
      <c r="G39" s="11"/>
      <c r="H39" s="11"/>
    </row>
    <row r="40" spans="1:8" x14ac:dyDescent="0.2">
      <c r="A40" s="26"/>
      <c r="D40" s="75">
        <f>+summary!G4</f>
        <v>2.15</v>
      </c>
      <c r="E40" s="26"/>
      <c r="H40" s="75"/>
    </row>
    <row r="41" spans="1:8" x14ac:dyDescent="0.2">
      <c r="D41" s="195">
        <f>+D40*D39</f>
        <v>11825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37273</v>
      </c>
      <c r="D43" s="196">
        <f>+D42+D41</f>
        <v>24646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37273</v>
      </c>
      <c r="B49" s="32"/>
      <c r="C49" s="32"/>
      <c r="D49" s="355">
        <f>+D39</f>
        <v>5500</v>
      </c>
    </row>
    <row r="50" spans="1:4" x14ac:dyDescent="0.2">
      <c r="A50" s="32"/>
      <c r="B50" s="32"/>
      <c r="C50" s="32"/>
      <c r="D50" s="14">
        <f>+D49+D48</f>
        <v>-44282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27" workbookViewId="0">
      <selection activeCell="B46" sqref="B4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37273</v>
      </c>
      <c r="I7" s="3" t="s">
        <v>259</v>
      </c>
      <c r="J7" s="15"/>
    </row>
    <row r="8" spans="1:14" x14ac:dyDescent="0.2">
      <c r="A8" s="248">
        <v>50895</v>
      </c>
      <c r="B8" s="343">
        <f>3910-3553-228</f>
        <v>129</v>
      </c>
      <c r="J8" s="15"/>
    </row>
    <row r="9" spans="1:14" x14ac:dyDescent="0.2">
      <c r="A9" s="248">
        <v>60874</v>
      </c>
      <c r="B9" s="343">
        <v>2144</v>
      </c>
      <c r="J9" s="15"/>
    </row>
    <row r="10" spans="1:14" x14ac:dyDescent="0.2">
      <c r="A10" s="248">
        <v>78169</v>
      </c>
      <c r="B10" s="343">
        <f>253793-238041-17043</f>
        <v>-1291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6800-8961</f>
        <v>-2161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3060-1791</f>
        <v>1269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6800-1365-210</f>
        <v>5225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951324-875703-59041</f>
        <v>16580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21768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2.17</v>
      </c>
      <c r="C19" s="199">
        <f>+B19*B18</f>
        <v>47236.56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1578506.12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2.15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37273</v>
      </c>
      <c r="F39" s="355">
        <f>+B18</f>
        <v>21768</v>
      </c>
      <c r="G39" s="355">
        <f>+B31</f>
        <v>0</v>
      </c>
      <c r="H39" s="355">
        <f>+B46</f>
        <v>3450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400330</v>
      </c>
      <c r="G40" s="14">
        <f>+G39+G38</f>
        <v>117857</v>
      </c>
      <c r="H40" s="14">
        <f>+H39+H38</f>
        <v>190426</v>
      </c>
      <c r="I40" s="14">
        <f>+H40+G40+F40</f>
        <v>708613</v>
      </c>
    </row>
    <row r="41" spans="1:9" x14ac:dyDescent="0.2">
      <c r="G41" s="32"/>
      <c r="H41" s="15"/>
      <c r="I41" s="32"/>
    </row>
    <row r="42" spans="1:9" x14ac:dyDescent="0.2">
      <c r="A42" s="245">
        <v>37273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6"/>
      <c r="I44" s="14"/>
    </row>
    <row r="45" spans="1:9" x14ac:dyDescent="0.2">
      <c r="A45" s="32">
        <v>500392</v>
      </c>
      <c r="B45" s="250">
        <v>1457</v>
      </c>
      <c r="G45" s="32"/>
      <c r="H45" s="386"/>
      <c r="I45" s="14"/>
    </row>
    <row r="46" spans="1:9" x14ac:dyDescent="0.2">
      <c r="B46" s="14">
        <f>SUM(B43:B45)</f>
        <v>3450</v>
      </c>
      <c r="G46" s="32"/>
      <c r="H46" s="386"/>
      <c r="I46" s="14"/>
    </row>
    <row r="47" spans="1:9" x14ac:dyDescent="0.2">
      <c r="B47" s="199">
        <f>+summary!G5</f>
        <v>2.17</v>
      </c>
      <c r="C47" s="199">
        <f>+B47*B46</f>
        <v>7486.5</v>
      </c>
      <c r="H47" s="386"/>
      <c r="I47" s="14"/>
    </row>
    <row r="48" spans="1:9" x14ac:dyDescent="0.2">
      <c r="C48" s="324">
        <f>+C47+C40</f>
        <v>849863.29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2800740.56</v>
      </c>
      <c r="I57" s="14">
        <f>SUM(I40:I54)</f>
        <v>763946</v>
      </c>
    </row>
    <row r="61" spans="1:9" x14ac:dyDescent="0.2">
      <c r="C61" s="15">
        <f>+DEFS!F49</f>
        <v>-2793358.92</v>
      </c>
    </row>
    <row r="62" spans="1:9" x14ac:dyDescent="0.2">
      <c r="C62" s="15">
        <f>+C61+C57</f>
        <v>7381.6400000001304</v>
      </c>
      <c r="I62" s="31">
        <f>+I57+DEFS!K49</f>
        <v>331733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E16" sqref="E1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416872</v>
      </c>
      <c r="E35" s="11">
        <f>SUM(E4:E34)</f>
        <v>408000</v>
      </c>
      <c r="F35" s="11">
        <f>SUM(F4:F34)</f>
        <v>-8872</v>
      </c>
      <c r="G35" s="11"/>
      <c r="H35" s="49">
        <f>+A40</f>
        <v>37273</v>
      </c>
      <c r="I35" s="355">
        <f>+C36</f>
        <v>0</v>
      </c>
      <c r="J35" s="355">
        <f>+E36</f>
        <v>-8872</v>
      </c>
      <c r="K35" s="206"/>
      <c r="L35" s="14"/>
    </row>
    <row r="36" spans="1:13" x14ac:dyDescent="0.2">
      <c r="C36" s="25">
        <f>+C35-B35</f>
        <v>0</v>
      </c>
      <c r="E36" s="25">
        <f>+E35-D35</f>
        <v>-8872</v>
      </c>
      <c r="F36" s="25">
        <f>+E36+C36</f>
        <v>-8872</v>
      </c>
      <c r="H36" s="32"/>
      <c r="I36" s="14">
        <f>+I35+I34</f>
        <v>-183022</v>
      </c>
      <c r="J36" s="14">
        <f>+J35+J34</f>
        <v>-137469</v>
      </c>
      <c r="K36" s="14">
        <f>+J36+I36</f>
        <v>-320491</v>
      </c>
      <c r="L36" s="14"/>
    </row>
    <row r="37" spans="1:13" x14ac:dyDescent="0.2">
      <c r="C37" s="316">
        <f>+summary!G5</f>
        <v>2.17</v>
      </c>
      <c r="E37" s="104">
        <f>+C37</f>
        <v>2.17</v>
      </c>
      <c r="F37" s="138">
        <f>+F36*E37</f>
        <v>-19252.239999999998</v>
      </c>
    </row>
    <row r="38" spans="1:13" x14ac:dyDescent="0.2">
      <c r="C38" s="138">
        <f>+C37*C36</f>
        <v>0</v>
      </c>
      <c r="E38" s="136">
        <f>+E37*E36</f>
        <v>-19252.239999999998</v>
      </c>
      <c r="F38" s="138">
        <f>+E38+C38</f>
        <v>-19252.239999999998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37273</v>
      </c>
      <c r="B40" s="2" t="s">
        <v>45</v>
      </c>
      <c r="C40" s="317">
        <f>+C39+C38</f>
        <v>-1033420.01</v>
      </c>
      <c r="D40" s="252"/>
      <c r="E40" s="317">
        <f>+E39+E38</f>
        <v>-591102.57999999996</v>
      </c>
      <c r="F40" s="317">
        <f>+E40+C40</f>
        <v>-1624522.5899999999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-2793358.92</v>
      </c>
      <c r="G49" s="246"/>
      <c r="K49" s="14">
        <f>SUM(K36:K48)</f>
        <v>-432213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2800740.56</v>
      </c>
      <c r="M51" s="14">
        <f>+Duke!I57</f>
        <v>763946</v>
      </c>
    </row>
    <row r="53" spans="3:13" x14ac:dyDescent="0.2">
      <c r="F53" s="104">
        <f>+F51+F49</f>
        <v>7381.6400000001304</v>
      </c>
      <c r="M53" s="16">
        <f>+M51+K49</f>
        <v>331733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-137469</v>
      </c>
      <c r="C74" s="247">
        <f>+E40</f>
        <v>-591102.57999999996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849863.29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400330</v>
      </c>
      <c r="C79" s="259">
        <f>+Duke!C20</f>
        <v>1578506.12</v>
      </c>
    </row>
    <row r="81" spans="2:3" x14ac:dyDescent="0.2">
      <c r="B81" s="31">
        <f>SUM(B68:B80)</f>
        <v>331733</v>
      </c>
      <c r="C81" s="259">
        <f>SUM(C68:C80)</f>
        <v>7381.6399999998976</v>
      </c>
    </row>
    <row r="82" spans="2:3" x14ac:dyDescent="0.2">
      <c r="C82">
        <f>+C81/B81</f>
        <v>2.2251750654893838E-2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" workbookViewId="0">
      <selection activeCell="F47" sqref="F47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6082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-1483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89411</v>
      </c>
      <c r="C39" s="11">
        <f t="shared" si="1"/>
        <v>91856</v>
      </c>
      <c r="D39" s="11">
        <f t="shared" si="1"/>
        <v>11288</v>
      </c>
      <c r="E39" s="11">
        <f t="shared" si="1"/>
        <v>11969</v>
      </c>
      <c r="F39" s="129">
        <f t="shared" si="1"/>
        <v>15107</v>
      </c>
      <c r="G39" s="11">
        <f t="shared" si="1"/>
        <v>13742</v>
      </c>
      <c r="H39" s="11">
        <f t="shared" si="1"/>
        <v>23994</v>
      </c>
      <c r="I39" s="11">
        <f t="shared" si="1"/>
        <v>17968</v>
      </c>
      <c r="J39" s="25">
        <f t="shared" si="1"/>
        <v>-4265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-9169.75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37272</v>
      </c>
      <c r="C43" s="48"/>
      <c r="J43" s="138">
        <f>+J42+J41</f>
        <v>397730.17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37272</v>
      </c>
      <c r="B48" s="32"/>
      <c r="C48" s="32"/>
      <c r="D48" s="355">
        <f>+J39</f>
        <v>-4265</v>
      </c>
      <c r="L48"/>
    </row>
    <row r="49" spans="1:12" x14ac:dyDescent="0.2">
      <c r="A49" s="32"/>
      <c r="B49" s="32"/>
      <c r="C49" s="32"/>
      <c r="D49" s="14">
        <f>+D48+D47</f>
        <v>162703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-8167.8499999999995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37272</v>
      </c>
      <c r="B43" s="285"/>
      <c r="C43" s="441"/>
      <c r="D43" s="441"/>
      <c r="E43" s="441"/>
      <c r="F43" s="422">
        <f>+F42+F41</f>
        <v>172021.97999999998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37272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A24" sqref="A24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2.12</v>
      </c>
      <c r="J3" s="379">
        <f ca="1">NOW()</f>
        <v>37274.760221064818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2.15</v>
      </c>
    </row>
    <row r="5" spans="1:33" ht="15" customHeight="1" x14ac:dyDescent="0.2">
      <c r="B5" s="348"/>
      <c r="F5" s="289" t="s">
        <v>117</v>
      </c>
      <c r="G5" s="349">
        <f>+'[3]1001'!$E$39</f>
        <v>2.17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1578506.12</v>
      </c>
      <c r="C8" s="206">
        <f>+B8/$G$5</f>
        <v>727422.17511520744</v>
      </c>
      <c r="D8" s="369">
        <f>+Duke!A7</f>
        <v>37273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1222234.44</v>
      </c>
      <c r="C9" s="206">
        <f>+B9/$G$5</f>
        <v>563241.67741935479</v>
      </c>
      <c r="D9" s="369">
        <f>+DEFS!A40</f>
        <v>37273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806072.2699999999</v>
      </c>
      <c r="C10" s="275">
        <f>+B10/$G$4</f>
        <v>374917.33488372091</v>
      </c>
      <c r="D10" s="370">
        <f>+PNM!A23</f>
        <v>37272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476321.64</v>
      </c>
      <c r="C11" s="275">
        <f>+B11/$G$4</f>
        <v>221544.94883720932</v>
      </c>
      <c r="D11" s="369">
        <f>+Conoco!A41</f>
        <v>37273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421032.35</v>
      </c>
      <c r="C12" s="275">
        <f>+Mojave!D40</f>
        <v>195829</v>
      </c>
      <c r="D12" s="370">
        <f>+Mojave!A40</f>
        <v>37273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397730.17</v>
      </c>
      <c r="C13" s="275">
        <f>+B13/$G$4</f>
        <v>184990.77674418603</v>
      </c>
      <c r="D13" s="370">
        <f>+mewborne!A43</f>
        <v>37272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290801.7</v>
      </c>
      <c r="C14" s="275">
        <f>+NGPL!F38</f>
        <v>134010</v>
      </c>
      <c r="D14" s="370">
        <f>+NGPL!A38</f>
        <v>37273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262758.74</v>
      </c>
      <c r="C15" s="275">
        <f>+B15/$G$4</f>
        <v>122213.36744186046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+B8+B9+B40</f>
        <v>7381.6400000001304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48" t="s">
        <v>207</v>
      </c>
      <c r="B16" s="486">
        <f>+Dominion!D41</f>
        <v>176995.79</v>
      </c>
      <c r="C16" s="275">
        <f>+B16/$G$5</f>
        <v>81564.880184331807</v>
      </c>
      <c r="D16" s="370">
        <f>+Dominion!A41</f>
        <v>37273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3</v>
      </c>
      <c r="B17" s="486">
        <f>+'Amoco Abo'!$F$43</f>
        <v>172021.97999999998</v>
      </c>
      <c r="C17" s="275">
        <f>+B17/$G$4</f>
        <v>80010.223255813951</v>
      </c>
      <c r="D17" s="370">
        <f>+'Amoco Abo'!A43</f>
        <v>37272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514" t="s">
        <v>32</v>
      </c>
      <c r="B18" s="486">
        <f>+C18*$G$4</f>
        <v>169351.19999999998</v>
      </c>
      <c r="C18" s="206">
        <f>+SoCal!F40</f>
        <v>78768</v>
      </c>
      <c r="D18" s="369">
        <f>+SoCal!A40</f>
        <v>37273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210</v>
      </c>
      <c r="B19" s="486">
        <f>+Devon!D41</f>
        <v>155053.74</v>
      </c>
      <c r="C19" s="275">
        <f>+B19/$G$5</f>
        <v>71453.336405529946</v>
      </c>
      <c r="D19" s="370">
        <f>+Devon!A41</f>
        <v>37273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127</v>
      </c>
      <c r="B20" s="486">
        <f>+Calpine!D41</f>
        <v>119877.77</v>
      </c>
      <c r="C20" s="206">
        <f>+B20/$G$4</f>
        <v>55757.1023255814</v>
      </c>
      <c r="D20" s="369">
        <f>+Calpine!A41</f>
        <v>37273</v>
      </c>
      <c r="E20" s="204" t="s">
        <v>85</v>
      </c>
      <c r="F20" s="204" t="s">
        <v>153</v>
      </c>
      <c r="G20" s="204" t="s">
        <v>99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514" t="s">
        <v>334</v>
      </c>
      <c r="B21" s="486">
        <f>+Plains!$N$43</f>
        <v>107948.28</v>
      </c>
      <c r="C21" s="206">
        <f>+B21/$G$4</f>
        <v>50208.502325581394</v>
      </c>
      <c r="D21" s="369">
        <f>+Plains!A43</f>
        <v>37256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218</v>
      </c>
      <c r="B22" s="486">
        <f>+Amarillo!P41</f>
        <v>92632.75</v>
      </c>
      <c r="C22" s="275">
        <f>+B22/$G$4</f>
        <v>43085</v>
      </c>
      <c r="D22" s="370">
        <f>+Amarillo!A41</f>
        <v>37273</v>
      </c>
      <c r="E22" s="32" t="s">
        <v>85</v>
      </c>
      <c r="F22" s="32" t="s">
        <v>328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31</v>
      </c>
      <c r="B23" s="351">
        <f>+C23*$G$5</f>
        <v>77499.011100000003</v>
      </c>
      <c r="C23" s="275">
        <f>+Lonestar!F43</f>
        <v>35713.83</v>
      </c>
      <c r="D23" s="369">
        <f>+Lonestar!A43</f>
        <v>37273</v>
      </c>
      <c r="E23" s="32" t="s">
        <v>84</v>
      </c>
      <c r="F23" s="32" t="s">
        <v>328</v>
      </c>
      <c r="G23" s="32" t="s">
        <v>102</v>
      </c>
      <c r="H23" s="32" t="s">
        <v>310</v>
      </c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129</v>
      </c>
      <c r="B24" s="486">
        <f>+EPFS!D41</f>
        <v>74488.28</v>
      </c>
      <c r="C24" s="206">
        <f>+B24/$G$5</f>
        <v>34326.396313364057</v>
      </c>
      <c r="D24" s="369">
        <f>+EPFS!A41</f>
        <v>37273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48" t="s">
        <v>114</v>
      </c>
      <c r="B25" s="486">
        <f>+C25*$G$4</f>
        <v>68447.399999999994</v>
      </c>
      <c r="C25" s="206">
        <f>+'PG&amp;E'!D40</f>
        <v>31836</v>
      </c>
      <c r="D25" s="370">
        <f>+'PG&amp;E'!A40</f>
        <v>37273</v>
      </c>
      <c r="E25" s="32" t="s">
        <v>84</v>
      </c>
      <c r="F25" s="32" t="s">
        <v>154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103</v>
      </c>
      <c r="B26" s="351">
        <f>+EOG!$J$41</f>
        <v>59967.509999999995</v>
      </c>
      <c r="C26" s="275">
        <f>+B26/$G$4</f>
        <v>27891.86511627907</v>
      </c>
      <c r="D26" s="369">
        <f>+EOG!A41</f>
        <v>37268</v>
      </c>
      <c r="E26" s="32" t="s">
        <v>85</v>
      </c>
      <c r="F26" s="32" t="s">
        <v>327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514" t="s">
        <v>28</v>
      </c>
      <c r="B27" s="351">
        <f>+C27*$G$3</f>
        <v>58512</v>
      </c>
      <c r="C27" s="275">
        <f>+williams!J40</f>
        <v>27600</v>
      </c>
      <c r="D27" s="369">
        <f>+williams!A40</f>
        <v>37273</v>
      </c>
      <c r="E27" s="204" t="s">
        <v>85</v>
      </c>
      <c r="F27" s="204" t="s">
        <v>154</v>
      </c>
      <c r="G27" s="204" t="s">
        <v>317</v>
      </c>
      <c r="H27" s="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248" t="s">
        <v>23</v>
      </c>
      <c r="B28" s="351">
        <f>+C28*$G$3</f>
        <v>42857.920000000006</v>
      </c>
      <c r="C28" s="353">
        <f>+'Red C'!$F$45</f>
        <v>20216</v>
      </c>
      <c r="D28" s="369">
        <f>+'Red C'!A45</f>
        <v>37273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32" t="s">
        <v>324</v>
      </c>
      <c r="B29" s="351">
        <f>+Stratland!$D$41</f>
        <v>42576.81</v>
      </c>
      <c r="C29" s="275">
        <f>+B29/$G$4</f>
        <v>19803.167441860463</v>
      </c>
      <c r="D29" s="369">
        <f>+EOG!A47</f>
        <v>37268</v>
      </c>
      <c r="E29" s="32" t="s">
        <v>85</v>
      </c>
      <c r="F29" s="32" t="s">
        <v>327</v>
      </c>
      <c r="G29" s="32" t="s">
        <v>102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248" t="s">
        <v>110</v>
      </c>
      <c r="B30" s="351">
        <f>+C30*$G$4</f>
        <v>37812.049999999996</v>
      </c>
      <c r="C30" s="275">
        <f>+CIG!D42</f>
        <v>17587</v>
      </c>
      <c r="D30" s="370">
        <f>+CIG!A42</f>
        <v>37273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303</v>
      </c>
      <c r="B31" s="486">
        <f>+'WTG inc'!N43</f>
        <v>36657.14</v>
      </c>
      <c r="C31" s="275">
        <f>+B31/$G$4</f>
        <v>17049.832558139537</v>
      </c>
      <c r="D31" s="370">
        <f>+'WTG inc'!A43</f>
        <v>37273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514" t="s">
        <v>109</v>
      </c>
      <c r="B32" s="486">
        <f>+Continental!F43</f>
        <v>34692</v>
      </c>
      <c r="C32" s="206">
        <f>+B32/$G$4</f>
        <v>16135.813953488372</v>
      </c>
      <c r="D32" s="369">
        <f>+Continental!A43</f>
        <v>37268</v>
      </c>
      <c r="E32" s="204" t="s">
        <v>85</v>
      </c>
      <c r="F32" s="204" t="s">
        <v>154</v>
      </c>
      <c r="G32" s="204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514" t="s">
        <v>87</v>
      </c>
      <c r="B33" s="351">
        <f>+NNG!$D$24</f>
        <v>30920.050000000003</v>
      </c>
      <c r="C33" s="275">
        <f>+B33/$G$4</f>
        <v>14381.418604651164</v>
      </c>
      <c r="D33" s="369">
        <f>+NNG!A24</f>
        <v>37272</v>
      </c>
      <c r="E33" s="204" t="s">
        <v>85</v>
      </c>
      <c r="F33" s="204" t="s">
        <v>327</v>
      </c>
      <c r="G33" s="204" t="s">
        <v>100</v>
      </c>
      <c r="H33" s="204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2.95" customHeight="1" x14ac:dyDescent="0.2">
      <c r="A34" s="514" t="s">
        <v>71</v>
      </c>
      <c r="B34" s="352">
        <f>+transcol!$D$43</f>
        <v>24646</v>
      </c>
      <c r="C34" s="353">
        <f>+B34/$G$4</f>
        <v>11463.255813953489</v>
      </c>
      <c r="D34" s="369">
        <f>+transcol!A43</f>
        <v>37273</v>
      </c>
      <c r="E34" s="204" t="s">
        <v>85</v>
      </c>
      <c r="F34" s="204" t="s">
        <v>153</v>
      </c>
      <c r="G34" s="204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3.5" customHeight="1" x14ac:dyDescent="0.2">
      <c r="A35" s="248" t="s">
        <v>315</v>
      </c>
      <c r="B35" s="486">
        <f>+C35*$G$3</f>
        <v>24464.800000000003</v>
      </c>
      <c r="C35" s="275">
        <f>+Amoco!D40</f>
        <v>11540</v>
      </c>
      <c r="D35" s="370">
        <f>+Amoco!A40</f>
        <v>37273</v>
      </c>
      <c r="E35" s="32" t="s">
        <v>84</v>
      </c>
      <c r="F35" s="32" t="s">
        <v>153</v>
      </c>
      <c r="G35" s="32" t="s">
        <v>115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">
      <c r="A36" s="248" t="s">
        <v>131</v>
      </c>
      <c r="B36" s="354">
        <f>+SidR!D41</f>
        <v>23896.350000000002</v>
      </c>
      <c r="C36" s="71">
        <f>+B36/$G$5</f>
        <v>11012.142857142859</v>
      </c>
      <c r="D36" s="370">
        <f>+SidR!A41</f>
        <v>37272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">
      <c r="A37" s="32" t="s">
        <v>96</v>
      </c>
      <c r="B37" s="47">
        <f>SUM(B8:B36)</f>
        <v>7086776.2610999998</v>
      </c>
      <c r="C37" s="69">
        <f>SUM(C8:C36)</f>
        <v>3281573.047597257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514" t="s">
        <v>249</v>
      </c>
      <c r="B40" s="487">
        <f>+DEFS!$C$40+DEFS!$E$40+DEFS!$F$44+DEFS!$F$45+DEFS!$F$46+DEFS!$F$47+DEFS!$F$48</f>
        <v>-2793358.92</v>
      </c>
      <c r="C40" s="353">
        <f>+B40/$G$5</f>
        <v>-1287262.1751152074</v>
      </c>
      <c r="D40" s="369">
        <f>+DEFS!A40</f>
        <v>37273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135</v>
      </c>
      <c r="B41" s="486">
        <f>+Citizens!D18</f>
        <v>-554808.94000000006</v>
      </c>
      <c r="C41" s="206">
        <f>+B41/$G$4</f>
        <v>-258050.6697674419</v>
      </c>
      <c r="D41" s="369">
        <f>+Citizens!A18</f>
        <v>37272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48" t="s">
        <v>133</v>
      </c>
      <c r="B42" s="486">
        <f>+'NS Steel'!D41</f>
        <v>-312248.15000000002</v>
      </c>
      <c r="C42" s="206">
        <f>+B42/$G$4</f>
        <v>-145231.69767441862</v>
      </c>
      <c r="D42" s="370">
        <f>+'NS Steel'!A41</f>
        <v>37273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514" t="s">
        <v>261</v>
      </c>
      <c r="B43" s="486">
        <f>+MiVida_Rich!D41</f>
        <v>-203736.06</v>
      </c>
      <c r="C43" s="206">
        <f>+B43/$G$5</f>
        <v>-93887.585253456229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5" t="s">
        <v>79</v>
      </c>
      <c r="B44" s="518">
        <f>+Agave!$D$24</f>
        <v>-158594.56999999998</v>
      </c>
      <c r="C44" s="469">
        <f>+B44/$G$4</f>
        <v>-73764.916279069759</v>
      </c>
      <c r="D44" s="468">
        <f>+Agave!A24</f>
        <v>37273</v>
      </c>
      <c r="E44" s="448" t="s">
        <v>85</v>
      </c>
      <c r="F44" s="448" t="s">
        <v>328</v>
      </c>
      <c r="G44" s="448" t="s">
        <v>102</v>
      </c>
      <c r="H44" s="448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">
      <c r="A45" s="248" t="s">
        <v>216</v>
      </c>
      <c r="B45" s="486">
        <f>+crosstex!F41</f>
        <v>-107315.73999999999</v>
      </c>
      <c r="C45" s="206">
        <f>+B45/$G$4</f>
        <v>-49914.297674418602</v>
      </c>
      <c r="D45" s="370">
        <f>+crosstex!A41</f>
        <v>37272</v>
      </c>
      <c r="E45" s="32" t="s">
        <v>85</v>
      </c>
      <c r="F45" s="32" t="s">
        <v>152</v>
      </c>
      <c r="G45" s="32" t="s">
        <v>100</v>
      </c>
      <c r="H45" s="357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">
      <c r="A46" s="248" t="s">
        <v>147</v>
      </c>
      <c r="B46" s="351">
        <f>+PGETX!$H$39</f>
        <v>-50443.100000000006</v>
      </c>
      <c r="C46" s="275">
        <f>+B46/$G$4</f>
        <v>-23461.906976744191</v>
      </c>
      <c r="D46" s="370">
        <f>+PGETX!E39</f>
        <v>37273</v>
      </c>
      <c r="E46" s="32" t="s">
        <v>85</v>
      </c>
      <c r="F46" s="32" t="s">
        <v>154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">
      <c r="A47" s="514" t="s">
        <v>142</v>
      </c>
      <c r="B47" s="352">
        <f>+C47*$G$4</f>
        <v>-42241.049999999996</v>
      </c>
      <c r="C47" s="353">
        <f>+PEPL!D41</f>
        <v>-19647</v>
      </c>
      <c r="D47" s="369">
        <f>+PEPL!A41</f>
        <v>37273</v>
      </c>
      <c r="E47" s="204" t="s">
        <v>84</v>
      </c>
      <c r="F47" s="204" t="s">
        <v>328</v>
      </c>
      <c r="G47" s="204" t="s">
        <v>100</v>
      </c>
      <c r="H47" s="32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48" t="s">
        <v>6</v>
      </c>
      <c r="B48" s="486">
        <f>+Oasis!$D$40</f>
        <v>-31451.160000000003</v>
      </c>
      <c r="C48" s="206">
        <f>+B48/$G$5</f>
        <v>-14493.622119815671</v>
      </c>
      <c r="D48" s="370">
        <f>+Oasis!A40</f>
        <v>37272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514" t="s">
        <v>204</v>
      </c>
      <c r="B49" s="487">
        <f>+WTGmktg!J43</f>
        <v>-34119.18</v>
      </c>
      <c r="C49" s="206">
        <f>+B49/$G$4</f>
        <v>-15869.386046511629</v>
      </c>
      <c r="D49" s="369">
        <f>+WTGmktg!A43</f>
        <v>37273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48" t="s">
        <v>1</v>
      </c>
      <c r="B50" s="486">
        <f>+C50*$G$3</f>
        <v>-54765.96</v>
      </c>
      <c r="C50" s="206">
        <f>+NW!$F$41</f>
        <v>-25833</v>
      </c>
      <c r="D50" s="369">
        <f>+NW!B41</f>
        <v>37272</v>
      </c>
      <c r="E50" s="32" t="s">
        <v>84</v>
      </c>
      <c r="F50" s="32" t="s">
        <v>153</v>
      </c>
      <c r="G50" s="32" t="s">
        <v>115</v>
      </c>
      <c r="H50" s="357"/>
      <c r="I50" s="32"/>
      <c r="J50" s="32"/>
      <c r="K50" s="32"/>
      <c r="L50" s="32"/>
      <c r="M50" s="32"/>
      <c r="N50" s="385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248" t="s">
        <v>298</v>
      </c>
      <c r="B51" s="351">
        <f>+SWGasTrans!$D$41</f>
        <v>-24819.73</v>
      </c>
      <c r="C51" s="275">
        <f>+B51/$G$4</f>
        <v>-11544.060465116279</v>
      </c>
      <c r="D51" s="369">
        <f>+SWGasTrans!A41</f>
        <v>37272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 t="s">
        <v>244</v>
      </c>
      <c r="N51" s="385">
        <v>22051</v>
      </c>
      <c r="O51" s="70">
        <v>-527215</v>
      </c>
      <c r="P51" s="32" t="s">
        <v>247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293" customFormat="1" ht="13.5" customHeight="1" x14ac:dyDescent="0.2">
      <c r="A52" s="514" t="s">
        <v>139</v>
      </c>
      <c r="B52" s="486">
        <f>+'Citizens-Griffith'!D41</f>
        <v>-20725.679999999993</v>
      </c>
      <c r="C52" s="275">
        <f>+B52/$G$4</f>
        <v>-9639.8511627906955</v>
      </c>
      <c r="D52" s="369">
        <f>+'Citizens-Griffith'!A41</f>
        <v>37273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204"/>
      <c r="N52" s="477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33</v>
      </c>
      <c r="B53" s="486">
        <f>+'El Paso'!C39*summary!G4+'El Paso'!E39*summary!G3</f>
        <v>17563.070000000007</v>
      </c>
      <c r="C53" s="275">
        <f>+'El Paso'!H39</f>
        <v>7375</v>
      </c>
      <c r="D53" s="369">
        <f>+'El Paso'!A39</f>
        <v>37273</v>
      </c>
      <c r="E53" s="204" t="s">
        <v>84</v>
      </c>
      <c r="F53" s="204" t="s">
        <v>154</v>
      </c>
      <c r="G53" s="204" t="s">
        <v>100</v>
      </c>
      <c r="H53" s="204"/>
      <c r="I53" s="204"/>
      <c r="J53" s="204"/>
      <c r="K53" s="204"/>
      <c r="L53" s="204"/>
      <c r="M53" s="32" t="s">
        <v>245</v>
      </c>
      <c r="N53" s="385">
        <v>21665</v>
      </c>
      <c r="O53" s="70">
        <v>73449</v>
      </c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514" t="s">
        <v>95</v>
      </c>
      <c r="B54" s="354">
        <f>+burlington!D42</f>
        <v>-7139.2200000000012</v>
      </c>
      <c r="C54" s="71">
        <f>+B54/$G$3</f>
        <v>-3367.5566037735853</v>
      </c>
      <c r="D54" s="369">
        <f>+burlington!A42</f>
        <v>37272</v>
      </c>
      <c r="E54" s="204" t="s">
        <v>85</v>
      </c>
      <c r="F54" s="32" t="s">
        <v>154</v>
      </c>
      <c r="G54" s="32" t="s">
        <v>113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SUM(B40:B54)</f>
        <v>-4378204.3899999997</v>
      </c>
      <c r="C55" s="206">
        <f>SUM(C40:C54)</f>
        <v>-2024592.7251387646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+B55+B37</f>
        <v>2708571.8711000001</v>
      </c>
      <c r="C57" s="360">
        <f>+C55+C37</f>
        <v>1256980.3224584924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B3" sqref="B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-505521</v>
      </c>
      <c r="C7" s="80">
        <v>-187753</v>
      </c>
      <c r="D7" s="80">
        <f t="shared" si="0"/>
        <v>317768</v>
      </c>
    </row>
    <row r="8" spans="1:4" x14ac:dyDescent="0.2">
      <c r="A8" s="32">
        <v>60667</v>
      </c>
      <c r="B8" s="312">
        <v>-108563</v>
      </c>
      <c r="C8" s="80">
        <v>-671421</v>
      </c>
      <c r="D8" s="80">
        <f t="shared" si="0"/>
        <v>-562858</v>
      </c>
    </row>
    <row r="9" spans="1:4" x14ac:dyDescent="0.2">
      <c r="A9" s="32">
        <v>60749</v>
      </c>
      <c r="B9" s="312">
        <v>70866</v>
      </c>
      <c r="C9" s="80">
        <v>-118846</v>
      </c>
      <c r="D9" s="80">
        <f t="shared" si="0"/>
        <v>-189712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-151672</v>
      </c>
      <c r="C11" s="80"/>
      <c r="D11" s="80">
        <f t="shared" si="0"/>
        <v>151672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-6643</v>
      </c>
    </row>
    <row r="19" spans="1:5" x14ac:dyDescent="0.2">
      <c r="A19" s="32" t="s">
        <v>81</v>
      </c>
      <c r="B19" s="69"/>
      <c r="C19" s="69"/>
      <c r="D19" s="73">
        <f>+summary!G4</f>
        <v>2.15</v>
      </c>
    </row>
    <row r="20" spans="1:5" x14ac:dyDescent="0.2">
      <c r="B20" s="69"/>
      <c r="C20" s="69"/>
      <c r="D20" s="75">
        <f>+D19*D18</f>
        <v>-14282.449999999999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37272</v>
      </c>
      <c r="B24" s="69"/>
      <c r="C24" s="69"/>
      <c r="D24" s="335">
        <f>+D22+D20</f>
        <v>30920.050000000003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37272</v>
      </c>
      <c r="D33" s="355">
        <f>+D18</f>
        <v>-6643</v>
      </c>
    </row>
    <row r="34" spans="1:4" x14ac:dyDescent="0.2">
      <c r="D34" s="14">
        <f>+D33+D32</f>
        <v>13447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-57320</v>
      </c>
      <c r="C5" s="90">
        <v>-28284</v>
      </c>
      <c r="D5" s="90">
        <f t="shared" ref="D5:D13" si="0">+C5-B5</f>
        <v>29036</v>
      </c>
      <c r="E5" s="69"/>
      <c r="F5" s="201"/>
    </row>
    <row r="6" spans="1:13" x14ac:dyDescent="0.2">
      <c r="A6" s="87">
        <v>9238</v>
      </c>
      <c r="B6" s="90">
        <v>-8186</v>
      </c>
      <c r="C6" s="90">
        <v>-16000</v>
      </c>
      <c r="D6" s="90">
        <f t="shared" si="0"/>
        <v>-7814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-1700839</v>
      </c>
      <c r="C7" s="90">
        <v>-1663341</v>
      </c>
      <c r="D7" s="90">
        <f t="shared" si="0"/>
        <v>37498</v>
      </c>
      <c r="E7" s="275"/>
      <c r="F7" s="201"/>
    </row>
    <row r="8" spans="1:13" x14ac:dyDescent="0.2">
      <c r="A8" s="87">
        <v>58710</v>
      </c>
      <c r="B8" s="90">
        <v>-132334</v>
      </c>
      <c r="C8" s="90">
        <v>-126665</v>
      </c>
      <c r="D8" s="90">
        <f t="shared" si="0"/>
        <v>5669</v>
      </c>
      <c r="E8" s="275"/>
      <c r="F8" s="201"/>
    </row>
    <row r="9" spans="1:13" x14ac:dyDescent="0.2">
      <c r="A9" s="87">
        <v>60921</v>
      </c>
      <c r="B9" s="90">
        <v>-505473</v>
      </c>
      <c r="C9" s="90">
        <v>-531417</v>
      </c>
      <c r="D9" s="90">
        <f t="shared" si="0"/>
        <v>-25944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-37363</v>
      </c>
      <c r="C11" s="90">
        <v>-48000</v>
      </c>
      <c r="D11" s="90">
        <f t="shared" si="0"/>
        <v>-10637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-54404</v>
      </c>
      <c r="C13" s="90">
        <v>-64000</v>
      </c>
      <c r="D13" s="90">
        <f t="shared" si="0"/>
        <v>-9596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18213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2.15</v>
      </c>
      <c r="E18" s="277"/>
      <c r="F18" s="472"/>
    </row>
    <row r="19" spans="1:7" x14ac:dyDescent="0.2">
      <c r="A19" s="87"/>
      <c r="B19" s="88"/>
      <c r="C19" s="88"/>
      <c r="D19" s="96">
        <f>+D18*D17</f>
        <v>39157.949999999997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37272</v>
      </c>
      <c r="B23" s="88"/>
      <c r="C23" s="88"/>
      <c r="D23" s="321">
        <f>+D21+D19</f>
        <v>806072.2699999999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37272</v>
      </c>
      <c r="B29" s="32"/>
      <c r="C29" s="32"/>
      <c r="D29" s="355">
        <f>+D17</f>
        <v>18213</v>
      </c>
    </row>
    <row r="30" spans="1:7" x14ac:dyDescent="0.2">
      <c r="A30" s="32"/>
      <c r="B30" s="32"/>
      <c r="C30" s="32"/>
      <c r="D30" s="14">
        <f>+D29+D28</f>
        <v>325535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43" sqref="C4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799015</v>
      </c>
      <c r="C34" s="287">
        <f>SUM(C3:C33)</f>
        <v>809308</v>
      </c>
      <c r="D34" s="14">
        <f>SUM(D3:D33)</f>
        <v>-163576</v>
      </c>
      <c r="E34" s="14">
        <f>SUM(E3:E33)</f>
        <v>-155100</v>
      </c>
      <c r="F34" s="14">
        <f>SUM(F3:F33)</f>
        <v>18769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37273</v>
      </c>
      <c r="B38" s="14"/>
      <c r="C38" s="14"/>
      <c r="D38" s="14"/>
      <c r="E38" s="14"/>
      <c r="F38" s="150">
        <f>+F37+F34</f>
        <v>134010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37273</v>
      </c>
      <c r="B44" s="32"/>
      <c r="C44" s="32"/>
      <c r="D44" s="380">
        <f>+F34*'by type_area'!G4</f>
        <v>40353.35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336729.35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-318211</v>
      </c>
      <c r="C35" s="11">
        <f>SUM(C4:C34)</f>
        <v>-309205</v>
      </c>
      <c r="D35" s="11">
        <f>SUM(D4:D34)</f>
        <v>9006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37273</v>
      </c>
      <c r="D40" s="51">
        <f>+D38+D35</f>
        <v>195829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37273</v>
      </c>
      <c r="B46" s="32"/>
      <c r="C46" s="32"/>
      <c r="D46" s="380">
        <f>+D35*'by type_area'!G4</f>
        <v>19362.899999999998</v>
      </c>
    </row>
    <row r="47" spans="1:4" x14ac:dyDescent="0.2">
      <c r="A47" s="32"/>
      <c r="B47" s="32"/>
      <c r="C47" s="32"/>
      <c r="D47" s="200">
        <f>+D46+D45</f>
        <v>219175.9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55431.299999999996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37268</v>
      </c>
      <c r="J41" s="322">
        <f>+J39+J37</f>
        <v>59967.509999999995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50" sqref="B5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-155210.65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262758.74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130725.74129353235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9" sqref="E2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">
      <c r="A40" s="26"/>
      <c r="C40" s="14"/>
      <c r="F40" s="253">
        <f>+summary!G4</f>
        <v>2.15</v>
      </c>
    </row>
    <row r="41" spans="1:6" x14ac:dyDescent="0.2">
      <c r="F41" s="138">
        <f>+F40*F39</f>
        <v>430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37268</v>
      </c>
      <c r="C43" s="48"/>
      <c r="F43" s="138">
        <f>+F42+F41</f>
        <v>34692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37268</v>
      </c>
      <c r="B49" s="32"/>
      <c r="C49" s="32"/>
      <c r="D49" s="355">
        <f>+F39</f>
        <v>200</v>
      </c>
    </row>
    <row r="50" spans="1:4" x14ac:dyDescent="0.2">
      <c r="A50" s="32"/>
      <c r="B50" s="32"/>
      <c r="C50" s="32"/>
      <c r="D50" s="14">
        <f>+D49+D48</f>
        <v>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7" workbookViewId="0">
      <selection activeCell="A19" sqref="A19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37273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37273</v>
      </c>
      <c r="B48" s="32"/>
      <c r="C48" s="32"/>
      <c r="D48" s="380">
        <f>+D39*summary!G4</f>
        <v>2706.85</v>
      </c>
    </row>
    <row r="49" spans="1:4" x14ac:dyDescent="0.2">
      <c r="A49" s="32"/>
      <c r="B49" s="32"/>
      <c r="C49" s="32"/>
      <c r="D49" s="200">
        <f>+D48+D47</f>
        <v>385984.85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8" workbookViewId="0">
      <selection activeCell="B23" sqref="B2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-1443347</v>
      </c>
      <c r="I19" s="119">
        <f>+C37</f>
        <v>-1470835</v>
      </c>
      <c r="J19" s="119">
        <f>+I19-H19</f>
        <v>-27488</v>
      </c>
      <c r="K19" s="417">
        <f>+D38</f>
        <v>2.15</v>
      </c>
      <c r="L19" s="422">
        <f>+K19*J19</f>
        <v>-59099.199999999997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>
        <v>-82036</v>
      </c>
      <c r="C21" s="11">
        <v>-85299</v>
      </c>
      <c r="D21" s="25">
        <f t="shared" si="0"/>
        <v>-3263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-57349</v>
      </c>
      <c r="C22" s="11">
        <v>-85299</v>
      </c>
      <c r="D22" s="25">
        <f t="shared" si="0"/>
        <v>-27950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103004</v>
      </c>
      <c r="K24" s="413"/>
      <c r="L24" s="110">
        <f>+L19+L17</f>
        <v>22585.899999999834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10505.069767441784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-1443347</v>
      </c>
      <c r="C37" s="11">
        <f>SUM(C6:C36)</f>
        <v>-1470835</v>
      </c>
      <c r="D37" s="25">
        <f>SUM(D6:D36)</f>
        <v>-27488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-59099.199999999997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37273</v>
      </c>
      <c r="C41" s="48"/>
      <c r="D41" s="138">
        <f>+D40+D39</f>
        <v>119877.77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37273</v>
      </c>
      <c r="B46" s="32"/>
      <c r="C46" s="32"/>
      <c r="D46" s="355">
        <f>+D37</f>
        <v>-27488</v>
      </c>
    </row>
    <row r="47" spans="1:4" x14ac:dyDescent="0.2">
      <c r="A47" s="32"/>
      <c r="B47" s="32"/>
      <c r="C47" s="32"/>
      <c r="D47" s="14">
        <f>+D46+D45</f>
        <v>145658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11" workbookViewId="0">
      <selection activeCell="B23" sqref="B23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539232</v>
      </c>
      <c r="C37" s="11">
        <f>SUM(C6:C36)</f>
        <v>534387</v>
      </c>
      <c r="D37" s="25">
        <f>SUM(D6:D36)</f>
        <v>-4845</v>
      </c>
    </row>
    <row r="38" spans="1:4" x14ac:dyDescent="0.2">
      <c r="A38" s="26"/>
      <c r="B38" s="31"/>
      <c r="C38" s="14"/>
      <c r="D38" s="329">
        <f>+summary!G5</f>
        <v>2.17</v>
      </c>
    </row>
    <row r="39" spans="1:4" x14ac:dyDescent="0.2">
      <c r="D39" s="138">
        <f>+D38*D37</f>
        <v>-10513.65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37273</v>
      </c>
      <c r="C41" s="48"/>
      <c r="D41" s="138">
        <f>+D40+D39</f>
        <v>74488.28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37273</v>
      </c>
      <c r="B46" s="32"/>
      <c r="C46" s="32"/>
      <c r="D46" s="355">
        <f>+D37</f>
        <v>-4845</v>
      </c>
    </row>
    <row r="47" spans="1:4" x14ac:dyDescent="0.2">
      <c r="A47" s="32"/>
      <c r="B47" s="32"/>
      <c r="C47" s="32"/>
      <c r="D47" s="14">
        <f>+D46+D45</f>
        <v>49736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5008940</v>
      </c>
      <c r="C35" s="11">
        <f t="shared" ref="C35:I35" si="3">SUM(C4:C34)</f>
        <v>5005246</v>
      </c>
      <c r="D35" s="11">
        <f t="shared" si="3"/>
        <v>677144</v>
      </c>
      <c r="E35" s="11">
        <f t="shared" si="3"/>
        <v>675940</v>
      </c>
      <c r="F35" s="11">
        <f t="shared" si="3"/>
        <v>707193</v>
      </c>
      <c r="G35" s="11">
        <f t="shared" si="3"/>
        <v>776994</v>
      </c>
      <c r="H35" s="11">
        <f t="shared" si="3"/>
        <v>2101423</v>
      </c>
      <c r="I35" s="11">
        <f t="shared" si="3"/>
        <v>2064120</v>
      </c>
      <c r="J35" s="11">
        <f>SUM(J4:J34)</f>
        <v>27600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37273</v>
      </c>
      <c r="J40" s="51">
        <f>+J38+J35</f>
        <v>27600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37273</v>
      </c>
      <c r="B47" s="32"/>
      <c r="C47" s="32"/>
      <c r="D47" s="380">
        <f>+J35*'by type_area'!G3</f>
        <v>58512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58512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19" workbookViewId="0">
      <selection activeCell="C3" sqref="C3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739331</v>
      </c>
      <c r="C37" s="11">
        <f>SUM(C6:C36)</f>
        <v>731571</v>
      </c>
      <c r="D37" s="25">
        <f>SUM(D6:D36)</f>
        <v>-7760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-16839.2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37272</v>
      </c>
      <c r="C41" s="48"/>
      <c r="D41" s="138">
        <f>+D40+D39</f>
        <v>23896.350000000002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37272</v>
      </c>
      <c r="B47" s="32"/>
      <c r="C47" s="32"/>
      <c r="D47" s="355">
        <f>+D37</f>
        <v>-7760</v>
      </c>
    </row>
    <row r="48" spans="1:4" x14ac:dyDescent="0.2">
      <c r="A48" s="32"/>
      <c r="B48" s="32"/>
      <c r="C48" s="32"/>
      <c r="D48" s="14">
        <f>+D47+D46</f>
        <v>11496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46" sqref="B4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>
        <v>-884</v>
      </c>
      <c r="C22" s="11"/>
      <c r="D22" s="25">
        <f t="shared" si="0"/>
        <v>884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-19351</v>
      </c>
      <c r="C37" s="11">
        <f>SUM(C6:C36)</f>
        <v>908</v>
      </c>
      <c r="D37" s="25">
        <f>SUM(D6:D36)</f>
        <v>20259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43556.85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37273</v>
      </c>
      <c r="C41" s="48"/>
      <c r="D41" s="138">
        <f>+D40+D39</f>
        <v>-312248.15000000002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37273</v>
      </c>
      <c r="B49" s="32"/>
      <c r="C49" s="32"/>
      <c r="D49" s="355">
        <f>+D37</f>
        <v>20259</v>
      </c>
    </row>
    <row r="50" spans="1:4" x14ac:dyDescent="0.2">
      <c r="A50" s="32"/>
      <c r="B50" s="32"/>
      <c r="C50" s="32"/>
      <c r="D50" s="14">
        <f>+D49+D48</f>
        <v>-24362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7" workbookViewId="0">
      <selection activeCell="B22" sqref="B2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-104063</v>
      </c>
      <c r="C37" s="11">
        <f>SUM(C6:C36)</f>
        <v>-145211</v>
      </c>
      <c r="D37" s="25">
        <f>SUM(D6:D36)</f>
        <v>-41148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-88468.2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37273</v>
      </c>
      <c r="C41" s="48"/>
      <c r="D41" s="138">
        <f>+D40+D39</f>
        <v>-20725.679999999993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37273</v>
      </c>
      <c r="B47" s="32"/>
      <c r="C47" s="32"/>
      <c r="D47" s="355">
        <f>+D37</f>
        <v>-41148</v>
      </c>
    </row>
    <row r="48" spans="1:4" x14ac:dyDescent="0.2">
      <c r="A48" s="32"/>
      <c r="B48" s="32"/>
      <c r="C48" s="32"/>
      <c r="D48" s="14">
        <f>+D47+D46</f>
        <v>-4997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>
        <v>-1</v>
      </c>
      <c r="C5" s="90">
        <v>-2016</v>
      </c>
      <c r="D5" s="90">
        <f>+C5-B5</f>
        <v>-2015</v>
      </c>
      <c r="E5" s="275"/>
      <c r="F5" s="273"/>
    </row>
    <row r="6" spans="1:13" x14ac:dyDescent="0.2">
      <c r="A6" s="87">
        <v>500046</v>
      </c>
      <c r="B6" s="90">
        <v>-7056</v>
      </c>
      <c r="C6" s="90"/>
      <c r="D6" s="90">
        <f t="shared" ref="D6:D11" si="0">+C6-B6</f>
        <v>7056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-13565</v>
      </c>
      <c r="C8" s="90">
        <v>-26567</v>
      </c>
      <c r="D8" s="90">
        <f t="shared" si="0"/>
        <v>-13002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-7961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2.15</v>
      </c>
      <c r="E13" s="277"/>
      <c r="F13" s="273"/>
    </row>
    <row r="14" spans="1:13" x14ac:dyDescent="0.2">
      <c r="A14" s="87"/>
      <c r="B14" s="88"/>
      <c r="C14" s="88"/>
      <c r="D14" s="96">
        <f>+D13*D12</f>
        <v>-17116.149999999998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37272</v>
      </c>
      <c r="B18" s="88"/>
      <c r="C18" s="88"/>
      <c r="D18" s="321">
        <f>+D16+D14</f>
        <v>-554808.94000000006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v>37268</v>
      </c>
      <c r="B23" s="32"/>
      <c r="C23" s="32"/>
      <c r="D23" s="355">
        <f>+D12</f>
        <v>-7961</v>
      </c>
    </row>
    <row r="24" spans="1:7" x14ac:dyDescent="0.2">
      <c r="A24" s="32"/>
      <c r="B24" s="32"/>
      <c r="C24" s="32"/>
      <c r="D24" s="14">
        <f>+D23+D22</f>
        <v>-44784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C46" sqref="C46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-414658</v>
      </c>
      <c r="C37" s="11">
        <f>SUM(C6:C36)</f>
        <v>-419990</v>
      </c>
      <c r="D37" s="25">
        <f>SUM(D6:D36)</f>
        <v>-5332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37273</v>
      </c>
      <c r="C41" s="48"/>
      <c r="D41" s="25">
        <f>+D40+D37</f>
        <v>-19647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37273</v>
      </c>
      <c r="B46" s="32"/>
      <c r="C46" s="32"/>
      <c r="D46" s="380">
        <f>+D37*'by type_area'!G4</f>
        <v>-11463.8</v>
      </c>
    </row>
    <row r="47" spans="1:4" x14ac:dyDescent="0.2">
      <c r="A47" s="32"/>
      <c r="B47" s="32"/>
      <c r="C47" s="32"/>
      <c r="D47" s="200">
        <f>+D46+D45</f>
        <v>151771.20000000001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8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-144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-225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-2565</v>
      </c>
      <c r="C37" s="11">
        <f t="shared" ref="C37:I37" si="1">SUM(C6:C36)</f>
        <v>-2890</v>
      </c>
      <c r="D37" s="11">
        <f t="shared" si="1"/>
        <v>0</v>
      </c>
      <c r="E37" s="11">
        <f t="shared" si="1"/>
        <v>0</v>
      </c>
      <c r="F37" s="11">
        <f t="shared" si="1"/>
        <v>-18836</v>
      </c>
      <c r="G37" s="11">
        <f t="shared" si="1"/>
        <v>-17850</v>
      </c>
      <c r="H37" s="11">
        <f t="shared" si="1"/>
        <v>0</v>
      </c>
      <c r="I37" s="11">
        <f t="shared" si="1"/>
        <v>0</v>
      </c>
      <c r="J37" s="11">
        <f>SUM(J6:J36)</f>
        <v>661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1421.1499999999999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37273</v>
      </c>
      <c r="J43" s="322">
        <f>+J41+J39</f>
        <v>-34119.18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37273</v>
      </c>
      <c r="B49" s="32"/>
      <c r="C49" s="32"/>
      <c r="D49" s="355">
        <f>+J37</f>
        <v>661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-2773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-13173</v>
      </c>
      <c r="M37" s="11">
        <f>SUM(M6:M36)</f>
        <v>-10862</v>
      </c>
      <c r="N37" s="11">
        <f t="shared" si="1"/>
        <v>2311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4968.6499999999996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37273</v>
      </c>
      <c r="N43" s="322">
        <f>+N41+N39</f>
        <v>36657.14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37273</v>
      </c>
      <c r="B49" s="32"/>
      <c r="C49" s="32"/>
      <c r="D49" s="355">
        <f>+N37</f>
        <v>2311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13992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223</v>
      </c>
      <c r="C22" s="11">
        <v>150</v>
      </c>
      <c r="D22" s="25">
        <f t="shared" si="0"/>
        <v>-73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3957</v>
      </c>
      <c r="C37" s="11">
        <f>SUM(C6:C36)</f>
        <v>2550</v>
      </c>
      <c r="D37" s="25">
        <f>SUM(D6:D36)</f>
        <v>-1407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-3053.19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37273</v>
      </c>
      <c r="C41" s="48"/>
      <c r="D41" s="138">
        <f>+D40+D39</f>
        <v>176995.79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37273</v>
      </c>
      <c r="B47" s="32"/>
      <c r="C47" s="32"/>
      <c r="D47" s="355">
        <f>+D37</f>
        <v>-1407</v>
      </c>
    </row>
    <row r="48" spans="1:4" x14ac:dyDescent="0.2">
      <c r="A48" s="32"/>
      <c r="B48" s="32"/>
      <c r="C48" s="32"/>
      <c r="D48" s="14">
        <f>+D47+D46</f>
        <v>77606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34</v>
      </c>
      <c r="C22" s="11">
        <v>88</v>
      </c>
      <c r="D22" s="25">
        <f t="shared" si="0"/>
        <v>54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7901</v>
      </c>
      <c r="C37" s="11">
        <f>SUM(C6:C36)</f>
        <v>5026</v>
      </c>
      <c r="D37" s="25">
        <f>SUM(D6:D36)</f>
        <v>-2875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-6238.75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37273</v>
      </c>
      <c r="C41" s="48"/>
      <c r="D41" s="138">
        <f>+D40+D39</f>
        <v>155053.74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37273</v>
      </c>
      <c r="B47" s="32"/>
      <c r="C47" s="32"/>
      <c r="D47" s="355">
        <f>+D37</f>
        <v>-2875</v>
      </c>
    </row>
    <row r="48" spans="1:4" x14ac:dyDescent="0.2">
      <c r="A48" s="32"/>
      <c r="B48" s="32"/>
      <c r="C48" s="32"/>
      <c r="D48" s="14">
        <f>+D47+D46</f>
        <v>31096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9" workbookViewId="0">
      <selection activeCell="E22" sqref="E2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>
        <v>-22716</v>
      </c>
      <c r="C21" s="11">
        <v>-22154</v>
      </c>
      <c r="D21" s="11">
        <v>-91856</v>
      </c>
      <c r="E21" s="11">
        <v>-91315</v>
      </c>
      <c r="F21" s="11">
        <f t="shared" si="0"/>
        <v>1103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-204312</v>
      </c>
      <c r="C36" s="44">
        <f>SUM(C5:C35)</f>
        <v>-201068</v>
      </c>
      <c r="D36" s="43">
        <f>SUM(D5:D35)</f>
        <v>-1183219</v>
      </c>
      <c r="E36" s="43">
        <f>SUM(E5:E35)</f>
        <v>-1174464</v>
      </c>
      <c r="F36" s="11">
        <f>SUM(F5:F35)</f>
        <v>11999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2.17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26037.829999999998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37273</v>
      </c>
      <c r="B43" s="32"/>
      <c r="C43" s="106"/>
      <c r="D43" s="106"/>
      <c r="E43" s="106"/>
      <c r="F43" s="24">
        <f>+F40+F42</f>
        <v>35713.83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37273</v>
      </c>
      <c r="B49" s="32"/>
      <c r="C49" s="32"/>
      <c r="D49" s="76">
        <f>+F36</f>
        <v>11999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31942.240000000002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2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-2419</v>
      </c>
      <c r="C22" s="24">
        <v>-1613</v>
      </c>
      <c r="D22" s="24">
        <v>-2536</v>
      </c>
      <c r="E22" s="24">
        <v>-2000</v>
      </c>
      <c r="F22" s="24">
        <f t="shared" si="0"/>
        <v>1342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-36431</v>
      </c>
      <c r="C37" s="24">
        <f>SUM(C6:C36)</f>
        <v>-27421</v>
      </c>
      <c r="D37" s="24">
        <f>SUM(D6:D36)</f>
        <v>-35120</v>
      </c>
      <c r="E37" s="24">
        <f>SUM(E6:E36)</f>
        <v>-32000</v>
      </c>
      <c r="F37" s="24">
        <f>SUM(F6:F36)</f>
        <v>12130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26079.5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37272</v>
      </c>
      <c r="C41" s="322"/>
      <c r="D41" s="262"/>
      <c r="E41" s="262"/>
      <c r="F41" s="104">
        <f>+F40+F39</f>
        <v>-107315.73999999999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37272</v>
      </c>
      <c r="B47" s="32"/>
      <c r="C47" s="32"/>
      <c r="D47" s="355">
        <f>+F37</f>
        <v>12130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-31282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2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-2096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-64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-36081</v>
      </c>
      <c r="C37" s="24">
        <f t="shared" si="1"/>
        <v>-36295</v>
      </c>
      <c r="D37" s="24">
        <f t="shared" si="1"/>
        <v>-8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-631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-1356.6499999999999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37273</v>
      </c>
      <c r="E41" s="14"/>
      <c r="O41" s="447"/>
      <c r="P41" s="104">
        <f>+P40+P39</f>
        <v>92632.75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37273</v>
      </c>
      <c r="B47" s="32"/>
      <c r="C47" s="32"/>
      <c r="D47" s="355">
        <f>+P37</f>
        <v>-631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38439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-219672</v>
      </c>
      <c r="C37" s="11">
        <f>SUM(C6:C36)</f>
        <v>-224000</v>
      </c>
      <c r="D37" s="25">
        <f>SUM(D6:D36)</f>
        <v>-4328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-9305.1999999999989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37272</v>
      </c>
      <c r="C41" s="48"/>
      <c r="D41" s="138">
        <f>+D40+D39</f>
        <v>-24819.73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37272</v>
      </c>
      <c r="B47" s="32"/>
      <c r="C47" s="32"/>
      <c r="D47" s="355">
        <f>+D37</f>
        <v>-4328</v>
      </c>
    </row>
    <row r="48" spans="1:4" x14ac:dyDescent="0.2">
      <c r="A48" s="32"/>
      <c r="B48" s="32"/>
      <c r="C48" s="32"/>
      <c r="D48" s="14">
        <f>+D47+D46</f>
        <v>1268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-603.26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42576.81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2.15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6" sqref="C4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2315053</v>
      </c>
      <c r="C38" s="11">
        <f>SUM(C7:C37)</f>
        <v>2289235</v>
      </c>
      <c r="D38" s="11">
        <f>SUM(D7:D37)</f>
        <v>-25818</v>
      </c>
    </row>
    <row r="39" spans="1:8" x14ac:dyDescent="0.2">
      <c r="A39" s="26"/>
      <c r="C39" s="14"/>
      <c r="D39" s="106">
        <f>+summary!G3</f>
        <v>2.12</v>
      </c>
    </row>
    <row r="40" spans="1:8" x14ac:dyDescent="0.2">
      <c r="D40" s="138">
        <f>+D39*D38</f>
        <v>-54734.16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37272</v>
      </c>
      <c r="D42" s="322">
        <f>+D41+D40</f>
        <v>-7139.2200000000012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37272</v>
      </c>
      <c r="B48" s="32"/>
      <c r="C48" s="32"/>
      <c r="D48" s="355">
        <f>+D38</f>
        <v>-25818</v>
      </c>
    </row>
    <row r="49" spans="1:4" x14ac:dyDescent="0.2">
      <c r="A49" s="32"/>
      <c r="B49" s="32"/>
      <c r="C49" s="32"/>
      <c r="D49" s="14">
        <f>+D48+D47</f>
        <v>-5407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B21" sqref="B2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-2740821</v>
      </c>
      <c r="C35" s="11">
        <f>SUM(C4:C34)</f>
        <v>-2768056</v>
      </c>
      <c r="D35" s="11">
        <f>SUM(D4:D34)</f>
        <v>-27235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37273</v>
      </c>
      <c r="D40" s="51">
        <f>+D38+D35</f>
        <v>31836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37273</v>
      </c>
      <c r="B46" s="32"/>
      <c r="C46" s="32"/>
      <c r="D46" s="380">
        <f>+D35*'by type_area'!G4</f>
        <v>-58555.25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-139098.4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6" workbookViewId="0">
      <selection activeCell="C21" sqref="C2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-9309292</v>
      </c>
      <c r="C35" s="11">
        <f>SUM(C4:C34)</f>
        <v>-9334944</v>
      </c>
      <c r="D35" s="11">
        <f>SUM(D4:D34)</f>
        <v>0</v>
      </c>
      <c r="E35" s="11">
        <f>SUM(E4:E34)</f>
        <v>0</v>
      </c>
      <c r="F35" s="11">
        <f>SUM(F4:F34)</f>
        <v>-25652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37273</v>
      </c>
      <c r="D40" s="246"/>
      <c r="E40" s="246"/>
      <c r="F40" s="51">
        <f>+F38+F35</f>
        <v>78768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37273</v>
      </c>
      <c r="B46" s="32"/>
      <c r="C46" s="32"/>
      <c r="D46" s="480">
        <f>+F35*'by type_area'!G4</f>
        <v>-55151.799999999996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276765.2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0" workbookViewId="0">
      <selection activeCell="E16" sqref="E1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-90677</v>
      </c>
      <c r="C20" s="11">
        <v>-17795</v>
      </c>
      <c r="D20" s="11"/>
      <c r="E20" s="11">
        <v>-72000</v>
      </c>
      <c r="F20" s="11"/>
      <c r="G20" s="11"/>
      <c r="H20" s="11">
        <f t="shared" si="0"/>
        <v>882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-1736432</v>
      </c>
      <c r="C35" s="44">
        <f t="shared" si="3"/>
        <v>-585152</v>
      </c>
      <c r="D35" s="11">
        <f t="shared" si="3"/>
        <v>-25</v>
      </c>
      <c r="E35" s="44">
        <f t="shared" si="3"/>
        <v>-1143019</v>
      </c>
      <c r="F35" s="11">
        <f t="shared" si="3"/>
        <v>0</v>
      </c>
      <c r="G35" s="11">
        <f t="shared" si="3"/>
        <v>0</v>
      </c>
      <c r="H35" s="11">
        <f t="shared" si="3"/>
        <v>8286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2.15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17814.899999999998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37273</v>
      </c>
      <c r="F39" s="479"/>
      <c r="G39" s="479"/>
      <c r="H39" s="322">
        <f>+H38+H37</f>
        <v>-50443.100000000006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37273</v>
      </c>
      <c r="E47" s="464">
        <f>+H35</f>
        <v>8286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3202</v>
      </c>
      <c r="F48" s="129"/>
      <c r="G48" s="129"/>
      <c r="H48" s="129"/>
      <c r="I48" s="262"/>
      <c r="J48" s="102"/>
      <c r="K48" s="523"/>
      <c r="L48" s="38"/>
      <c r="M48" s="4"/>
    </row>
    <row r="49" spans="1:15" ht="12.75" x14ac:dyDescent="0.2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D21" sqref="D2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-5006596</v>
      </c>
      <c r="E36" s="11">
        <f t="shared" si="15"/>
        <v>-5041331</v>
      </c>
      <c r="F36" s="11">
        <f t="shared" si="15"/>
        <v>0</v>
      </c>
      <c r="G36" s="11">
        <f t="shared" si="15"/>
        <v>0</v>
      </c>
      <c r="H36" s="11">
        <f t="shared" si="15"/>
        <v>-34735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-34735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37273</v>
      </c>
      <c r="B39" s="2" t="s">
        <v>45</v>
      </c>
      <c r="C39" s="131">
        <f>+C38+C37</f>
        <v>64269</v>
      </c>
      <c r="D39" s="252"/>
      <c r="E39" s="131">
        <f>+E38+E37</f>
        <v>-56894</v>
      </c>
      <c r="F39" s="252"/>
      <c r="G39" s="131"/>
      <c r="H39" s="131">
        <f>+H38+H36</f>
        <v>7375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37273</v>
      </c>
      <c r="B45" s="32"/>
      <c r="C45" s="47">
        <f>+C37*summary!G4</f>
        <v>0</v>
      </c>
      <c r="D45" s="205"/>
      <c r="E45" s="382">
        <f>+E37*summary!G3</f>
        <v>-73638.2</v>
      </c>
      <c r="F45" s="47">
        <f>+E45+C45</f>
        <v>-73638.2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37273</v>
      </c>
      <c r="I23" s="11">
        <f>+B39</f>
        <v>2481597</v>
      </c>
      <c r="J23" s="11">
        <f>+C39</f>
        <v>2468708</v>
      </c>
      <c r="K23" s="11">
        <f>+D39</f>
        <v>218587</v>
      </c>
      <c r="L23" s="11">
        <f>+E39</f>
        <v>221561</v>
      </c>
      <c r="M23" s="42">
        <f>+J23-I23+L23-K23</f>
        <v>-9915</v>
      </c>
      <c r="N23" s="102">
        <f>+summary!G3</f>
        <v>2.12</v>
      </c>
      <c r="O23" s="510">
        <f>+N23*M23</f>
        <v>-21019.8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146056</v>
      </c>
      <c r="C24" s="11">
        <v>145183</v>
      </c>
      <c r="D24" s="11">
        <v>12645</v>
      </c>
      <c r="E24" s="11">
        <v>13033</v>
      </c>
      <c r="F24" s="11">
        <f t="shared" si="5"/>
        <v>-485</v>
      </c>
      <c r="G24" s="268"/>
      <c r="H24" s="168"/>
      <c r="I24" s="11"/>
      <c r="J24" s="11"/>
      <c r="K24" s="11"/>
      <c r="L24" s="142"/>
      <c r="M24" s="509">
        <f>SUM(M9:M23)</f>
        <v>79885</v>
      </c>
      <c r="N24" s="102"/>
      <c r="O24" s="102">
        <f>SUM(O9:O23)</f>
        <v>547096.53999999992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2481597</v>
      </c>
      <c r="C39" s="150">
        <f>SUM(C8:C38)</f>
        <v>2468708</v>
      </c>
      <c r="D39" s="150">
        <f>SUM(D8:D38)</f>
        <v>218587</v>
      </c>
      <c r="E39" s="150">
        <f>SUM(E8:E38)</f>
        <v>221561</v>
      </c>
      <c r="F39" s="11">
        <f t="shared" si="5"/>
        <v>-9915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37273</v>
      </c>
      <c r="B45" s="32"/>
      <c r="C45" s="106"/>
      <c r="D45" s="106"/>
      <c r="E45" s="106"/>
      <c r="F45" s="24">
        <f>+F44+F39</f>
        <v>20216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37273</v>
      </c>
      <c r="B51" s="32"/>
      <c r="C51" s="32"/>
      <c r="D51" s="355">
        <f>+F39*summary!G3</f>
        <v>-21019.8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413340.98000000004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2002-01-14T20:50:09Z</cp:lastPrinted>
  <dcterms:created xsi:type="dcterms:W3CDTF">2000-03-28T16:52:23Z</dcterms:created>
  <dcterms:modified xsi:type="dcterms:W3CDTF">2023-09-13T23:21:38Z</dcterms:modified>
</cp:coreProperties>
</file>