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B26820-6AC3-4C48-AE90-FD17B3C9B324}" xr6:coauthVersionLast="47" xr6:coauthVersionMax="47" xr10:uidLastSave="{00000000-0000-0000-0000-000000000000}"/>
  <bookViews>
    <workbookView xWindow="-120" yWindow="-120" windowWidth="38640" windowHeight="15720" tabRatio="686" firstSheet="28" activeTab="29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B13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F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86" i="63"/>
  <c r="B87" i="63"/>
  <c r="B97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<sst xmlns="http://schemas.openxmlformats.org/spreadsheetml/2006/main" count="1014" uniqueCount="313">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</sst>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  <xf numFmtId="172" fontId="3" fillId="0" borderId="0" xfId="1" applyNumberFormat="1" applyFont="1"/>
    <xf numFmtId="172" fontId="9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opLeftCell="A90" workbookViewId="0">
      <selection activeCell="G5" sqref="G5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2.06</v>
      </c>
      <c r="H3" s="402">
        <f ca="1">NOW()</f>
        <v>37293.568481481481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2.06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2.06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6" t="s">
        <v>127</v>
      </c>
      <c r="B12" s="346">
        <f>+Calpine!D41</f>
        <v>15275.580000000002</v>
      </c>
      <c r="C12" s="369">
        <f>+B12/$G$4</f>
        <v>7415.3300970873797</v>
      </c>
      <c r="D12" s="14">
        <f>+Calpine!D47</f>
        <v>94525</v>
      </c>
      <c r="E12" s="70">
        <f>+C12-D12</f>
        <v>-87109.669902912618</v>
      </c>
      <c r="F12" s="364">
        <f>+Calpine!A41</f>
        <v>37290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47819.18</v>
      </c>
      <c r="C13" s="368">
        <f>+B13/$G$4</f>
        <v>23213.194174757282</v>
      </c>
      <c r="D13" s="14">
        <f>+'Citizens-Griffith'!D48</f>
        <v>26695</v>
      </c>
      <c r="E13" s="70">
        <f>+C13-D13</f>
        <v>-3481.8058252427181</v>
      </c>
      <c r="F13" s="364">
        <f>+'Citizens-Griffith'!A41</f>
        <v>37291</v>
      </c>
      <c r="G13" s="203" t="s">
        <v>303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280</v>
      </c>
      <c r="B14" s="480">
        <f>+SWGasTrans!D41</f>
        <v>-20477.36</v>
      </c>
      <c r="C14" s="368">
        <f>+B14/G4</f>
        <v>-9940.4660194174758</v>
      </c>
      <c r="D14" s="14">
        <f>+SWGasTrans!$D$48</f>
        <v>3211</v>
      </c>
      <c r="E14" s="70">
        <f>+C14-D14</f>
        <v>-13151.466019417476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-295463.74</v>
      </c>
      <c r="C15" s="368">
        <f>+B15/$G$4</f>
        <v>-143429</v>
      </c>
      <c r="D15" s="14">
        <f>+'NS Steel'!D50</f>
        <v>-15623</v>
      </c>
      <c r="E15" s="70">
        <f>+C15-D15</f>
        <v>-127806</v>
      </c>
      <c r="F15" s="365">
        <f>+'NS Steel'!A41</f>
        <v>37291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6" t="s">
        <v>135</v>
      </c>
      <c r="B16" s="349">
        <f>+Citizens!D18</f>
        <v>-550339.18999999994</v>
      </c>
      <c r="C16" s="370">
        <f>+B16/$G$4</f>
        <v>-267154.94660194172</v>
      </c>
      <c r="D16" s="350">
        <f>+Citizens!D24</f>
        <v>-42903</v>
      </c>
      <c r="E16" s="72">
        <f>+C16-D16</f>
        <v>-224251.94660194172</v>
      </c>
      <c r="F16" s="364">
        <f>+Citizens!A18</f>
        <v>37287</v>
      </c>
      <c r="G16" s="203" t="s">
        <v>303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-803185.52999999991</v>
      </c>
      <c r="C17" s="393">
        <f>SUBTOTAL(9,C12:C16)</f>
        <v>-389895.88834951451</v>
      </c>
      <c r="D17" s="394">
        <f>SUBTOTAL(9,D12:D16)</f>
        <v>65905</v>
      </c>
      <c r="E17" s="395">
        <f>SUBTOTAL(9,E12:E16)</f>
        <v>-455800.88834951451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31795.9</v>
      </c>
      <c r="C20" s="368">
        <f>+B20/$G$4</f>
        <v>15434.902912621359</v>
      </c>
      <c r="D20" s="14">
        <f>+transcol!D50</f>
        <v>-40645</v>
      </c>
      <c r="E20" s="70">
        <f>+C20-D20</f>
        <v>56079.902912621357</v>
      </c>
      <c r="F20" s="365">
        <f>+transcol!A43</f>
        <v>37290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6" t="s">
        <v>292</v>
      </c>
      <c r="B21" s="481">
        <f>+C21*G3</f>
        <v>6695</v>
      </c>
      <c r="C21" s="368">
        <f>+williams!J40</f>
        <v>3250</v>
      </c>
      <c r="D21" s="14">
        <f>+C21</f>
        <v>3250</v>
      </c>
      <c r="E21" s="70">
        <f>+C21-D21</f>
        <v>0</v>
      </c>
      <c r="F21" s="365">
        <f>+williams!A40</f>
        <v>37291</v>
      </c>
      <c r="G21" s="203" t="s">
        <v>154</v>
      </c>
      <c r="H21" s="32" t="s">
        <v>293</v>
      </c>
      <c r="I21" s="32"/>
      <c r="J21" s="32"/>
      <c r="K21" s="32"/>
      <c r="T21" s="259"/>
    </row>
    <row r="22" spans="1:20" ht="13.5" customHeight="1" outlineLevel="2" x14ac:dyDescent="0.2">
      <c r="A22" s="506" t="s">
        <v>95</v>
      </c>
      <c r="B22" s="497">
        <f>+burlington!D42</f>
        <v>-15598.96</v>
      </c>
      <c r="C22" s="372">
        <f>+B22/$G$3</f>
        <v>-7572.3106796116499</v>
      </c>
      <c r="D22" s="350">
        <f>+burlington!D49</f>
        <v>-10122</v>
      </c>
      <c r="E22" s="72">
        <f>+C22-D22</f>
        <v>2549.6893203883501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22891.940000000002</v>
      </c>
      <c r="C23" s="389">
        <f>SUBTOTAL(9,C20:C22)</f>
        <v>11112.592233009707</v>
      </c>
      <c r="D23" s="394">
        <f>SUBTOTAL(9,D20:D22)</f>
        <v>-47517</v>
      </c>
      <c r="E23" s="395">
        <f>SUBTOTAL(9,E20:E22)</f>
        <v>58629.592233009709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6" t="s">
        <v>87</v>
      </c>
      <c r="B26" s="480">
        <f>+NNG!$D$24</f>
        <v>17061.14</v>
      </c>
      <c r="C26" s="368">
        <f>+B26/$G$4</f>
        <v>8282.1067961165045</v>
      </c>
      <c r="D26" s="14">
        <f>+NNG!D34</f>
        <v>6591</v>
      </c>
      <c r="E26" s="70">
        <f t="shared" ref="E26:E50" si="0">+C26-D26</f>
        <v>1691.1067961165045</v>
      </c>
      <c r="F26" s="364">
        <f>+NNG!A24</f>
        <v>37291</v>
      </c>
      <c r="G26" s="204" t="s">
        <v>302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436205.45</v>
      </c>
      <c r="C27" s="368">
        <f>+B27/$G$4</f>
        <v>211750.21844660194</v>
      </c>
      <c r="D27" s="14">
        <f>+Conoco!D48</f>
        <v>6182</v>
      </c>
      <c r="E27" s="70">
        <f t="shared" si="0"/>
        <v>205568.21844660194</v>
      </c>
      <c r="F27" s="364">
        <f>+Conoco!A41</f>
        <v>37291</v>
      </c>
      <c r="G27" s="32" t="s">
        <v>303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153884.69</v>
      </c>
      <c r="C28" s="368">
        <f>+B28/$G$4</f>
        <v>74701.305825242714</v>
      </c>
      <c r="D28" s="14">
        <f>+'Amoco Abo'!D49</f>
        <v>-367558</v>
      </c>
      <c r="E28" s="70">
        <f t="shared" si="0"/>
        <v>442259.30582524271</v>
      </c>
      <c r="F28" s="365">
        <f>+'Amoco Abo'!A43</f>
        <v>37291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295806.83</v>
      </c>
      <c r="C29" s="368">
        <f>+B29/$G$4</f>
        <v>143595.54854368934</v>
      </c>
      <c r="D29" s="14">
        <f>+KN_Westar!D48</f>
        <v>-53608</v>
      </c>
      <c r="E29" s="70">
        <f t="shared" si="0"/>
        <v>197203.54854368934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6" t="s">
        <v>256</v>
      </c>
      <c r="B30" s="480">
        <f>+summary!B9</f>
        <v>1229336.99</v>
      </c>
      <c r="C30" s="369">
        <f>+B30/$G$5</f>
        <v>596765.52912621351</v>
      </c>
      <c r="D30" s="14">
        <f>+Duke!$G$40+Duke!$H$40+Duke!$I$53+Duke!$I$54</f>
        <v>367154</v>
      </c>
      <c r="E30" s="70">
        <f t="shared" si="0"/>
        <v>229611.52912621351</v>
      </c>
      <c r="F30" s="365">
        <f>+Duke!A42</f>
        <v>37290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6" t="s">
        <v>249</v>
      </c>
      <c r="B31" s="480">
        <f>+summary!B8</f>
        <v>1465559.91</v>
      </c>
      <c r="C31" s="369">
        <f>+B31/$G$5</f>
        <v>711436.8495145631</v>
      </c>
      <c r="D31" s="14">
        <f>+Duke!$F$40</f>
        <v>346821</v>
      </c>
      <c r="E31" s="70">
        <f t="shared" si="0"/>
        <v>364615.8495145631</v>
      </c>
      <c r="F31" s="365">
        <f>+Duke!A7</f>
        <v>37290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6" t="s">
        <v>248</v>
      </c>
      <c r="B32" s="480">
        <f>+summary!B45</f>
        <v>-2824442.71</v>
      </c>
      <c r="C32" s="369">
        <f>+B32/$G$5</f>
        <v>-1371088.6941747572</v>
      </c>
      <c r="D32" s="14">
        <f>+DEFS!$I$36+DEFS!$J$36+DEFS!$K$45+DEFS!$K$46+DEFS!$K$47+DEFS!$K$48</f>
        <v>-447453</v>
      </c>
      <c r="E32" s="70">
        <f t="shared" si="0"/>
        <v>-923635.69417475723</v>
      </c>
      <c r="F32" s="365">
        <f>+DEFS!A40</f>
        <v>37290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336885.7</v>
      </c>
      <c r="C33" s="368">
        <f>+B33/$G$4</f>
        <v>163536.74757281554</v>
      </c>
      <c r="D33" s="14">
        <f>+mewborne!D49</f>
        <v>133277</v>
      </c>
      <c r="E33" s="70">
        <f t="shared" si="0"/>
        <v>30259.74757281554</v>
      </c>
      <c r="F33" s="365">
        <f>+mewborne!A43</f>
        <v>37291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37510.14</v>
      </c>
      <c r="C34" s="368">
        <f>+B34/$G$4</f>
        <v>18208.805825242718</v>
      </c>
      <c r="D34" s="14">
        <f>+PGETX!E48</f>
        <v>45895</v>
      </c>
      <c r="E34" s="70">
        <f t="shared" si="0"/>
        <v>-27686.194174757282</v>
      </c>
      <c r="F34" s="365">
        <f>+PGETX!E39</f>
        <v>37291</v>
      </c>
      <c r="G34" s="32" t="s">
        <v>304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827652.52</v>
      </c>
      <c r="C35" s="368">
        <f>+B35/$G$4</f>
        <v>401773.06796116504</v>
      </c>
      <c r="D35" s="14">
        <f>+PNM!D30</f>
        <v>336628</v>
      </c>
      <c r="E35" s="70">
        <f t="shared" si="0"/>
        <v>65145.067961165041</v>
      </c>
      <c r="F35" s="365">
        <f>+PNM!A23</f>
        <v>37291</v>
      </c>
      <c r="G35" s="32" t="s">
        <v>302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18980</v>
      </c>
      <c r="C36" s="368">
        <f>+B36/$G$4</f>
        <v>9213.5922330097092</v>
      </c>
      <c r="D36" s="14">
        <f>+EOG!D48</f>
        <v>-18594</v>
      </c>
      <c r="E36" s="70">
        <f t="shared" si="0"/>
        <v>27807.592233009709</v>
      </c>
      <c r="F36" s="364">
        <f>+EOG!A41</f>
        <v>37287</v>
      </c>
      <c r="G36" s="32" t="s">
        <v>302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-140667.85999999999</v>
      </c>
      <c r="C37" s="368">
        <f>+B37/G5</f>
        <v>-68285.368932038822</v>
      </c>
      <c r="D37" s="14">
        <f>+Oasis!D47</f>
        <v>-69515</v>
      </c>
      <c r="E37" s="70">
        <f>+C37-D37</f>
        <v>1229.6310679611779</v>
      </c>
      <c r="F37" s="364">
        <f>+Oasis!A40</f>
        <v>37291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5158.5</v>
      </c>
      <c r="C38" s="368">
        <f>+B38/$G$5</f>
        <v>2504.1262135922329</v>
      </c>
      <c r="D38" s="14">
        <f>+SidR!D48</f>
        <v>2300</v>
      </c>
      <c r="E38" s="70">
        <f t="shared" si="0"/>
        <v>204.12621359223294</v>
      </c>
      <c r="F38" s="365">
        <f>+SidR!A41</f>
        <v>37290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6" t="s">
        <v>260</v>
      </c>
      <c r="B39" s="346">
        <f>+summary!$B$48</f>
        <v>-203736.06</v>
      </c>
      <c r="C39" s="368">
        <f>+summary!$C$48</f>
        <v>-98901</v>
      </c>
      <c r="D39" s="14">
        <f>+MiVida_Rich!D48</f>
        <v>-51454</v>
      </c>
      <c r="E39" s="70">
        <f>+C39-D39</f>
        <v>-47447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174060.24</v>
      </c>
      <c r="C40" s="368">
        <f>+B40/$G$5</f>
        <v>84495.262135922327</v>
      </c>
      <c r="D40" s="14">
        <f>+Dominion!D48</f>
        <v>76144</v>
      </c>
      <c r="E40" s="70">
        <f t="shared" si="0"/>
        <v>8351.2621359223267</v>
      </c>
      <c r="F40" s="365">
        <f>+Dominion!A41</f>
        <v>37291</v>
      </c>
      <c r="G40" s="203" t="s">
        <v>302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-34625.18</v>
      </c>
      <c r="C41" s="368">
        <f>+B41/$G$4</f>
        <v>-16808.339805825242</v>
      </c>
      <c r="D41" s="14">
        <f>+WTGmktg!D50</f>
        <v>-2982</v>
      </c>
      <c r="E41" s="70">
        <f t="shared" si="0"/>
        <v>-13826.339805825242</v>
      </c>
      <c r="F41" s="365">
        <f>+WTGmktg!A43</f>
        <v>37290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283</v>
      </c>
      <c r="B42" s="346">
        <f>+'WTG inc'!N43</f>
        <v>25673.48</v>
      </c>
      <c r="C42" s="368">
        <f>+B42/G4</f>
        <v>12462.854368932038</v>
      </c>
      <c r="D42" s="14">
        <f>+'WTG inc'!D50</f>
        <v>8793</v>
      </c>
      <c r="E42" s="70">
        <f>+C42-D42</f>
        <v>3669.8543689320377</v>
      </c>
      <c r="F42" s="365">
        <f>+'WTG inc'!A43</f>
        <v>37290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135716.78</v>
      </c>
      <c r="C43" s="368">
        <f>+B43/$G$5</f>
        <v>65881.932038834944</v>
      </c>
      <c r="D43" s="14">
        <f>+Devon!D48</f>
        <v>21658</v>
      </c>
      <c r="E43" s="70">
        <f t="shared" si="0"/>
        <v>44223.932038834944</v>
      </c>
      <c r="F43" s="365">
        <f>+Devon!A41</f>
        <v>37291</v>
      </c>
      <c r="G43" s="203" t="s">
        <v>303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-135032.64000000001</v>
      </c>
      <c r="C44" s="368">
        <f>+B44/$G$4</f>
        <v>-65549.825242718449</v>
      </c>
      <c r="D44" s="14">
        <f>+crosstex!D48</f>
        <v>-44281</v>
      </c>
      <c r="E44" s="70">
        <f t="shared" si="0"/>
        <v>-21268.825242718449</v>
      </c>
      <c r="F44" s="365">
        <f>+crosstex!A41</f>
        <v>37290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93080.3</v>
      </c>
      <c r="C45" s="368">
        <f>+B45/$G$4</f>
        <v>45184.611650485436</v>
      </c>
      <c r="D45" s="14">
        <f>+Amarillo!D48</f>
        <v>38637</v>
      </c>
      <c r="E45" s="70">
        <f t="shared" si="0"/>
        <v>6547.6116504854363</v>
      </c>
      <c r="F45" s="365">
        <f>+Amarillo!A41</f>
        <v>37290</v>
      </c>
      <c r="G45" s="203" t="s">
        <v>303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298</v>
      </c>
      <c r="B46" s="346">
        <f>+Stratland!$D$41</f>
        <v>34122.25</v>
      </c>
      <c r="C46" s="369">
        <f>+B46/$G$4</f>
        <v>16564.199029126212</v>
      </c>
      <c r="D46" s="14">
        <f>+Stratland!D48</f>
        <v>10453</v>
      </c>
      <c r="E46" s="70">
        <f>+C46-D46</f>
        <v>6111.1990291262118</v>
      </c>
      <c r="F46" s="364">
        <f>+Stratland!A41</f>
        <v>37271</v>
      </c>
      <c r="G46" s="203" t="s">
        <v>302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309</v>
      </c>
      <c r="B47" s="346">
        <f>+Plains!$N$43</f>
        <v>107948.28</v>
      </c>
      <c r="C47" s="369">
        <f>+B47/$G$4</f>
        <v>52402.077669902908</v>
      </c>
      <c r="D47" s="14">
        <f>+Plains!D50</f>
        <v>36315</v>
      </c>
      <c r="E47" s="70">
        <f>+C47-D47</f>
        <v>16087.077669902908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27559.68</v>
      </c>
      <c r="C48" s="369">
        <f>+B48/$G$4</f>
        <v>13378.485436893203</v>
      </c>
      <c r="D48" s="14">
        <f>+Continental!D50</f>
        <v>-2472</v>
      </c>
      <c r="E48" s="70">
        <f t="shared" si="0"/>
        <v>15850.485436893203</v>
      </c>
      <c r="F48" s="365">
        <f>+Continental!A43</f>
        <v>37291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119267.26000000001</v>
      </c>
      <c r="C49" s="369">
        <f>+B49/$G$5</f>
        <v>57896.728155339806</v>
      </c>
      <c r="D49" s="14">
        <f>+EPFS!D47</f>
        <v>71103</v>
      </c>
      <c r="E49" s="70">
        <f t="shared" si="0"/>
        <v>-13206.271844660194</v>
      </c>
      <c r="F49" s="364">
        <f>+EPFS!A41</f>
        <v>37291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6" t="s">
        <v>79</v>
      </c>
      <c r="B50" s="497">
        <f>+Agave!$D$24</f>
        <v>196204.49</v>
      </c>
      <c r="C50" s="370">
        <f>+B50/$G$4</f>
        <v>95244.898058252424</v>
      </c>
      <c r="D50" s="350">
        <f>+Agave!D31</f>
        <v>106671</v>
      </c>
      <c r="E50" s="72">
        <f t="shared" si="0"/>
        <v>-11426.101941747576</v>
      </c>
      <c r="F50" s="364">
        <f>+Agave!A24</f>
        <v>37290</v>
      </c>
      <c r="G50" s="203" t="s">
        <v>303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2399170.1799999997</v>
      </c>
      <c r="C51" s="393">
        <f>SUBTOTAL(9,C26:C50)</f>
        <v>1164645.7184466021</v>
      </c>
      <c r="D51" s="394">
        <f>SUBTOTAL(9,D26:D50)</f>
        <v>556705</v>
      </c>
      <c r="E51" s="395">
        <f>SUBTOTAL(9,E26:E50)</f>
        <v>607940.71844660211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1618876.5899999996</v>
      </c>
      <c r="C53" s="393">
        <f>SUBTOTAL(9,C12:C50)</f>
        <v>785862.42233009718</v>
      </c>
      <c r="D53" s="394">
        <f>SUBTOTAL(9,D12:D50)</f>
        <v>575093</v>
      </c>
      <c r="E53" s="395">
        <f>SUBTOTAL(9,E12:E50)</f>
        <v>210769.42233009718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2.06</v>
      </c>
      <c r="H59" s="402">
        <f ca="1">NOW()</f>
        <v>37293.568481481481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2.06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2.06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8">
        <f>+Mojave!D40</f>
        <v>179857</v>
      </c>
      <c r="C68" s="346">
        <f>+B68*$G$4</f>
        <v>370505.42</v>
      </c>
      <c r="D68" s="47">
        <f>+Mojave!D47</f>
        <v>185285.88</v>
      </c>
      <c r="E68" s="47">
        <f>+C68-D68</f>
        <v>185219.53999999998</v>
      </c>
      <c r="F68" s="365">
        <f>+Mojave!A40</f>
        <v>37291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82227</v>
      </c>
      <c r="C69" s="346">
        <f>+B69*$G$4</f>
        <v>169387.62</v>
      </c>
      <c r="D69" s="47">
        <f>+SoCal!D47</f>
        <v>285990.90000000002</v>
      </c>
      <c r="E69" s="47">
        <f>+C69-D69</f>
        <v>-116603.28000000003</v>
      </c>
      <c r="F69" s="365">
        <f>+SoCal!A40</f>
        <v>37291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132394.14000000001</v>
      </c>
      <c r="D70" s="47">
        <f>+'El Paso'!C46</f>
        <v>-1582961.01</v>
      </c>
      <c r="E70" s="47">
        <f>+C70-D70</f>
        <v>1715355.15</v>
      </c>
      <c r="F70" s="365">
        <f>+'El Paso'!A39</f>
        <v>37290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32844</v>
      </c>
      <c r="C71" s="349">
        <f>+B71*$G$4</f>
        <v>67658.64</v>
      </c>
      <c r="D71" s="349">
        <f>+'PG&amp;E'!D47</f>
        <v>-135177.68</v>
      </c>
      <c r="E71" s="349">
        <f>+C71-D71</f>
        <v>202836.32</v>
      </c>
      <c r="F71" s="365">
        <f>+'PG&amp;E'!A40</f>
        <v>37291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359197</v>
      </c>
      <c r="C72" s="388">
        <f>SUBTOTAL(9,C68:C71)</f>
        <v>739945.82000000007</v>
      </c>
      <c r="D72" s="388">
        <f>SUBTOTAL(9,D68:D71)</f>
        <v>-1246861.9099999999</v>
      </c>
      <c r="E72" s="388">
        <f>SUBTOTAL(9,E68:E71)</f>
        <v>1986807.73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16628</v>
      </c>
      <c r="C75" s="347">
        <f>+B75*G59</f>
        <v>34253.68</v>
      </c>
      <c r="D75" s="200">
        <f>+'Red C'!D52</f>
        <v>406423.56</v>
      </c>
      <c r="E75" s="47">
        <f>+C75-D75</f>
        <v>-372169.88</v>
      </c>
      <c r="F75" s="364">
        <f>+'Red C'!A45</f>
        <v>37291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291</v>
      </c>
      <c r="B76" s="368">
        <f>+Amoco!D40</f>
        <v>5305</v>
      </c>
      <c r="C76" s="346">
        <f>+B76*$G$3</f>
        <v>10928.300000000001</v>
      </c>
      <c r="D76" s="47">
        <f>+Amoco!D47</f>
        <v>345994.18</v>
      </c>
      <c r="E76" s="47">
        <f>+C76-D76</f>
        <v>-335065.88</v>
      </c>
      <c r="F76" s="365">
        <f>+Amoco!A40</f>
        <v>37291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-22395</v>
      </c>
      <c r="C77" s="346">
        <f>+B77*$G$3</f>
        <v>-46133.700000000004</v>
      </c>
      <c r="D77" s="47">
        <f>+'El Paso'!F46</f>
        <v>-657254.01</v>
      </c>
      <c r="E77" s="47">
        <f>+C77-D77</f>
        <v>611120.31000000006</v>
      </c>
      <c r="F77" s="365">
        <f>+'El Paso'!A39</f>
        <v>37290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20885</v>
      </c>
      <c r="C78" s="349">
        <f>+B78*$G$3</f>
        <v>43023.1</v>
      </c>
      <c r="D78" s="349">
        <f>+NW!E49</f>
        <v>-418221.33999999997</v>
      </c>
      <c r="E78" s="349">
        <f>+C78-D78</f>
        <v>461244.43999999994</v>
      </c>
      <c r="F78" s="364">
        <f>+NW!B41</f>
        <v>37291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20423</v>
      </c>
      <c r="C79" s="388">
        <f>SUBTOTAL(9,C75:C78)</f>
        <v>42071.38</v>
      </c>
      <c r="D79" s="388">
        <f>SUBTOTAL(9,D75:D78)</f>
        <v>-323057.61</v>
      </c>
      <c r="E79" s="388">
        <f>SUBTOTAL(9,E75:E78)</f>
        <v>365128.99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134014</v>
      </c>
      <c r="C82" s="480">
        <f>+B82*$G$5</f>
        <v>276068.84000000003</v>
      </c>
      <c r="D82" s="47">
        <f>+NGPL!D45</f>
        <v>335455.3</v>
      </c>
      <c r="E82" s="47">
        <f>+C82-D82</f>
        <v>-59386.459999999963</v>
      </c>
      <c r="F82" s="365">
        <f>+NGPL!A38</f>
        <v>37291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-2641</v>
      </c>
      <c r="C83" s="481">
        <f>+B83*$G$4</f>
        <v>-5440.46</v>
      </c>
      <c r="D83" s="47">
        <f>+PEPL!D47</f>
        <v>187508.5</v>
      </c>
      <c r="E83" s="47">
        <f>+C83-D83</f>
        <v>-192948.96</v>
      </c>
      <c r="F83" s="365">
        <f>+PEPL!A41</f>
        <v>37290</v>
      </c>
      <c r="G83" s="32" t="s">
        <v>303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36229.22</v>
      </c>
      <c r="D84" s="200">
        <f>+CIG!D49</f>
        <v>385897</v>
      </c>
      <c r="E84" s="70">
        <f>+C84-D84</f>
        <v>-349667.78</v>
      </c>
      <c r="F84" s="365">
        <f>+CIG!A42</f>
        <v>37290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84790.46</v>
      </c>
      <c r="C85" s="497">
        <f>+B85*G61</f>
        <v>174668.34760000001</v>
      </c>
      <c r="D85" s="349">
        <f>+Lonestar!D50</f>
        <v>55940.24</v>
      </c>
      <c r="E85" s="349">
        <f>+C85-D85</f>
        <v>118728.10760000002</v>
      </c>
      <c r="F85" s="364">
        <f>+Lonestar!A43</f>
        <v>37291</v>
      </c>
      <c r="G85" s="32" t="s">
        <v>303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233750.46000000002</v>
      </c>
      <c r="C86" s="388">
        <f>SUBTOTAL(9,C82:C85)</f>
        <v>481525.94759999996</v>
      </c>
      <c r="D86" s="388">
        <f>SUBTOTAL(9,D82:D85)</f>
        <v>964801.04</v>
      </c>
      <c r="E86" s="388">
        <f>SUBTOTAL(9,E82:E85)</f>
        <v>-483275.09239999996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613370.46</v>
      </c>
      <c r="C88" s="388">
        <f>SUBTOTAL(9,C68:C85)</f>
        <v>1263543.1476000003</v>
      </c>
      <c r="D88" s="388">
        <f>SUBTOTAL(9,D68:D85)</f>
        <v>-605118.48</v>
      </c>
      <c r="E88" s="388">
        <f>SUBTOTAL(9,E68:E85)</f>
        <v>1868661.6276000002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2882419.7375999996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1399232.8823300973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29" sqref="C2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156008</v>
      </c>
      <c r="C9" s="411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/>
      <c r="C10" s="411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621986</v>
      </c>
      <c r="C37" s="411">
        <f>SUM(C6:C36)</f>
        <v>632339</v>
      </c>
      <c r="D37" s="411">
        <f>SUM(D6:D36)</f>
        <v>10353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37291</v>
      </c>
      <c r="B40" s="285"/>
      <c r="C40" s="436"/>
      <c r="D40" s="307">
        <f>+D39+D37</f>
        <v>5305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92">
        <v>324667</v>
      </c>
    </row>
    <row r="46" spans="1:16" x14ac:dyDescent="0.2">
      <c r="A46" s="49">
        <f>+A40</f>
        <v>37291</v>
      </c>
      <c r="B46" s="32"/>
      <c r="C46" s="32"/>
      <c r="D46" s="375">
        <f>+D37*'by type_area'!G3</f>
        <v>21327.18</v>
      </c>
    </row>
    <row r="47" spans="1:16" x14ac:dyDescent="0.2">
      <c r="A47" s="32"/>
      <c r="B47" s="32"/>
      <c r="C47" s="32"/>
      <c r="D47" s="200">
        <f>+D46+D45</f>
        <v>345994.18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workbookViewId="0">
      <selection activeCell="C9" sqref="C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>
        <v>-2500</v>
      </c>
      <c r="D8" s="24">
        <f t="shared" si="0"/>
        <v>-2500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-50019</v>
      </c>
      <c r="C36" s="24">
        <f>SUM(C5:C35)</f>
        <v>-52500</v>
      </c>
      <c r="D36" s="24">
        <f t="shared" si="0"/>
        <v>-2481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-5110.8600000000006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37291</v>
      </c>
      <c r="B40"/>
      <c r="C40" s="48"/>
      <c r="D40" s="138">
        <f>+D39+D38</f>
        <v>-140667.85999999999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523">
        <v>-67034</v>
      </c>
    </row>
    <row r="46" spans="1:65" x14ac:dyDescent="0.2">
      <c r="A46" s="49">
        <f>+A40</f>
        <v>37291</v>
      </c>
      <c r="B46" s="32"/>
      <c r="C46" s="32"/>
      <c r="D46" s="350">
        <f>+D36</f>
        <v>-2481</v>
      </c>
    </row>
    <row r="47" spans="1:65" x14ac:dyDescent="0.2">
      <c r="A47" s="32"/>
      <c r="B47" s="32"/>
      <c r="C47" s="32"/>
      <c r="D47" s="14">
        <f>+D46+D45</f>
        <v>-69515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B18" sqref="B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65850+33383</f>
        <v>99233</v>
      </c>
      <c r="C5" s="90">
        <v>97274</v>
      </c>
      <c r="D5" s="90">
        <f>+C5-B5</f>
        <v>-1959</v>
      </c>
      <c r="E5" s="275"/>
      <c r="F5" s="273"/>
    </row>
    <row r="6" spans="1:13" x14ac:dyDescent="0.2">
      <c r="A6" s="87">
        <v>78311</v>
      </c>
      <c r="B6" s="90">
        <f>23264+12167</f>
        <v>35431</v>
      </c>
      <c r="C6" s="90">
        <v>36600</v>
      </c>
      <c r="D6" s="90">
        <f t="shared" ref="D6:D17" si="0">+C6-B6</f>
        <v>1169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f>53434+30138</f>
        <v>83572</v>
      </c>
      <c r="C7" s="90">
        <v>112318</v>
      </c>
      <c r="D7" s="90">
        <f t="shared" si="0"/>
        <v>28746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64779+32687</f>
        <v>97466</v>
      </c>
      <c r="C8" s="90">
        <v>118923</v>
      </c>
      <c r="D8" s="90">
        <f t="shared" si="0"/>
        <v>21457</v>
      </c>
      <c r="E8" s="456"/>
      <c r="F8" s="273"/>
    </row>
    <row r="9" spans="1:13" x14ac:dyDescent="0.2">
      <c r="A9" s="87">
        <v>500293</v>
      </c>
      <c r="B9" s="90">
        <f>35269+18307</f>
        <v>53576</v>
      </c>
      <c r="C9" s="90">
        <v>60795</v>
      </c>
      <c r="D9" s="90">
        <f t="shared" si="0"/>
        <v>7219</v>
      </c>
      <c r="E9" s="275"/>
      <c r="F9" s="273"/>
    </row>
    <row r="10" spans="1:13" x14ac:dyDescent="0.2">
      <c r="A10" s="87">
        <v>500302</v>
      </c>
      <c r="B10" s="90"/>
      <c r="C10" s="90">
        <v>909</v>
      </c>
      <c r="D10" s="90">
        <f t="shared" si="0"/>
        <v>909</v>
      </c>
      <c r="E10" s="275"/>
      <c r="F10" s="273"/>
    </row>
    <row r="11" spans="1:13" x14ac:dyDescent="0.2">
      <c r="A11" s="87">
        <v>500303</v>
      </c>
      <c r="B11" s="90"/>
      <c r="C11" s="90">
        <v>2033</v>
      </c>
      <c r="D11" s="90">
        <f t="shared" si="0"/>
        <v>2033</v>
      </c>
      <c r="E11" s="275"/>
      <c r="F11" s="273"/>
    </row>
    <row r="12" spans="1:13" x14ac:dyDescent="0.2">
      <c r="A12" s="91">
        <v>500305</v>
      </c>
      <c r="B12" s="90">
        <f>50555+50671+52097</f>
        <v>153323</v>
      </c>
      <c r="C12" s="90">
        <v>158070</v>
      </c>
      <c r="D12" s="90">
        <f t="shared" si="0"/>
        <v>4747</v>
      </c>
      <c r="E12" s="276"/>
      <c r="F12" s="467"/>
      <c r="G12" s="90"/>
    </row>
    <row r="13" spans="1:13" x14ac:dyDescent="0.2">
      <c r="A13" s="87">
        <v>500307</v>
      </c>
      <c r="B13" s="90">
        <f>6872+3415</f>
        <v>10287</v>
      </c>
      <c r="C13" s="90">
        <v>4256</v>
      </c>
      <c r="D13" s="90">
        <f t="shared" si="0"/>
        <v>-6031</v>
      </c>
      <c r="E13" s="275"/>
      <c r="F13" s="273"/>
    </row>
    <row r="14" spans="1:13" x14ac:dyDescent="0.2">
      <c r="A14" s="87">
        <v>500313</v>
      </c>
      <c r="B14" s="90"/>
      <c r="C14" s="90">
        <v>202</v>
      </c>
      <c r="D14" s="90">
        <f t="shared" si="0"/>
        <v>202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12231+6000</f>
        <v>18231</v>
      </c>
      <c r="C16" s="90"/>
      <c r="D16" s="90">
        <f t="shared" si="0"/>
        <v>-18231</v>
      </c>
      <c r="E16" s="275"/>
      <c r="F16" s="273"/>
    </row>
    <row r="17" spans="1:7" x14ac:dyDescent="0.2">
      <c r="A17" s="87">
        <v>500657</v>
      </c>
      <c r="B17" s="88">
        <f>2713+1494</f>
        <v>4207</v>
      </c>
      <c r="C17" s="88"/>
      <c r="D17" s="94">
        <f t="shared" si="0"/>
        <v>-4207</v>
      </c>
      <c r="E17" s="275"/>
      <c r="F17" s="273"/>
      <c r="G17" s="595"/>
    </row>
    <row r="18" spans="1:7" x14ac:dyDescent="0.2">
      <c r="A18" s="87"/>
      <c r="B18" s="88"/>
      <c r="C18" s="88"/>
      <c r="D18" s="88">
        <f>SUM(D5:D17)</f>
        <v>36054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2.06</v>
      </c>
      <c r="E19" s="277"/>
      <c r="F19" s="273"/>
    </row>
    <row r="20" spans="1:7" x14ac:dyDescent="0.2">
      <c r="A20" s="87"/>
      <c r="B20" s="88"/>
      <c r="C20" s="88"/>
      <c r="D20" s="96">
        <f>+D19*D18</f>
        <v>74271.240000000005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37287</v>
      </c>
      <c r="B22" s="88"/>
      <c r="C22" s="88"/>
      <c r="D22" s="529">
        <v>121933.25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37290</v>
      </c>
      <c r="B24" s="88"/>
      <c r="C24" s="88"/>
      <c r="D24" s="318">
        <f>+D22+D20</f>
        <v>196204.49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37287</v>
      </c>
      <c r="B29" s="32"/>
      <c r="C29" s="32"/>
      <c r="D29" s="523">
        <v>70617</v>
      </c>
    </row>
    <row r="30" spans="1:7" x14ac:dyDescent="0.2">
      <c r="A30" s="49">
        <f>+A24</f>
        <v>37290</v>
      </c>
      <c r="B30" s="32"/>
      <c r="C30" s="32"/>
      <c r="D30" s="350">
        <f>+D18</f>
        <v>36054</v>
      </c>
    </row>
    <row r="31" spans="1:7" x14ac:dyDescent="0.2">
      <c r="A31" s="32"/>
      <c r="B31" s="32"/>
      <c r="C31" s="32"/>
      <c r="D31" s="14">
        <f>+D30+D29</f>
        <v>106671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/>
      <c r="E7" s="11"/>
      <c r="F7" s="25">
        <f t="shared" si="2"/>
        <v>-1296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254577</v>
      </c>
      <c r="C35" s="11">
        <f>SUM(C4:C34)</f>
        <v>239999</v>
      </c>
      <c r="D35" s="11">
        <f>SUM(D4:D34)</f>
        <v>0</v>
      </c>
      <c r="E35" s="11">
        <f>SUM(E4:E34)</f>
        <v>0</v>
      </c>
      <c r="F35" s="11">
        <f>+E35-D35+C35-B35</f>
        <v>-14578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2.06</v>
      </c>
    </row>
    <row r="38" spans="1:7" x14ac:dyDescent="0.2">
      <c r="C38" s="48"/>
      <c r="D38" s="47"/>
      <c r="E38" s="48"/>
      <c r="F38" s="46">
        <f>+F37*F35</f>
        <v>-30030.68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37291</v>
      </c>
      <c r="C41" s="106"/>
      <c r="D41" s="106"/>
      <c r="E41" s="106"/>
      <c r="F41" s="106">
        <f>+F38+F40</f>
        <v>436205.45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37291</v>
      </c>
      <c r="D47" s="350">
        <f>+F35</f>
        <v>-14578</v>
      </c>
      <c r="E47" s="11"/>
      <c r="F47" s="11"/>
      <c r="G47" s="25"/>
    </row>
    <row r="48" spans="1:7" x14ac:dyDescent="0.2">
      <c r="D48" s="14">
        <f>+D47+D46</f>
        <v>6182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9" workbookViewId="0">
      <selection activeCell="D32" sqref="D3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>
        <v>-2731</v>
      </c>
      <c r="E5" s="11"/>
      <c r="F5" s="11">
        <f>+C5+E5-B5-D5</f>
        <v>4020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>
        <v>-2777</v>
      </c>
      <c r="E6" s="11"/>
      <c r="F6" s="11">
        <f t="shared" ref="F6:F35" si="2">+C6+E6-B6-D6</f>
        <v>4514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>
        <v>-2998</v>
      </c>
      <c r="E7" s="11"/>
      <c r="F7" s="11">
        <f t="shared" si="2"/>
        <v>4741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>
        <v>-2864</v>
      </c>
      <c r="E8" s="11"/>
      <c r="F8" s="11">
        <f t="shared" si="2"/>
        <v>5786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720889</v>
      </c>
      <c r="C36" s="11">
        <f>SUM(C5:C35)</f>
        <v>728580</v>
      </c>
      <c r="D36" s="11">
        <f>SUM(D5:D35)</f>
        <v>-11370</v>
      </c>
      <c r="E36" s="11">
        <f>SUM(E5:E35)</f>
        <v>0</v>
      </c>
      <c r="F36" s="11">
        <f>SUM(F5:F35)</f>
        <v>19061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37291</v>
      </c>
      <c r="F41" s="333">
        <f>+F39+F36</f>
        <v>20885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37291</v>
      </c>
      <c r="C48" s="32"/>
      <c r="D48" s="32"/>
      <c r="E48" s="375">
        <f>+F36*'by type_area'!G3</f>
        <v>39265.660000000003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-418221.33999999997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C34" sqref="C3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">
      <c r="A40" s="26"/>
      <c r="D40" s="75">
        <f>+summary!G4</f>
        <v>2.06</v>
      </c>
      <c r="E40" s="26"/>
      <c r="H40" s="75"/>
    </row>
    <row r="41" spans="1:8" x14ac:dyDescent="0.2">
      <c r="D41" s="195">
        <f>+D40*D39</f>
        <v>3120.9</v>
      </c>
      <c r="F41" s="247"/>
      <c r="H41" s="195"/>
    </row>
    <row r="42" spans="1:8" x14ac:dyDescent="0.2">
      <c r="A42" s="57">
        <v>37287</v>
      </c>
      <c r="D42" s="552">
        <v>28675</v>
      </c>
      <c r="E42" s="57"/>
      <c r="H42" s="195"/>
    </row>
    <row r="43" spans="1:8" x14ac:dyDescent="0.2">
      <c r="A43" s="57">
        <v>37290</v>
      </c>
      <c r="D43" s="196">
        <f>+D42+D41</f>
        <v>31795.9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23">
        <v>-42160</v>
      </c>
    </row>
    <row r="49" spans="1:4" x14ac:dyDescent="0.2">
      <c r="A49" s="49">
        <f>+A43</f>
        <v>37290</v>
      </c>
      <c r="B49" s="32"/>
      <c r="C49" s="32"/>
      <c r="D49" s="350">
        <f>+D39</f>
        <v>1515</v>
      </c>
    </row>
    <row r="50" spans="1:4" x14ac:dyDescent="0.2">
      <c r="A50" s="32"/>
      <c r="B50" s="32"/>
      <c r="C50" s="32"/>
      <c r="D50" s="14">
        <f>+D49+D48</f>
        <v>-40645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3" sqref="B4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37290</v>
      </c>
      <c r="I7" s="3" t="s">
        <v>258</v>
      </c>
      <c r="J7" s="15"/>
    </row>
    <row r="8" spans="1:14" x14ac:dyDescent="0.2">
      <c r="A8" s="248">
        <v>50895</v>
      </c>
      <c r="B8" s="340">
        <f>210+210+210-228-222-78</f>
        <v>102</v>
      </c>
      <c r="J8" s="15"/>
    </row>
    <row r="9" spans="1:14" x14ac:dyDescent="0.2">
      <c r="A9" s="248">
        <v>60874</v>
      </c>
      <c r="B9" s="340">
        <v>283</v>
      </c>
      <c r="J9" s="15"/>
    </row>
    <row r="10" spans="1:14" x14ac:dyDescent="0.2">
      <c r="A10" s="248">
        <v>78169</v>
      </c>
      <c r="B10" s="340">
        <f>11718+11725+11724-38466</f>
        <v>-3299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500+500+500-872</f>
        <v>628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/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135+135+135-414-502-508</f>
        <v>-1019</v>
      </c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53779+53810+53810-60373-62145-56543</f>
        <v>-17662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-20968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2.06</v>
      </c>
      <c r="C19" s="199">
        <f>+B19*B18</f>
        <v>-43194.080000000002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1465559.91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37290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2.06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">
      <c r="E39" s="49">
        <f>+A7</f>
        <v>37290</v>
      </c>
      <c r="F39" s="350">
        <f>+B18</f>
        <v>-20968</v>
      </c>
      <c r="G39" s="350">
        <f>+B31</f>
        <v>0</v>
      </c>
      <c r="H39" s="350">
        <f>+B46</f>
        <v>529</v>
      </c>
      <c r="I39" s="14"/>
    </row>
    <row r="40" spans="1:9" x14ac:dyDescent="0.2">
      <c r="A40" s="49">
        <v>37287</v>
      </c>
      <c r="C40" s="545">
        <v>855876.1</v>
      </c>
      <c r="F40" s="14">
        <f>+F39+F38</f>
        <v>346821</v>
      </c>
      <c r="G40" s="14">
        <f>+G39+G38</f>
        <v>117857</v>
      </c>
      <c r="H40" s="14">
        <f>+H39+H38</f>
        <v>193964</v>
      </c>
      <c r="I40" s="14">
        <f>+H40+G40+F40</f>
        <v>658642</v>
      </c>
    </row>
    <row r="41" spans="1:9" x14ac:dyDescent="0.2">
      <c r="G41" s="32"/>
      <c r="H41" s="15"/>
      <c r="I41" s="32"/>
    </row>
    <row r="42" spans="1:9" x14ac:dyDescent="0.2">
      <c r="A42" s="245">
        <v>37290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252</v>
      </c>
      <c r="G44" s="32"/>
      <c r="H44" s="381"/>
      <c r="I44" s="14"/>
    </row>
    <row r="45" spans="1:9" x14ac:dyDescent="0.2">
      <c r="A45" s="32">
        <v>500392</v>
      </c>
      <c r="B45" s="250">
        <v>277</v>
      </c>
      <c r="G45" s="32"/>
      <c r="H45" s="381"/>
      <c r="I45" s="14"/>
    </row>
    <row r="46" spans="1:9" x14ac:dyDescent="0.2">
      <c r="B46" s="14">
        <f>SUM(B43:B45)</f>
        <v>529</v>
      </c>
      <c r="G46" s="32"/>
      <c r="H46" s="381"/>
      <c r="I46" s="14"/>
    </row>
    <row r="47" spans="1:9" x14ac:dyDescent="0.2">
      <c r="B47" s="199">
        <f>+summary!G5</f>
        <v>2.06</v>
      </c>
      <c r="C47" s="199">
        <f>+B47*B46</f>
        <v>1089.74</v>
      </c>
      <c r="H47" s="381"/>
      <c r="I47" s="14"/>
    </row>
    <row r="48" spans="1:9" x14ac:dyDescent="0.2">
      <c r="C48" s="321">
        <f>+C47+C40</f>
        <v>856965.84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2694896.9</v>
      </c>
      <c r="I57" s="14">
        <f>SUM(I40:I54)</f>
        <v>713975</v>
      </c>
    </row>
    <row r="61" spans="1:9" x14ac:dyDescent="0.2">
      <c r="C61" s="15">
        <f>+DEFS!F49</f>
        <v>-2824442.71</v>
      </c>
    </row>
    <row r="62" spans="1:9" x14ac:dyDescent="0.2">
      <c r="C62" s="15">
        <f>+C61+C57</f>
        <v>-129545.81000000006</v>
      </c>
      <c r="I62" s="31">
        <f>+I57+DEFS!K49</f>
        <v>266522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B4" sqref="B4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-620211.38</v>
      </c>
      <c r="F40" s="314">
        <f>+E40+C40</f>
        <v>-1655606.38</v>
      </c>
      <c r="H40" s="131"/>
    </row>
    <row r="41" spans="1:13" x14ac:dyDescent="0.2">
      <c r="C41" s="329"/>
      <c r="D41" s="246"/>
      <c r="E41" s="246"/>
      <c r="H41" s="31">
        <f>+C39+E39+F45+F46+F47+F48</f>
        <v>-2820481.33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">
      <c r="C49" s="246"/>
      <c r="D49" s="246"/>
      <c r="F49" s="330">
        <f>SUM(F40:F48)</f>
        <v>-2824442.71</v>
      </c>
      <c r="G49" s="246"/>
      <c r="K49" s="14">
        <f>SUM(K36:K48)</f>
        <v>-447453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2694896.9</v>
      </c>
      <c r="M51" s="14">
        <f>+Duke!I57</f>
        <v>713975</v>
      </c>
    </row>
    <row r="53" spans="3:13" x14ac:dyDescent="0.2">
      <c r="F53" s="104">
        <f>+F51+F49</f>
        <v>-129545.81000000006</v>
      </c>
      <c r="M53" s="16">
        <f>+M51+K49</f>
        <v>266522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-1035395</v>
      </c>
    </row>
    <row r="74" spans="1:3" x14ac:dyDescent="0.2">
      <c r="A74">
        <v>22051</v>
      </c>
      <c r="B74" s="31">
        <f>+J36</f>
        <v>-151764</v>
      </c>
      <c r="C74" s="247">
        <f>+E40</f>
        <v>-620211.38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193964</v>
      </c>
      <c r="C77" s="259">
        <f>+Duke!C48</f>
        <v>856965.84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346821</v>
      </c>
      <c r="C79" s="259">
        <f>+Duke!C20</f>
        <v>1465559.91</v>
      </c>
    </row>
    <row r="81" spans="2:3" x14ac:dyDescent="0.2">
      <c r="B81" s="31">
        <f>SUM(B68:B80)</f>
        <v>266522</v>
      </c>
      <c r="C81" s="259">
        <f>SUM(C68:C80)</f>
        <v>-129545.81000000006</v>
      </c>
    </row>
    <row r="82" spans="2:3" x14ac:dyDescent="0.2">
      <c r="C82">
        <f>+C81/B81</f>
        <v>-0.48606047530785473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G35" sqref="G35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4808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1328</v>
      </c>
      <c r="I8" s="11">
        <v>895</v>
      </c>
      <c r="J8" s="25">
        <f>+C8-B8+E8-D8+G8-F8+I8-H8</f>
        <v>27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5838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1383</v>
      </c>
      <c r="I9" s="11">
        <v>895</v>
      </c>
      <c r="J9" s="25">
        <f t="shared" ref="J9:J38" si="0">+C9-B9+E9-D9+G9-F9+I9-H9</f>
        <v>-1108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5739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1350</v>
      </c>
      <c r="I10" s="11">
        <v>895</v>
      </c>
      <c r="J10" s="25">
        <f t="shared" si="0"/>
        <v>-1032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5739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1323</v>
      </c>
      <c r="I11" s="11">
        <v>895</v>
      </c>
      <c r="J11" s="25">
        <f t="shared" si="0"/>
        <v>-1042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22124</v>
      </c>
      <c r="C39" s="11">
        <f t="shared" si="1"/>
        <v>22044</v>
      </c>
      <c r="D39" s="11">
        <f t="shared" si="1"/>
        <v>63</v>
      </c>
      <c r="E39" s="11">
        <f t="shared" si="1"/>
        <v>24</v>
      </c>
      <c r="F39" s="129">
        <f t="shared" si="1"/>
        <v>3556</v>
      </c>
      <c r="G39" s="11">
        <f t="shared" si="1"/>
        <v>2324</v>
      </c>
      <c r="H39" s="11">
        <f t="shared" si="1"/>
        <v>5384</v>
      </c>
      <c r="I39" s="11">
        <f t="shared" si="1"/>
        <v>3580</v>
      </c>
      <c r="J39" s="25">
        <f t="shared" si="1"/>
        <v>-3155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-6499.3</v>
      </c>
      <c r="L41"/>
      <c r="R41" s="138"/>
      <c r="X41" s="138"/>
    </row>
    <row r="42" spans="1:24" x14ac:dyDescent="0.2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37291</v>
      </c>
      <c r="C43" s="48"/>
      <c r="J43" s="138">
        <f>+J42+J41</f>
        <v>336885.7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23">
        <v>136432</v>
      </c>
      <c r="L47"/>
    </row>
    <row r="48" spans="1:24" x14ac:dyDescent="0.2">
      <c r="A48" s="49">
        <f>+A43</f>
        <v>37291</v>
      </c>
      <c r="B48" s="32"/>
      <c r="C48" s="32"/>
      <c r="D48" s="350">
        <f>+J39</f>
        <v>-3155</v>
      </c>
      <c r="L48"/>
    </row>
    <row r="49" spans="1:12" x14ac:dyDescent="0.2">
      <c r="A49" s="32"/>
      <c r="B49" s="32"/>
      <c r="C49" s="32"/>
      <c r="D49" s="14">
        <f>+D48+D47</f>
        <v>133277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6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/>
      <c r="C10" s="411"/>
      <c r="D10" s="411">
        <v>-155</v>
      </c>
      <c r="E10" s="411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/>
      <c r="C11" s="411"/>
      <c r="D11" s="411">
        <v>-323</v>
      </c>
      <c r="E11" s="411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0</v>
      </c>
      <c r="C39" s="411">
        <f>SUM(C8:C38)</f>
        <v>0</v>
      </c>
      <c r="D39" s="411">
        <f>SUM(D8:D38)</f>
        <v>-801</v>
      </c>
      <c r="E39" s="411">
        <f>SUM(E8:E38)</f>
        <v>0</v>
      </c>
      <c r="F39" s="411">
        <f>SUM(F8:F38)</f>
        <v>801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1650.06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37291</v>
      </c>
      <c r="B43" s="285"/>
      <c r="C43" s="436"/>
      <c r="D43" s="436"/>
      <c r="E43" s="436"/>
      <c r="F43" s="417">
        <f>+F42+F41</f>
        <v>153884.69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523">
        <v>-368359</v>
      </c>
      <c r="E47" s="11"/>
    </row>
    <row r="48" spans="1:26" x14ac:dyDescent="0.2">
      <c r="A48" s="49">
        <f>+A43</f>
        <v>37291</v>
      </c>
      <c r="B48" s="32"/>
      <c r="C48" s="32"/>
      <c r="D48" s="350">
        <f>+F39</f>
        <v>801</v>
      </c>
      <c r="E48" s="11"/>
    </row>
    <row r="49" spans="1:5" x14ac:dyDescent="0.2">
      <c r="A49" s="32"/>
      <c r="B49" s="32"/>
      <c r="C49" s="32"/>
      <c r="D49" s="14">
        <f>+D48+D47</f>
        <v>-367558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9"/>
  <sheetViews>
    <sheetView workbookViewId="0">
      <selection activeCell="D17" sqref="D17"/>
    </sheetView>
  </sheetViews>
  <sheetFormatPr defaultRowHeight="12.75" x14ac:dyDescent="0.2"/>
  <cols>
    <col min="1" max="1" width="25.85546875" style="285" customWidth="1"/>
    <col min="2" max="2" width="11.140625" style="581" bestFit="1" customWidth="1"/>
    <col min="3" max="3" width="9.7109375" style="582" customWidth="1"/>
    <col min="4" max="4" width="5.140625" style="583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5" bestFit="1" customWidth="1"/>
    <col min="15" max="15" width="9" style="586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4"/>
    </row>
    <row r="3" spans="1:33" ht="15" customHeight="1" x14ac:dyDescent="0.2">
      <c r="F3" s="587" t="s">
        <v>29</v>
      </c>
      <c r="G3" s="588">
        <f>+'[3]1001'!$K$39</f>
        <v>2.06</v>
      </c>
      <c r="J3" s="374">
        <f ca="1">NOW()</f>
        <v>37293.568481481481</v>
      </c>
    </row>
    <row r="4" spans="1:33" ht="15" customHeight="1" x14ac:dyDescent="0.2">
      <c r="A4" s="34" t="s">
        <v>145</v>
      </c>
      <c r="C4" s="34" t="s">
        <v>5</v>
      </c>
      <c r="F4" s="589" t="s">
        <v>30</v>
      </c>
      <c r="G4" s="590">
        <f>+'[3]1001'!$M$39</f>
        <v>2.06</v>
      </c>
    </row>
    <row r="5" spans="1:33" ht="15" customHeight="1" x14ac:dyDescent="0.2">
      <c r="B5" s="591"/>
      <c r="F5" s="587" t="s">
        <v>117</v>
      </c>
      <c r="G5" s="588">
        <f>+'[3]1001'!$H$39</f>
        <v>2.06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301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1465559.91</v>
      </c>
      <c r="C8" s="206">
        <f>+B8/$G$5</f>
        <v>711436.8495145631</v>
      </c>
      <c r="D8" s="364">
        <f>+Duke!A7</f>
        <v>37290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1229336.99</v>
      </c>
      <c r="C9" s="206">
        <f>+B9/$G$5</f>
        <v>596765.52912621351</v>
      </c>
      <c r="D9" s="364">
        <f>+DEFS!A40</f>
        <v>37290</v>
      </c>
      <c r="E9" s="204" t="s">
        <v>85</v>
      </c>
      <c r="F9" s="204" t="s">
        <v>153</v>
      </c>
      <c r="G9" s="204" t="s">
        <v>100</v>
      </c>
      <c r="H9" s="204" t="s">
        <v>311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827652.52</v>
      </c>
      <c r="C10" s="275">
        <f>+B10/$G$4</f>
        <v>401773.06796116504</v>
      </c>
      <c r="D10" s="365">
        <f>+PNM!A23</f>
        <v>37291</v>
      </c>
      <c r="E10" s="32" t="s">
        <v>85</v>
      </c>
      <c r="F10" s="32" t="s">
        <v>302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436205.45</v>
      </c>
      <c r="C11" s="275">
        <f>+B11/$G$4</f>
        <v>211750.21844660194</v>
      </c>
      <c r="D11" s="364">
        <f>+Conoco!A41</f>
        <v>37291</v>
      </c>
      <c r="E11" s="32" t="s">
        <v>85</v>
      </c>
      <c r="F11" s="32" t="s">
        <v>303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370505.42</v>
      </c>
      <c r="C12" s="275">
        <f>+Mojave!D40</f>
        <v>179857</v>
      </c>
      <c r="D12" s="365">
        <f>+Mojave!A40</f>
        <v>37291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336885.7</v>
      </c>
      <c r="C13" s="275">
        <f>+B13/$G$4</f>
        <v>163536.74757281554</v>
      </c>
      <c r="D13" s="365">
        <f>+mewborne!A43</f>
        <v>37291</v>
      </c>
      <c r="E13" s="32" t="s">
        <v>85</v>
      </c>
      <c r="F13" s="32" t="s">
        <v>302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295806.83</v>
      </c>
      <c r="C14" s="275">
        <f>+B14/$G$4</f>
        <v>143595.54854368934</v>
      </c>
      <c r="D14" s="365">
        <f>+KN_Westar!A41</f>
        <v>37287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276068.84000000003</v>
      </c>
      <c r="C15" s="275">
        <f>+NGPL!F38</f>
        <v>134014</v>
      </c>
      <c r="D15" s="365">
        <f>+NGPL!A38</f>
        <v>37291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+B8+B9+B45</f>
        <v>-129545.81000000006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443" t="s">
        <v>79</v>
      </c>
      <c r="B16" s="509">
        <f>+Agave!$D$24</f>
        <v>196204.49</v>
      </c>
      <c r="C16" s="464">
        <f>+B16/$G$4</f>
        <v>95244.898058252424</v>
      </c>
      <c r="D16" s="463">
        <f>+Agave!A24</f>
        <v>37290</v>
      </c>
      <c r="E16" s="443" t="s">
        <v>85</v>
      </c>
      <c r="F16" s="443" t="s">
        <v>303</v>
      </c>
      <c r="G16" s="443" t="s">
        <v>102</v>
      </c>
      <c r="H16" s="443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31</v>
      </c>
      <c r="B17" s="346">
        <f>+C17*$G$5</f>
        <v>174668.34760000001</v>
      </c>
      <c r="C17" s="275">
        <f>+Lonestar!F43</f>
        <v>84790.46</v>
      </c>
      <c r="D17" s="364">
        <f>+Lonestar!A43</f>
        <v>37291</v>
      </c>
      <c r="E17" s="32" t="s">
        <v>84</v>
      </c>
      <c r="F17" s="32" t="s">
        <v>303</v>
      </c>
      <c r="G17" s="32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207</v>
      </c>
      <c r="B18" s="346">
        <f>+Dominion!D41</f>
        <v>174060.24</v>
      </c>
      <c r="C18" s="275">
        <f>+B18/$G$5</f>
        <v>84495.262135922327</v>
      </c>
      <c r="D18" s="365">
        <f>+Dominion!A41</f>
        <v>37291</v>
      </c>
      <c r="E18" s="32" t="s">
        <v>85</v>
      </c>
      <c r="F18" s="32" t="s">
        <v>302</v>
      </c>
      <c r="G18" s="32" t="s">
        <v>99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04" t="s">
        <v>32</v>
      </c>
      <c r="B19" s="346">
        <f>+C19*$G$4</f>
        <v>169387.62</v>
      </c>
      <c r="C19" s="206">
        <f>+SoCal!F40</f>
        <v>82227</v>
      </c>
      <c r="D19" s="364">
        <f>+SoCal!A40</f>
        <v>37291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3</v>
      </c>
      <c r="B20" s="346">
        <f>+'Amoco Abo'!$F$43</f>
        <v>153884.69</v>
      </c>
      <c r="C20" s="275">
        <f>+B20/$G$4</f>
        <v>74701.305825242714</v>
      </c>
      <c r="D20" s="365">
        <f>+'Amoco Abo'!A43</f>
        <v>37291</v>
      </c>
      <c r="E20" s="32" t="s">
        <v>85</v>
      </c>
      <c r="F20" s="32" t="s">
        <v>153</v>
      </c>
      <c r="G20" s="32" t="s">
        <v>115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210</v>
      </c>
      <c r="B21" s="346">
        <f>+Devon!D41</f>
        <v>135716.78</v>
      </c>
      <c r="C21" s="275">
        <f>+B21/$G$5</f>
        <v>65881.932038834944</v>
      </c>
      <c r="D21" s="365">
        <f>+Devon!A41</f>
        <v>37291</v>
      </c>
      <c r="E21" s="32" t="s">
        <v>85</v>
      </c>
      <c r="F21" s="32" t="s">
        <v>303</v>
      </c>
      <c r="G21" s="32" t="s">
        <v>99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129</v>
      </c>
      <c r="B22" s="346">
        <f>+EPFS!D41</f>
        <v>119267.26000000001</v>
      </c>
      <c r="C22" s="206">
        <f>+B22/$G$5</f>
        <v>57896.728155339806</v>
      </c>
      <c r="D22" s="364">
        <f>+EPFS!A41</f>
        <v>37291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309</v>
      </c>
      <c r="B23" s="346">
        <f>+Plains!$N$43</f>
        <v>107948.28</v>
      </c>
      <c r="C23" s="206">
        <f>+B23/$G$4</f>
        <v>52402.077669902908</v>
      </c>
      <c r="D23" s="364">
        <f>+Plains!A43</f>
        <v>37256</v>
      </c>
      <c r="E23" s="204" t="s">
        <v>85</v>
      </c>
      <c r="F23" s="204"/>
      <c r="G23" s="204" t="s">
        <v>100</v>
      </c>
      <c r="H23" s="204" t="s">
        <v>310</v>
      </c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218</v>
      </c>
      <c r="B24" s="346">
        <f>+Amarillo!P41</f>
        <v>93080.3</v>
      </c>
      <c r="C24" s="275">
        <f>+B24/$G$4</f>
        <v>45184.611650485436</v>
      </c>
      <c r="D24" s="365">
        <f>+Amarillo!A41</f>
        <v>37290</v>
      </c>
      <c r="E24" s="32" t="s">
        <v>85</v>
      </c>
      <c r="F24" s="32" t="s">
        <v>303</v>
      </c>
      <c r="G24" s="32" t="s">
        <v>113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33</v>
      </c>
      <c r="B25" s="346">
        <f>+'El Paso'!C39*summary!G4+'El Paso'!E39*summary!G3</f>
        <v>86260.44</v>
      </c>
      <c r="C25" s="275">
        <f>+'El Paso'!H39</f>
        <v>41874</v>
      </c>
      <c r="D25" s="364">
        <f>+'El Paso'!A39</f>
        <v>37290</v>
      </c>
      <c r="E25" s="204" t="s">
        <v>84</v>
      </c>
      <c r="F25" s="204" t="s">
        <v>154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67658.64</v>
      </c>
      <c r="C26" s="206">
        <f>+'PG&amp;E'!D40</f>
        <v>32844</v>
      </c>
      <c r="D26" s="365">
        <f>+'PG&amp;E'!A40</f>
        <v>37291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2" customFormat="1" ht="13.5" customHeight="1" x14ac:dyDescent="0.2">
      <c r="A27" s="204" t="s">
        <v>139</v>
      </c>
      <c r="B27" s="346">
        <f>+'Citizens-Griffith'!D41</f>
        <v>47819.18</v>
      </c>
      <c r="C27" s="275">
        <f t="shared" ref="C27:C36" si="0">+B27/$G$4</f>
        <v>23213.194174757282</v>
      </c>
      <c r="D27" s="364">
        <f>+'Citizens-Griffith'!A41</f>
        <v>37291</v>
      </c>
      <c r="E27" s="204" t="s">
        <v>85</v>
      </c>
      <c r="F27" s="204" t="s">
        <v>303</v>
      </c>
      <c r="G27" s="204" t="s">
        <v>99</v>
      </c>
      <c r="H27" s="204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2" customFormat="1" ht="13.5" customHeight="1" x14ac:dyDescent="0.2">
      <c r="A28" s="32" t="s">
        <v>1</v>
      </c>
      <c r="B28" s="346">
        <f>+C28*$G$3</f>
        <v>43023.1</v>
      </c>
      <c r="C28" s="206">
        <f>+NW!$F$41</f>
        <v>20885</v>
      </c>
      <c r="D28" s="364">
        <f>+NW!B41</f>
        <v>37291</v>
      </c>
      <c r="E28" s="32" t="s">
        <v>84</v>
      </c>
      <c r="F28" s="32" t="s">
        <v>153</v>
      </c>
      <c r="G28" s="32" t="s">
        <v>115</v>
      </c>
      <c r="H28" s="352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2" customFormat="1" ht="13.5" customHeight="1" x14ac:dyDescent="0.2">
      <c r="A29" s="204" t="s">
        <v>147</v>
      </c>
      <c r="B29" s="346">
        <f>+PGETX!$H$39</f>
        <v>37510.14</v>
      </c>
      <c r="C29" s="275">
        <f>+B29/$G$4</f>
        <v>18208.805825242718</v>
      </c>
      <c r="D29" s="364">
        <f>+PGETX!E39</f>
        <v>37291</v>
      </c>
      <c r="E29" s="204" t="s">
        <v>85</v>
      </c>
      <c r="F29" s="204" t="s">
        <v>154</v>
      </c>
      <c r="G29" s="204" t="s">
        <v>102</v>
      </c>
      <c r="H29" s="204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2" customFormat="1" ht="13.5" customHeight="1" x14ac:dyDescent="0.2">
      <c r="A30" s="32" t="s">
        <v>110</v>
      </c>
      <c r="B30" s="346">
        <f>+C30*$G$4</f>
        <v>36229.22</v>
      </c>
      <c r="C30" s="275">
        <f>+CIG!D42</f>
        <v>17587</v>
      </c>
      <c r="D30" s="365">
        <f>+CIG!A42</f>
        <v>37290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32" t="s">
        <v>23</v>
      </c>
      <c r="B31" s="346">
        <f>+C31*$G$3</f>
        <v>34253.68</v>
      </c>
      <c r="C31" s="348">
        <f>+'Red C'!$F$45</f>
        <v>16628</v>
      </c>
      <c r="D31" s="364">
        <f>+'Red C'!A45</f>
        <v>37291</v>
      </c>
      <c r="E31" s="204" t="s">
        <v>84</v>
      </c>
      <c r="F31" s="32" t="s">
        <v>153</v>
      </c>
      <c r="G31" s="32" t="s">
        <v>115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">
      <c r="A32" s="32" t="s">
        <v>300</v>
      </c>
      <c r="B32" s="346">
        <f>+Stratland!$D$41</f>
        <v>34122.25</v>
      </c>
      <c r="C32" s="275">
        <f t="shared" si="0"/>
        <v>16564.199029126212</v>
      </c>
      <c r="D32" s="364">
        <f>+Stratland!A41</f>
        <v>37271</v>
      </c>
      <c r="E32" s="32" t="s">
        <v>85</v>
      </c>
      <c r="F32" s="32" t="s">
        <v>302</v>
      </c>
      <c r="G32" s="32" t="s">
        <v>102</v>
      </c>
      <c r="H32" s="32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">
      <c r="A33" s="204" t="s">
        <v>71</v>
      </c>
      <c r="B33" s="347">
        <f>+transcol!$D$43</f>
        <v>31795.9</v>
      </c>
      <c r="C33" s="348">
        <f t="shared" si="0"/>
        <v>15434.902912621359</v>
      </c>
      <c r="D33" s="364">
        <f>+transcol!A43</f>
        <v>37290</v>
      </c>
      <c r="E33" s="204" t="s">
        <v>85</v>
      </c>
      <c r="F33" s="204" t="s">
        <v>153</v>
      </c>
      <c r="G33" s="204" t="s">
        <v>115</v>
      </c>
      <c r="H33" s="32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109</v>
      </c>
      <c r="B34" s="346">
        <f>+Continental!F43</f>
        <v>27559.68</v>
      </c>
      <c r="C34" s="206">
        <f t="shared" si="0"/>
        <v>13378.485436893203</v>
      </c>
      <c r="D34" s="364">
        <f>+Continental!A43</f>
        <v>37291</v>
      </c>
      <c r="E34" s="204" t="s">
        <v>85</v>
      </c>
      <c r="F34" s="204" t="s">
        <v>154</v>
      </c>
      <c r="G34" s="204" t="s">
        <v>115</v>
      </c>
      <c r="H34" s="204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2" customFormat="1" ht="13.5" customHeight="1" x14ac:dyDescent="0.2">
      <c r="A35" s="32" t="s">
        <v>283</v>
      </c>
      <c r="B35" s="346">
        <f>+'WTG inc'!N43</f>
        <v>25673.48</v>
      </c>
      <c r="C35" s="275">
        <f t="shared" si="0"/>
        <v>12462.854368932038</v>
      </c>
      <c r="D35" s="365">
        <f>+'WTG inc'!A43</f>
        <v>37290</v>
      </c>
      <c r="E35" s="32" t="s">
        <v>85</v>
      </c>
      <c r="F35" s="32" t="s">
        <v>153</v>
      </c>
      <c r="G35" s="32" t="s">
        <v>115</v>
      </c>
      <c r="H35" s="204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32" t="s">
        <v>103</v>
      </c>
      <c r="B36" s="346">
        <f>+EOG!$J$41</f>
        <v>18980</v>
      </c>
      <c r="C36" s="275">
        <f t="shared" si="0"/>
        <v>9213.5922330097092</v>
      </c>
      <c r="D36" s="364">
        <f>+EOG!A41</f>
        <v>37287</v>
      </c>
      <c r="E36" s="32" t="s">
        <v>85</v>
      </c>
      <c r="F36" s="32" t="s">
        <v>302</v>
      </c>
      <c r="G36" s="32" t="s">
        <v>102</v>
      </c>
      <c r="H36" s="32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3.5" customHeight="1" x14ac:dyDescent="0.2">
      <c r="A37" s="204" t="s">
        <v>87</v>
      </c>
      <c r="B37" s="346">
        <f>+NNG!$D$24</f>
        <v>17061.14</v>
      </c>
      <c r="C37" s="275">
        <f>+B37/$G$4</f>
        <v>8282.1067961165045</v>
      </c>
      <c r="D37" s="364">
        <f>+NNG!A24</f>
        <v>37291</v>
      </c>
      <c r="E37" s="204" t="s">
        <v>85</v>
      </c>
      <c r="F37" s="204" t="s">
        <v>302</v>
      </c>
      <c r="G37" s="204" t="s">
        <v>100</v>
      </c>
      <c r="H37" s="204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3.5" customHeight="1" x14ac:dyDescent="0.2">
      <c r="A38" s="204" t="s">
        <v>127</v>
      </c>
      <c r="B38" s="346">
        <f>+Calpine!D41</f>
        <v>15275.580000000002</v>
      </c>
      <c r="C38" s="206">
        <f>+B38/$G$4</f>
        <v>7415.3300970873797</v>
      </c>
      <c r="D38" s="364">
        <f>+Calpine!A41</f>
        <v>37290</v>
      </c>
      <c r="E38" s="204" t="s">
        <v>85</v>
      </c>
      <c r="F38" s="204" t="s">
        <v>153</v>
      </c>
      <c r="G38" s="204" t="s">
        <v>99</v>
      </c>
      <c r="H38" s="204"/>
      <c r="I38" s="32"/>
      <c r="J38" s="32"/>
      <c r="K38" s="32"/>
      <c r="L38" s="32"/>
      <c r="M38" s="32"/>
      <c r="N38" s="380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s="592" customFormat="1" ht="13.5" customHeight="1" x14ac:dyDescent="0.2">
      <c r="A39" s="32" t="s">
        <v>291</v>
      </c>
      <c r="B39" s="346">
        <f>+C39*$G$3</f>
        <v>10928.300000000001</v>
      </c>
      <c r="C39" s="275">
        <f>+Amoco!D40</f>
        <v>5305</v>
      </c>
      <c r="D39" s="365">
        <f>+Amoco!A40</f>
        <v>37291</v>
      </c>
      <c r="E39" s="32" t="s">
        <v>84</v>
      </c>
      <c r="F39" s="32" t="s">
        <v>153</v>
      </c>
      <c r="G39" s="32" t="s">
        <v>115</v>
      </c>
      <c r="H39" s="32"/>
      <c r="I39" s="204"/>
      <c r="J39" s="204"/>
      <c r="K39" s="204"/>
      <c r="L39" s="204"/>
      <c r="M39" s="204"/>
      <c r="N39" s="471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3.5" customHeight="1" x14ac:dyDescent="0.2">
      <c r="A40" s="204" t="s">
        <v>28</v>
      </c>
      <c r="B40" s="346">
        <f>+C40*$G$3</f>
        <v>6695</v>
      </c>
      <c r="C40" s="275">
        <f>+williams!J40</f>
        <v>3250</v>
      </c>
      <c r="D40" s="364">
        <f>+williams!A40</f>
        <v>37291</v>
      </c>
      <c r="E40" s="204" t="s">
        <v>85</v>
      </c>
      <c r="F40" s="204" t="s">
        <v>154</v>
      </c>
      <c r="G40" s="204" t="s">
        <v>293</v>
      </c>
      <c r="H40" s="204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s="592" customFormat="1" ht="13.5" customHeight="1" x14ac:dyDescent="0.2">
      <c r="A41" s="32" t="s">
        <v>131</v>
      </c>
      <c r="B41" s="349">
        <f>+SidR!D41</f>
        <v>5158.5</v>
      </c>
      <c r="C41" s="71">
        <f>+B41/$G$5</f>
        <v>2504.1262135922329</v>
      </c>
      <c r="D41" s="365">
        <f>+SidR!A41</f>
        <v>37290</v>
      </c>
      <c r="E41" s="32" t="s">
        <v>85</v>
      </c>
      <c r="F41" s="32" t="s">
        <v>152</v>
      </c>
      <c r="G41" s="32" t="s">
        <v>102</v>
      </c>
      <c r="H41" s="32"/>
      <c r="I41" s="204"/>
      <c r="J41" s="204"/>
      <c r="K41" s="204"/>
      <c r="L41" s="204"/>
      <c r="M41" s="204"/>
      <c r="N41" s="471"/>
      <c r="O41" s="273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</row>
    <row r="42" spans="1:33" ht="18" customHeight="1" x14ac:dyDescent="0.2">
      <c r="A42" s="32" t="s">
        <v>96</v>
      </c>
      <c r="B42" s="47">
        <f>SUM(B8:B41)</f>
        <v>7108243.8975999998</v>
      </c>
      <c r="C42" s="69">
        <f>SUM(C8:C41)</f>
        <v>3450603.8337864066</v>
      </c>
      <c r="D42" s="203"/>
      <c r="E42" s="32"/>
      <c r="F42" s="32"/>
      <c r="G42" s="32"/>
      <c r="H42" s="32"/>
      <c r="I42" s="32"/>
      <c r="J42" s="32"/>
      <c r="K42" s="32"/>
      <c r="L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32"/>
      <c r="B43" s="47"/>
      <c r="C43" s="69"/>
      <c r="D43" s="203"/>
      <c r="E43" s="32"/>
      <c r="F43" s="351"/>
      <c r="G43" s="351"/>
      <c r="H43" s="3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5" customHeight="1" x14ac:dyDescent="0.2">
      <c r="A44" s="335" t="s">
        <v>89</v>
      </c>
      <c r="B44" s="336" t="s">
        <v>16</v>
      </c>
      <c r="C44" s="337" t="s">
        <v>0</v>
      </c>
      <c r="D44" s="344" t="s">
        <v>146</v>
      </c>
      <c r="E44" s="335" t="s">
        <v>90</v>
      </c>
      <c r="F44" s="338" t="s">
        <v>101</v>
      </c>
      <c r="G44" s="338" t="s">
        <v>101</v>
      </c>
      <c r="H44" s="335" t="s">
        <v>98</v>
      </c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5" customHeight="1" x14ac:dyDescent="0.2">
      <c r="A45" s="204" t="s">
        <v>248</v>
      </c>
      <c r="B45" s="347">
        <f>+DEFS!$C$40+DEFS!$E$40+DEFS!$F$44+DEFS!$F$45+DEFS!$F$46+DEFS!$F$47+DEFS!$F$48</f>
        <v>-2824442.71</v>
      </c>
      <c r="C45" s="348">
        <f>+B45/$G$5</f>
        <v>-1371088.6941747572</v>
      </c>
      <c r="D45" s="364">
        <f>+DEFS!A40</f>
        <v>37290</v>
      </c>
      <c r="E45" s="204" t="s">
        <v>85</v>
      </c>
      <c r="F45" s="32" t="s">
        <v>153</v>
      </c>
      <c r="G45" s="32" t="s">
        <v>100</v>
      </c>
      <c r="H45" s="32" t="s">
        <v>312</v>
      </c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204" t="s">
        <v>135</v>
      </c>
      <c r="B46" s="346">
        <f>+Citizens!D18</f>
        <v>-550339.18999999994</v>
      </c>
      <c r="C46" s="206">
        <f>+B46/$G$4</f>
        <v>-267154.94660194172</v>
      </c>
      <c r="D46" s="364">
        <f>+Citizens!A18</f>
        <v>37287</v>
      </c>
      <c r="E46" s="204" t="s">
        <v>85</v>
      </c>
      <c r="F46" s="204" t="s">
        <v>303</v>
      </c>
      <c r="G46" s="204" t="s">
        <v>99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2.95" customHeight="1" x14ac:dyDescent="0.2">
      <c r="A47" s="32" t="s">
        <v>133</v>
      </c>
      <c r="B47" s="346">
        <f>+'NS Steel'!D41</f>
        <v>-295463.74</v>
      </c>
      <c r="C47" s="206">
        <f>+B47/$G$4</f>
        <v>-143429</v>
      </c>
      <c r="D47" s="365">
        <f>+'NS Steel'!A41</f>
        <v>37291</v>
      </c>
      <c r="E47" s="32" t="s">
        <v>85</v>
      </c>
      <c r="F47" s="32" t="s">
        <v>154</v>
      </c>
      <c r="G47" s="32" t="s">
        <v>100</v>
      </c>
      <c r="H47" s="35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2.95" customHeight="1" x14ac:dyDescent="0.2">
      <c r="A48" s="204" t="s">
        <v>260</v>
      </c>
      <c r="B48" s="346">
        <f>+MiVida_Rich!D41</f>
        <v>-203736.06</v>
      </c>
      <c r="C48" s="206">
        <f>+B48/$G$5</f>
        <v>-98901</v>
      </c>
      <c r="D48" s="364">
        <f>+MiVida_Rich!A41</f>
        <v>37256</v>
      </c>
      <c r="E48" s="204" t="s">
        <v>85</v>
      </c>
      <c r="F48" s="204" t="s">
        <v>152</v>
      </c>
      <c r="G48" s="204" t="s">
        <v>102</v>
      </c>
      <c r="H48" s="35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2.95" customHeight="1" x14ac:dyDescent="0.2">
      <c r="A49" s="32" t="s">
        <v>6</v>
      </c>
      <c r="B49" s="346">
        <f>+Oasis!$D$40</f>
        <v>-140667.85999999999</v>
      </c>
      <c r="C49" s="206">
        <f>+B49/$G$5</f>
        <v>-68285.368932038822</v>
      </c>
      <c r="D49" s="365">
        <f>+Oasis!A40</f>
        <v>37291</v>
      </c>
      <c r="E49" s="32" t="s">
        <v>85</v>
      </c>
      <c r="F49" s="32" t="s">
        <v>154</v>
      </c>
      <c r="G49" s="32" t="s">
        <v>102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93" customFormat="1" ht="13.5" customHeight="1" x14ac:dyDescent="0.2">
      <c r="A50" s="32" t="s">
        <v>216</v>
      </c>
      <c r="B50" s="346">
        <f>+crosstex!F41</f>
        <v>-135032.64000000001</v>
      </c>
      <c r="C50" s="206">
        <f>+B50/$G$4</f>
        <v>-65549.825242718449</v>
      </c>
      <c r="D50" s="365">
        <f>+crosstex!A41</f>
        <v>37290</v>
      </c>
      <c r="E50" s="32" t="s">
        <v>85</v>
      </c>
      <c r="F50" s="32" t="s">
        <v>152</v>
      </c>
      <c r="G50" s="32" t="s">
        <v>100</v>
      </c>
      <c r="H50" s="352"/>
      <c r="I50" s="249"/>
      <c r="J50" s="249"/>
      <c r="K50" s="249"/>
      <c r="L50" s="249"/>
      <c r="M50" s="32"/>
      <c r="N50" s="471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ht="13.5" customHeight="1" x14ac:dyDescent="0.2">
      <c r="A51" s="204" t="s">
        <v>204</v>
      </c>
      <c r="B51" s="347">
        <f>+WTGmktg!J43</f>
        <v>-34625.18</v>
      </c>
      <c r="C51" s="206">
        <f>+B51/$G$4</f>
        <v>-16808.339805825242</v>
      </c>
      <c r="D51" s="364">
        <f>+WTGmktg!A43</f>
        <v>37290</v>
      </c>
      <c r="E51" s="32" t="s">
        <v>85</v>
      </c>
      <c r="F51" s="204" t="s">
        <v>153</v>
      </c>
      <c r="G51" s="204" t="s">
        <v>115</v>
      </c>
      <c r="H51" s="204"/>
      <c r="I51" s="32"/>
      <c r="J51" s="32"/>
      <c r="K51" s="32"/>
      <c r="L51" s="32"/>
      <c r="M51" s="32"/>
      <c r="N51" s="380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92" customFormat="1" ht="13.5" customHeight="1" x14ac:dyDescent="0.2">
      <c r="A52" s="32" t="s">
        <v>280</v>
      </c>
      <c r="B52" s="346">
        <f>+SWGasTrans!$D$41</f>
        <v>-20477.36</v>
      </c>
      <c r="C52" s="275">
        <f>+B52/$G$4</f>
        <v>-9940.4660194174758</v>
      </c>
      <c r="D52" s="364">
        <f>+SWGasTrans!A41</f>
        <v>37290</v>
      </c>
      <c r="E52" s="32" t="s">
        <v>85</v>
      </c>
      <c r="F52" s="32" t="s">
        <v>153</v>
      </c>
      <c r="G52" s="32" t="s">
        <v>99</v>
      </c>
      <c r="H52" s="32"/>
      <c r="I52" s="204"/>
      <c r="J52" s="204"/>
      <c r="K52" s="204"/>
      <c r="L52" s="204"/>
      <c r="M52" s="204"/>
      <c r="N52" s="471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592" customFormat="1" ht="13.5" customHeight="1" x14ac:dyDescent="0.2">
      <c r="A53" s="204" t="s">
        <v>95</v>
      </c>
      <c r="B53" s="346">
        <f>+burlington!D42</f>
        <v>-15598.96</v>
      </c>
      <c r="C53" s="275">
        <f>+B53/$G$3</f>
        <v>-7572.3106796116499</v>
      </c>
      <c r="D53" s="364">
        <f>+burlington!A42</f>
        <v>37290</v>
      </c>
      <c r="E53" s="204" t="s">
        <v>85</v>
      </c>
      <c r="F53" s="32" t="s">
        <v>154</v>
      </c>
      <c r="G53" s="32" t="s">
        <v>113</v>
      </c>
      <c r="H53" s="32"/>
      <c r="I53" s="204"/>
      <c r="J53" s="204"/>
      <c r="K53" s="204"/>
      <c r="L53" s="204"/>
      <c r="M53" s="204"/>
      <c r="N53" s="471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ht="13.5" customHeight="1" x14ac:dyDescent="0.2">
      <c r="A54" s="204" t="s">
        <v>142</v>
      </c>
      <c r="B54" s="596">
        <f>+C54*$G$4</f>
        <v>-5440.46</v>
      </c>
      <c r="C54" s="283">
        <f>+PEPL!D41</f>
        <v>-2641</v>
      </c>
      <c r="D54" s="364">
        <f>+PEPL!A41</f>
        <v>37290</v>
      </c>
      <c r="E54" s="204" t="s">
        <v>84</v>
      </c>
      <c r="F54" s="204" t="s">
        <v>303</v>
      </c>
      <c r="G54" s="204" t="s">
        <v>100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">
      <c r="A55" s="32" t="s">
        <v>97</v>
      </c>
      <c r="B55" s="346">
        <f>SUM(B45:B54)</f>
        <v>-4225824.16</v>
      </c>
      <c r="C55" s="206">
        <f>SUM(C45:C54)</f>
        <v>-2051370.9514563105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+B55+B42</f>
        <v>2882419.7375999996</v>
      </c>
      <c r="C57" s="355">
        <f>+C55+C42</f>
        <v>1399232.8823300961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2" t="s">
        <v>263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 t="s">
        <v>261</v>
      </c>
      <c r="B73" s="47"/>
      <c r="C73" s="69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32" t="s">
        <v>262</v>
      </c>
      <c r="B74" s="47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/>
      <c r="B75" s="356"/>
      <c r="C75" s="357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2" t="s">
        <v>264</v>
      </c>
      <c r="B76" s="75"/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75">
        <v>16841.21</v>
      </c>
      <c r="C77" s="69"/>
      <c r="D77" s="203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75">
        <v>-8065.83</v>
      </c>
      <c r="C78" s="69"/>
      <c r="D78" s="203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27">
        <v>-725.46</v>
      </c>
      <c r="C79" s="69"/>
      <c r="D79" s="358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27">
        <v>-1777.19</v>
      </c>
      <c r="C80" s="291"/>
      <c r="D80" s="360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27">
        <v>2429.75</v>
      </c>
      <c r="C81" s="291"/>
      <c r="D81" s="361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27">
        <v>6695.6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24">
        <v>-2165.34</v>
      </c>
      <c r="C83" s="496"/>
      <c r="D83" s="203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524">
        <v>-17015.8</v>
      </c>
      <c r="C84" s="496"/>
      <c r="D84" s="203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276</v>
      </c>
      <c r="B85" s="524">
        <v>8356.0499999999993</v>
      </c>
      <c r="C85" s="594"/>
      <c r="D85" s="358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277</v>
      </c>
      <c r="B86" s="540">
        <f>775*2.25</f>
        <v>1743.75</v>
      </c>
      <c r="C86" s="594"/>
      <c r="D86" s="358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274</v>
      </c>
      <c r="B87" s="15">
        <f>44144.84-58339.66</f>
        <v>-14194.820000000007</v>
      </c>
      <c r="C87" s="594">
        <v>26357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274</v>
      </c>
      <c r="B88" s="15">
        <v>-51695.87</v>
      </c>
      <c r="C88" s="594">
        <v>20379</v>
      </c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274</v>
      </c>
      <c r="B89" s="15">
        <v>61340.160000000003</v>
      </c>
      <c r="C89" s="594">
        <v>21544</v>
      </c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295</v>
      </c>
      <c r="B90" s="524">
        <v>-2475.85</v>
      </c>
      <c r="C90" s="594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281</v>
      </c>
      <c r="B91" s="524">
        <v>2493.64</v>
      </c>
      <c r="C91" s="594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266</v>
      </c>
      <c r="B92" s="527">
        <v>-35893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272</v>
      </c>
      <c r="B93" s="15">
        <v>3338.45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296</v>
      </c>
      <c r="B94" s="526">
        <v>4000.5</v>
      </c>
      <c r="C94" s="496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 t="s">
        <v>297</v>
      </c>
      <c r="B95" s="526">
        <v>-725.46</v>
      </c>
      <c r="C95" s="496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16">
        <f>SUM(B77:B96)</f>
        <v>-27495.510000000006</v>
      </c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-118118</v>
      </c>
      <c r="C7" s="80">
        <v>-48068</v>
      </c>
      <c r="D7" s="80">
        <f t="shared" si="0"/>
        <v>70050</v>
      </c>
    </row>
    <row r="8" spans="1:4" x14ac:dyDescent="0.2">
      <c r="A8" s="32">
        <v>60667</v>
      </c>
      <c r="B8" s="309">
        <v>-5</v>
      </c>
      <c r="C8" s="80">
        <v>-149783</v>
      </c>
      <c r="D8" s="80">
        <f t="shared" si="0"/>
        <v>-149778</v>
      </c>
    </row>
    <row r="9" spans="1:4" x14ac:dyDescent="0.2">
      <c r="A9" s="32">
        <v>60749</v>
      </c>
      <c r="B9" s="309">
        <v>8853</v>
      </c>
      <c r="C9" s="80">
        <v>11822</v>
      </c>
      <c r="D9" s="80">
        <f t="shared" si="0"/>
        <v>2969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-79928</v>
      </c>
      <c r="C11" s="80"/>
      <c r="D11" s="80">
        <f t="shared" si="0"/>
        <v>79928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3169</v>
      </c>
    </row>
    <row r="19" spans="1:5" x14ac:dyDescent="0.2">
      <c r="A19" s="32" t="s">
        <v>81</v>
      </c>
      <c r="B19" s="69"/>
      <c r="C19" s="69"/>
      <c r="D19" s="73">
        <f>+summary!G4</f>
        <v>2.06</v>
      </c>
    </row>
    <row r="20" spans="1:5" x14ac:dyDescent="0.2">
      <c r="B20" s="69"/>
      <c r="C20" s="69"/>
      <c r="D20" s="75">
        <f>+D19*D18</f>
        <v>6528.14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37291</v>
      </c>
      <c r="B24" s="69"/>
      <c r="C24" s="69"/>
      <c r="D24" s="332">
        <f>+D22+D20</f>
        <v>17061.14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37291</v>
      </c>
      <c r="D33" s="350">
        <f>+D18</f>
        <v>3169</v>
      </c>
    </row>
    <row r="34" spans="1:4" x14ac:dyDescent="0.2">
      <c r="D34" s="14">
        <f>+D33+D32</f>
        <v>6591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-18218</v>
      </c>
      <c r="C5" s="90">
        <v>-7107</v>
      </c>
      <c r="D5" s="90">
        <f t="shared" ref="D5:D13" si="0">+C5-B5</f>
        <v>11111</v>
      </c>
      <c r="E5" s="69"/>
      <c r="F5" s="201"/>
    </row>
    <row r="6" spans="1:13" x14ac:dyDescent="0.2">
      <c r="A6" s="87">
        <v>9238</v>
      </c>
      <c r="B6" s="90">
        <v>-5560</v>
      </c>
      <c r="C6" s="90">
        <v>-4000</v>
      </c>
      <c r="D6" s="90">
        <f t="shared" si="0"/>
        <v>1560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-409497</v>
      </c>
      <c r="C7" s="90">
        <v>-382425</v>
      </c>
      <c r="D7" s="90">
        <f t="shared" si="0"/>
        <v>27072</v>
      </c>
      <c r="E7" s="275"/>
      <c r="F7" s="201"/>
    </row>
    <row r="8" spans="1:13" x14ac:dyDescent="0.2">
      <c r="A8" s="87">
        <v>58710</v>
      </c>
      <c r="B8" s="90"/>
      <c r="C8" s="90">
        <v>-3285</v>
      </c>
      <c r="D8" s="90">
        <f t="shared" si="0"/>
        <v>-3285</v>
      </c>
      <c r="E8" s="275"/>
      <c r="F8" s="201"/>
    </row>
    <row r="9" spans="1:13" x14ac:dyDescent="0.2">
      <c r="A9" s="87">
        <v>60921</v>
      </c>
      <c r="B9" s="90">
        <v>-342451</v>
      </c>
      <c r="C9" s="90">
        <v>-372245</v>
      </c>
      <c r="D9" s="90">
        <f t="shared" si="0"/>
        <v>-29794</v>
      </c>
      <c r="E9" s="275"/>
      <c r="F9" s="201"/>
    </row>
    <row r="10" spans="1:13" x14ac:dyDescent="0.2">
      <c r="A10" s="87">
        <v>78026</v>
      </c>
      <c r="B10" s="90"/>
      <c r="C10" s="90">
        <v>2200</v>
      </c>
      <c r="D10" s="90">
        <f t="shared" si="0"/>
        <v>2200</v>
      </c>
      <c r="E10" s="275"/>
      <c r="F10" s="467"/>
    </row>
    <row r="11" spans="1:13" x14ac:dyDescent="0.2">
      <c r="A11" s="87">
        <v>500084</v>
      </c>
      <c r="B11" s="90">
        <v>-9500</v>
      </c>
      <c r="C11" s="90">
        <v>-12000</v>
      </c>
      <c r="D11" s="90">
        <f t="shared" si="0"/>
        <v>-2500</v>
      </c>
      <c r="E11" s="276"/>
      <c r="F11" s="467"/>
    </row>
    <row r="12" spans="1:13" x14ac:dyDescent="0.2">
      <c r="A12" s="317">
        <v>500085</v>
      </c>
      <c r="B12" s="90">
        <v>-3449</v>
      </c>
      <c r="C12" s="90"/>
      <c r="D12" s="90">
        <f t="shared" si="0"/>
        <v>3449</v>
      </c>
      <c r="E12" s="275"/>
      <c r="F12" s="467"/>
    </row>
    <row r="13" spans="1:13" x14ac:dyDescent="0.2">
      <c r="A13" s="87">
        <v>500097</v>
      </c>
      <c r="B13" s="90">
        <f>-13101-4000</f>
        <v>-17101</v>
      </c>
      <c r="C13" s="90">
        <v>-16000</v>
      </c>
      <c r="D13" s="90">
        <f t="shared" si="0"/>
        <v>1101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10914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2.06</v>
      </c>
      <c r="E18" s="277"/>
      <c r="F18" s="467"/>
    </row>
    <row r="19" spans="1:7" x14ac:dyDescent="0.2">
      <c r="A19" s="87"/>
      <c r="B19" s="88"/>
      <c r="C19" s="88"/>
      <c r="D19" s="96">
        <f>+D18*D17</f>
        <v>22482.84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37291</v>
      </c>
      <c r="B23" s="88"/>
      <c r="C23" s="88"/>
      <c r="D23" s="318">
        <f>+D21+D19</f>
        <v>827652.52</v>
      </c>
      <c r="E23" s="207"/>
      <c r="F23" s="468"/>
    </row>
    <row r="24" spans="1:7" ht="13.5" thickTop="1" x14ac:dyDescent="0.2">
      <c r="E24" s="278"/>
    </row>
    <row r="25" spans="1:7" x14ac:dyDescent="0.2">
      <c r="E25" s="505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523">
        <v>325714</v>
      </c>
    </row>
    <row r="29" spans="1:7" x14ac:dyDescent="0.2">
      <c r="A29" s="49">
        <f>+A23</f>
        <v>37291</v>
      </c>
      <c r="B29" s="32"/>
      <c r="C29" s="32"/>
      <c r="D29" s="350">
        <f>+D17</f>
        <v>10914</v>
      </c>
    </row>
    <row r="30" spans="1:7" x14ac:dyDescent="0.2">
      <c r="A30" s="32"/>
      <c r="B30" s="32"/>
      <c r="C30" s="32"/>
      <c r="D30" s="14">
        <f>+D29+D28</f>
        <v>336628</v>
      </c>
      <c r="E30" s="345"/>
    </row>
    <row r="31" spans="1:7" x14ac:dyDescent="0.2">
      <c r="A31" s="139"/>
      <c r="B31" s="119"/>
      <c r="C31" s="140"/>
      <c r="D31" s="554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B6" sqref="B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">
      <c r="A6">
        <v>4</v>
      </c>
      <c r="B6" s="90"/>
      <c r="C6" s="90"/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120042</v>
      </c>
      <c r="C34" s="287">
        <f>SUM(C3:C33)</f>
        <v>120199</v>
      </c>
      <c r="D34" s="14">
        <f>SUM(D3:D33)</f>
        <v>0</v>
      </c>
      <c r="E34" s="14">
        <f>SUM(E3:E33)</f>
        <v>-1752</v>
      </c>
      <c r="F34" s="14">
        <f>SUM(F3:F33)</f>
        <v>-1595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">
      <c r="A38" s="580">
        <v>37291</v>
      </c>
      <c r="B38" s="14"/>
      <c r="C38" s="14"/>
      <c r="D38" s="14"/>
      <c r="E38" s="14"/>
      <c r="F38" s="150">
        <f>+F37+F34</f>
        <v>134014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37291</v>
      </c>
      <c r="B44" s="32"/>
      <c r="C44" s="32"/>
      <c r="D44" s="375">
        <f>+F34*'by type_area'!G4</f>
        <v>-3285.7000000000003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335455.3</v>
      </c>
      <c r="F45" s="290"/>
      <c r="I45" s="503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8" sqref="C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-81738</v>
      </c>
      <c r="C35" s="11">
        <f>SUM(C4:C34)</f>
        <v>-79840</v>
      </c>
      <c r="D35" s="11">
        <f>SUM(D4:D34)</f>
        <v>1898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93">
        <v>177959</v>
      </c>
    </row>
    <row r="39" spans="1:4" x14ac:dyDescent="0.2">
      <c r="A39" s="2"/>
      <c r="D39" s="24"/>
    </row>
    <row r="40" spans="1:4" x14ac:dyDescent="0.2">
      <c r="A40" s="57">
        <v>37291</v>
      </c>
      <c r="D40" s="51">
        <f>+D38+D35</f>
        <v>179857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92">
        <v>181376</v>
      </c>
    </row>
    <row r="46" spans="1:4" x14ac:dyDescent="0.2">
      <c r="A46" s="49">
        <f>+A40</f>
        <v>37291</v>
      </c>
      <c r="B46" s="32"/>
      <c r="C46" s="32"/>
      <c r="D46" s="375">
        <f>+D35*'by type_area'!G4</f>
        <v>3909.88</v>
      </c>
    </row>
    <row r="47" spans="1:4" x14ac:dyDescent="0.2">
      <c r="A47" s="32"/>
      <c r="B47" s="32"/>
      <c r="C47" s="32"/>
      <c r="D47" s="200">
        <f>+D46+D45</f>
        <v>185285.88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37287</v>
      </c>
      <c r="J41" s="319">
        <f>+J39+J37</f>
        <v>18980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37287</v>
      </c>
      <c r="B47" s="32"/>
      <c r="C47" s="32"/>
      <c r="D47" s="350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-18594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3" sqref="F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307</v>
      </c>
      <c r="H4" s="14" t="s">
        <v>306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305</v>
      </c>
      <c r="I5" s="14" t="s">
        <v>308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228</v>
      </c>
      <c r="F39" s="25">
        <f>SUM(F8:F38)</f>
        <v>228</v>
      </c>
    </row>
    <row r="40" spans="1:6" x14ac:dyDescent="0.2">
      <c r="A40" s="26"/>
      <c r="C40" s="14"/>
      <c r="F40" s="253">
        <f>+summary!G4</f>
        <v>2.06</v>
      </c>
    </row>
    <row r="41" spans="1:6" x14ac:dyDescent="0.2">
      <c r="F41" s="138">
        <f>+F40*F39</f>
        <v>469.68</v>
      </c>
    </row>
    <row r="42" spans="1:6" x14ac:dyDescent="0.2">
      <c r="A42" s="57">
        <v>37287</v>
      </c>
      <c r="C42" s="15"/>
      <c r="F42" s="495">
        <v>27090</v>
      </c>
    </row>
    <row r="43" spans="1:6" x14ac:dyDescent="0.2">
      <c r="A43" s="57">
        <v>37291</v>
      </c>
      <c r="C43" s="48"/>
      <c r="F43" s="138">
        <f>+F42+F41</f>
        <v>27559.68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90">
        <v>-2700</v>
      </c>
    </row>
    <row r="49" spans="1:4" x14ac:dyDescent="0.2">
      <c r="A49" s="49">
        <f>+A43</f>
        <v>37291</v>
      </c>
      <c r="B49" s="32"/>
      <c r="C49" s="32"/>
      <c r="D49" s="350">
        <f>+F39</f>
        <v>228</v>
      </c>
    </row>
    <row r="50" spans="1:4" x14ac:dyDescent="0.2">
      <c r="A50" s="32"/>
      <c r="B50" s="32"/>
      <c r="C50" s="32"/>
      <c r="D50" s="14">
        <f>+D49+D48</f>
        <v>-2472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0"/>
    </row>
    <row r="41" spans="1:4" x14ac:dyDescent="0.2">
      <c r="A41" s="57">
        <v>37287</v>
      </c>
      <c r="C41" s="15"/>
      <c r="D41" s="457">
        <v>17587</v>
      </c>
    </row>
    <row r="42" spans="1:4" x14ac:dyDescent="0.2">
      <c r="A42" s="57">
        <v>37290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61">
        <v>385897</v>
      </c>
    </row>
    <row r="48" spans="1:4" x14ac:dyDescent="0.2">
      <c r="A48" s="49">
        <f>+A42</f>
        <v>37290</v>
      </c>
      <c r="B48" s="32"/>
      <c r="C48" s="32"/>
      <c r="D48" s="375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1" sqref="A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-42710</v>
      </c>
      <c r="C8" s="11">
        <v>-40000</v>
      </c>
      <c r="D8" s="25">
        <f t="shared" si="0"/>
        <v>2710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-127493</v>
      </c>
      <c r="I19" s="119">
        <f>+C37</f>
        <v>-119000</v>
      </c>
      <c r="J19" s="119">
        <f>+I19-H19</f>
        <v>8493</v>
      </c>
      <c r="K19" s="412">
        <f>+D38</f>
        <v>2.06</v>
      </c>
      <c r="L19" s="417">
        <f>+K19*J19</f>
        <v>17495.580000000002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138985</v>
      </c>
      <c r="K24" s="408"/>
      <c r="L24" s="110">
        <f>+L19+L17</f>
        <v>99180.679999999833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48145.961165048458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-127493</v>
      </c>
      <c r="C37" s="11">
        <f>SUM(C6:C36)</f>
        <v>-119000</v>
      </c>
      <c r="D37" s="25">
        <f>SUM(D6:D36)</f>
        <v>8493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17495.580000000002</v>
      </c>
    </row>
    <row r="40" spans="1:4" x14ac:dyDescent="0.2">
      <c r="A40" s="57">
        <v>37287</v>
      </c>
      <c r="C40" s="15"/>
      <c r="D40" s="528">
        <v>-2220</v>
      </c>
    </row>
    <row r="41" spans="1:4" x14ac:dyDescent="0.2">
      <c r="A41" s="57">
        <v>37290</v>
      </c>
      <c r="C41" s="48"/>
      <c r="D41" s="138">
        <f>+D40+D39</f>
        <v>15275.580000000002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86032</v>
      </c>
    </row>
    <row r="46" spans="1:4" x14ac:dyDescent="0.2">
      <c r="A46" s="49">
        <f>+A41</f>
        <v>37290</v>
      </c>
      <c r="B46" s="32"/>
      <c r="C46" s="32"/>
      <c r="D46" s="350">
        <f>+D37</f>
        <v>8493</v>
      </c>
    </row>
    <row r="47" spans="1:4" x14ac:dyDescent="0.2">
      <c r="A47" s="32"/>
      <c r="B47" s="32"/>
      <c r="C47" s="32"/>
      <c r="D47" s="14">
        <f>+D46+D45</f>
        <v>94525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5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116891</v>
      </c>
      <c r="C37" s="11">
        <f>SUM(C6:C36)</f>
        <v>125762</v>
      </c>
      <c r="D37" s="25">
        <f>SUM(D6:D36)</f>
        <v>8871</v>
      </c>
    </row>
    <row r="38" spans="1:4" x14ac:dyDescent="0.2">
      <c r="A38" s="26"/>
      <c r="B38" s="31"/>
      <c r="C38" s="14"/>
      <c r="D38" s="326">
        <f>+summary!G5</f>
        <v>2.06</v>
      </c>
    </row>
    <row r="39" spans="1:4" x14ac:dyDescent="0.2">
      <c r="D39" s="138">
        <f>+D38*D37</f>
        <v>18274.260000000002</v>
      </c>
    </row>
    <row r="40" spans="1:4" x14ac:dyDescent="0.2">
      <c r="A40" s="57">
        <v>37287</v>
      </c>
      <c r="C40" s="15"/>
      <c r="D40" s="528">
        <v>100993</v>
      </c>
    </row>
    <row r="41" spans="1:4" x14ac:dyDescent="0.2">
      <c r="A41" s="57">
        <v>37291</v>
      </c>
      <c r="C41" s="48"/>
      <c r="D41" s="138">
        <f>+D40+D39</f>
        <v>119267.26000000001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62232</v>
      </c>
    </row>
    <row r="46" spans="1:4" x14ac:dyDescent="0.2">
      <c r="A46" s="49">
        <f>+A41</f>
        <v>37291</v>
      </c>
      <c r="B46" s="32"/>
      <c r="C46" s="32"/>
      <c r="D46" s="350">
        <f>+D37</f>
        <v>8871</v>
      </c>
    </row>
    <row r="47" spans="1:4" x14ac:dyDescent="0.2">
      <c r="A47" s="32"/>
      <c r="B47" s="32"/>
      <c r="C47" s="32"/>
      <c r="D47" s="14">
        <f>+D46+D45</f>
        <v>71103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7" sqref="F7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1330345</v>
      </c>
      <c r="C35" s="11">
        <f t="shared" ref="C35:I35" si="3">SUM(C4:C34)</f>
        <v>1341293</v>
      </c>
      <c r="D35" s="11">
        <f t="shared" si="3"/>
        <v>165990</v>
      </c>
      <c r="E35" s="11">
        <f t="shared" si="3"/>
        <v>161157</v>
      </c>
      <c r="F35" s="11">
        <f t="shared" si="3"/>
        <v>148793</v>
      </c>
      <c r="G35" s="11">
        <f t="shared" si="3"/>
        <v>155482</v>
      </c>
      <c r="H35" s="11">
        <f t="shared" si="3"/>
        <v>481820</v>
      </c>
      <c r="I35" s="11">
        <f t="shared" si="3"/>
        <v>469206</v>
      </c>
      <c r="J35" s="11">
        <f>SUM(J4:J34)</f>
        <v>190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37291</v>
      </c>
      <c r="J40" s="51">
        <f>+J38+J35</f>
        <v>3250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37291</v>
      </c>
      <c r="B47" s="32"/>
      <c r="C47" s="32"/>
      <c r="D47" s="375">
        <f>+J35*'by type_area'!G3</f>
        <v>391.40000000000003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6725.4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abSelected="1" topLeftCell="A4" workbookViewId="0">
      <selection activeCell="D12" sqref="D1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97">
        <v>2.3800000000000002E-2</v>
      </c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97">
        <v>1.5299999999999999E-2</v>
      </c>
    </row>
    <row r="10" spans="1:6" x14ac:dyDescent="0.2">
      <c r="A10" s="10">
        <v>5</v>
      </c>
      <c r="B10" s="11"/>
      <c r="C10" s="11"/>
      <c r="D10" s="25">
        <f t="shared" si="0"/>
        <v>0</v>
      </c>
      <c r="F10" s="598">
        <f>+F9-F8</f>
        <v>-8.5000000000000023E-3</v>
      </c>
    </row>
    <row r="11" spans="1:6" x14ac:dyDescent="0.2">
      <c r="A11" s="10">
        <v>6</v>
      </c>
      <c r="B11" s="11"/>
      <c r="C11" s="11"/>
      <c r="D11" s="25">
        <f t="shared" si="0"/>
        <v>0</v>
      </c>
      <c r="F11" s="598"/>
    </row>
    <row r="12" spans="1:6" x14ac:dyDescent="0.2">
      <c r="A12" s="10">
        <v>7</v>
      </c>
      <c r="B12" s="11"/>
      <c r="C12" s="11"/>
      <c r="D12" s="25">
        <f t="shared" si="0"/>
        <v>0</v>
      </c>
      <c r="F12" s="598"/>
    </row>
    <row r="13" spans="1:6" x14ac:dyDescent="0.2">
      <c r="A13" s="10">
        <v>8</v>
      </c>
      <c r="B13" s="11"/>
      <c r="C13" s="11"/>
      <c r="D13" s="25">
        <f t="shared" si="0"/>
        <v>0</v>
      </c>
      <c r="F13" s="598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182145</v>
      </c>
      <c r="C37" s="11">
        <f>SUM(C6:C36)</f>
        <v>182520</v>
      </c>
      <c r="D37" s="25">
        <f>SUM(D6:D36)</f>
        <v>375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772.5</v>
      </c>
    </row>
    <row r="40" spans="1:4" x14ac:dyDescent="0.2">
      <c r="A40" s="57">
        <v>37287</v>
      </c>
      <c r="C40" s="15"/>
      <c r="D40" s="531">
        <v>4386</v>
      </c>
    </row>
    <row r="41" spans="1:4" x14ac:dyDescent="0.2">
      <c r="A41" s="57">
        <v>37290</v>
      </c>
      <c r="C41" s="48"/>
      <c r="D41" s="138">
        <f>+D40+D39</f>
        <v>5158.5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1925</v>
      </c>
    </row>
    <row r="47" spans="1:4" x14ac:dyDescent="0.2">
      <c r="A47" s="49">
        <f>+A41</f>
        <v>37290</v>
      </c>
      <c r="B47" s="32"/>
      <c r="C47" s="32"/>
      <c r="D47" s="350">
        <f>+D37</f>
        <v>375</v>
      </c>
    </row>
    <row r="48" spans="1:4" x14ac:dyDescent="0.2">
      <c r="A48" s="32"/>
      <c r="B48" s="32"/>
      <c r="C48" s="32"/>
      <c r="D48" s="14">
        <f>+D47+D46</f>
        <v>2300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3" sqref="C3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-652</v>
      </c>
      <c r="C8" s="11">
        <v>-657</v>
      </c>
      <c r="D8" s="25">
        <f t="shared" si="0"/>
        <v>-5</v>
      </c>
    </row>
    <row r="9" spans="1:13" x14ac:dyDescent="0.2">
      <c r="A9" s="10">
        <v>4</v>
      </c>
      <c r="B9" s="11"/>
      <c r="C9" s="11">
        <v>-657</v>
      </c>
      <c r="D9" s="25">
        <f t="shared" si="0"/>
        <v>-657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-684</v>
      </c>
      <c r="C37" s="11">
        <f>SUM(C6:C36)</f>
        <v>-1963</v>
      </c>
      <c r="D37" s="25">
        <f>SUM(D6:D36)</f>
        <v>-1279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-2634.7400000000002</v>
      </c>
    </row>
    <row r="40" spans="1:4" x14ac:dyDescent="0.2">
      <c r="A40" s="57">
        <v>37287</v>
      </c>
      <c r="C40" s="15"/>
      <c r="D40" s="528">
        <v>-292829</v>
      </c>
    </row>
    <row r="41" spans="1:4" x14ac:dyDescent="0.2">
      <c r="A41" s="57">
        <v>37291</v>
      </c>
      <c r="C41" s="48"/>
      <c r="D41" s="138">
        <f>+D40+D39</f>
        <v>-295463.74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23">
        <v>-14344</v>
      </c>
    </row>
    <row r="49" spans="1:4" x14ac:dyDescent="0.2">
      <c r="A49" s="49">
        <f>+A41</f>
        <v>37291</v>
      </c>
      <c r="B49" s="32"/>
      <c r="C49" s="32"/>
      <c r="D49" s="350">
        <f>+D37</f>
        <v>-1279</v>
      </c>
    </row>
    <row r="50" spans="1:4" x14ac:dyDescent="0.2">
      <c r="A50" s="32"/>
      <c r="B50" s="32"/>
      <c r="C50" s="32"/>
      <c r="D50" s="14">
        <f>+D49+D48</f>
        <v>-15623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-232565</v>
      </c>
      <c r="C37" s="11">
        <f>SUM(C6:C36)</f>
        <v>-219812</v>
      </c>
      <c r="D37" s="25">
        <f>SUM(D6:D36)</f>
        <v>12753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26271.18</v>
      </c>
    </row>
    <row r="40" spans="1:4" x14ac:dyDescent="0.2">
      <c r="A40" s="57">
        <v>37287</v>
      </c>
      <c r="C40" s="15"/>
      <c r="D40" s="528">
        <v>21548</v>
      </c>
    </row>
    <row r="41" spans="1:4" x14ac:dyDescent="0.2">
      <c r="A41" s="57">
        <v>37291</v>
      </c>
      <c r="C41" s="48"/>
      <c r="D41" s="138">
        <f>+D40+D39</f>
        <v>47819.18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13942</v>
      </c>
    </row>
    <row r="47" spans="1:4" x14ac:dyDescent="0.2">
      <c r="A47" s="49">
        <f>+A41</f>
        <v>37291</v>
      </c>
      <c r="B47" s="32"/>
      <c r="C47" s="32"/>
      <c r="D47" s="350">
        <f>+D37</f>
        <v>12753</v>
      </c>
    </row>
    <row r="48" spans="1:4" x14ac:dyDescent="0.2">
      <c r="A48" s="32"/>
      <c r="B48" s="32"/>
      <c r="C48" s="32"/>
      <c r="D48" s="14">
        <f>+D47+D46</f>
        <v>26695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:C1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2.06</v>
      </c>
      <c r="E13" s="277"/>
      <c r="F13" s="273"/>
    </row>
    <row r="14" spans="1:13" x14ac:dyDescent="0.2">
      <c r="A14" s="87"/>
      <c r="B14" s="88"/>
      <c r="C14" s="88"/>
      <c r="D14" s="96">
        <f>+D13*D12</f>
        <v>0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23">
        <v>-42903</v>
      </c>
    </row>
    <row r="23" spans="1:7" x14ac:dyDescent="0.2">
      <c r="A23" s="49"/>
      <c r="B23" s="32"/>
      <c r="C23" s="32"/>
      <c r="D23" s="350">
        <f>+D12</f>
        <v>0</v>
      </c>
    </row>
    <row r="24" spans="1:7" x14ac:dyDescent="0.2">
      <c r="A24" s="49">
        <f>+A18</f>
        <v>37287</v>
      </c>
      <c r="B24" s="32"/>
      <c r="C24" s="32"/>
      <c r="D24" s="14">
        <f>+D23+D22</f>
        <v>-42903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2" sqref="C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-144803</v>
      </c>
      <c r="C37" s="11">
        <f>SUM(C6:C36)</f>
        <v>-144378</v>
      </c>
      <c r="D37" s="25">
        <f>SUM(D6:D36)</f>
        <v>425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37287</v>
      </c>
      <c r="C40" s="15"/>
      <c r="D40" s="488">
        <v>-3066</v>
      </c>
    </row>
    <row r="41" spans="1:4" x14ac:dyDescent="0.2">
      <c r="A41" s="57">
        <v>37290</v>
      </c>
      <c r="C41" s="48"/>
      <c r="D41" s="25">
        <f>+D40+D37</f>
        <v>-2641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7">
        <v>186633</v>
      </c>
    </row>
    <row r="46" spans="1:4" x14ac:dyDescent="0.2">
      <c r="A46" s="49">
        <f>+A41</f>
        <v>37290</v>
      </c>
      <c r="B46" s="32"/>
      <c r="C46" s="32"/>
      <c r="D46" s="375">
        <f>+D37*'by type_area'!G4</f>
        <v>875.5</v>
      </c>
    </row>
    <row r="47" spans="1:4" x14ac:dyDescent="0.2">
      <c r="A47" s="32"/>
      <c r="B47" s="32"/>
      <c r="C47" s="32"/>
      <c r="D47" s="200">
        <f>+D46+D45</f>
        <v>187508.5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8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2.06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2568.8200000000002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-34625.18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284</v>
      </c>
      <c r="C4" s="4"/>
      <c r="D4" s="38" t="s">
        <v>285</v>
      </c>
      <c r="E4" s="4"/>
      <c r="F4" s="38" t="s">
        <v>286</v>
      </c>
      <c r="G4" s="4"/>
      <c r="H4" s="38" t="s">
        <v>287</v>
      </c>
      <c r="I4" s="4"/>
      <c r="J4" s="38" t="s">
        <v>288</v>
      </c>
      <c r="K4" s="4"/>
      <c r="L4" s="38" t="s">
        <v>289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2.06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840.48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37290</v>
      </c>
      <c r="N43" s="319">
        <f>+N41+N39</f>
        <v>25673.48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0" sqref="A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846</v>
      </c>
      <c r="C37" s="11">
        <f>SUM(C6:C36)</f>
        <v>600</v>
      </c>
      <c r="D37" s="25">
        <f>SUM(D6:D36)</f>
        <v>-246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-506.76</v>
      </c>
    </row>
    <row r="40" spans="1:4" x14ac:dyDescent="0.2">
      <c r="A40" s="57">
        <v>37287</v>
      </c>
      <c r="C40" s="15"/>
      <c r="D40" s="528">
        <v>174567</v>
      </c>
    </row>
    <row r="41" spans="1:4" x14ac:dyDescent="0.2">
      <c r="A41" s="57">
        <v>37291</v>
      </c>
      <c r="C41" s="48"/>
      <c r="D41" s="138">
        <f>+D40+D39</f>
        <v>174060.24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76390</v>
      </c>
    </row>
    <row r="47" spans="1:4" x14ac:dyDescent="0.2">
      <c r="A47" s="49">
        <f>+A41</f>
        <v>37291</v>
      </c>
      <c r="B47" s="32"/>
      <c r="C47" s="32"/>
      <c r="D47" s="350">
        <f>+D37</f>
        <v>-246</v>
      </c>
    </row>
    <row r="48" spans="1:4" x14ac:dyDescent="0.2">
      <c r="A48" s="32"/>
      <c r="B48" s="32"/>
      <c r="C48" s="32"/>
      <c r="D48" s="14">
        <f>+D47+D46</f>
        <v>76144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6007</v>
      </c>
      <c r="C37" s="11">
        <f>SUM(C6:C36)</f>
        <v>720</v>
      </c>
      <c r="D37" s="25">
        <f>SUM(D6:D36)</f>
        <v>-5287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-10891.220000000001</v>
      </c>
    </row>
    <row r="40" spans="1:4" x14ac:dyDescent="0.2">
      <c r="A40" s="57">
        <v>37287</v>
      </c>
      <c r="C40" s="15"/>
      <c r="D40" s="528">
        <v>146608</v>
      </c>
    </row>
    <row r="41" spans="1:4" x14ac:dyDescent="0.2">
      <c r="A41" s="57">
        <v>37291</v>
      </c>
      <c r="C41" s="48"/>
      <c r="D41" s="138">
        <f>+D40+D39</f>
        <v>135716.78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26945</v>
      </c>
    </row>
    <row r="47" spans="1:4" x14ac:dyDescent="0.2">
      <c r="A47" s="49">
        <f>+A41</f>
        <v>37291</v>
      </c>
      <c r="B47" s="32"/>
      <c r="C47" s="32"/>
      <c r="D47" s="350">
        <f>+D37</f>
        <v>-5287</v>
      </c>
    </row>
    <row r="48" spans="1:4" x14ac:dyDescent="0.2">
      <c r="A48" s="32"/>
      <c r="B48" s="32"/>
      <c r="C48" s="32"/>
      <c r="D48" s="14">
        <f>+D47+D46</f>
        <v>21658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7" workbookViewId="0">
      <selection activeCell="C32" sqref="C3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-31887</v>
      </c>
      <c r="C36" s="44">
        <f>SUM(C5:C35)</f>
        <v>-30000</v>
      </c>
      <c r="D36" s="43">
        <f>SUM(D5:D35)</f>
        <v>-156735</v>
      </c>
      <c r="E36" s="43">
        <f>SUM(E5:E35)</f>
        <v>-154631</v>
      </c>
      <c r="F36" s="11">
        <f>SUM(F5:F35)</f>
        <v>3991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2.06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8221.4600000000009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37287</v>
      </c>
      <c r="B42" s="32"/>
      <c r="C42" s="462"/>
      <c r="D42" s="111"/>
      <c r="E42" s="462"/>
      <c r="F42" s="493">
        <v>76569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37291</v>
      </c>
      <c r="B43" s="32"/>
      <c r="C43" s="106"/>
      <c r="D43" s="106"/>
      <c r="E43" s="106"/>
      <c r="F43" s="24">
        <f>+F40+F42</f>
        <v>84790.46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294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37291</v>
      </c>
      <c r="B49" s="32"/>
      <c r="C49" s="32"/>
      <c r="D49" s="76">
        <f>+F36</f>
        <v>3991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55940.24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3" sqref="D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-5689</v>
      </c>
      <c r="C37" s="24">
        <f>SUM(C6:C36)</f>
        <v>-11097</v>
      </c>
      <c r="D37" s="24">
        <f>SUM(D6:D36)</f>
        <v>-2902</v>
      </c>
      <c r="E37" s="24">
        <f>SUM(E6:E36)</f>
        <v>-6000</v>
      </c>
      <c r="F37" s="24">
        <f>SUM(F6:F36)</f>
        <v>-8506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-17522.36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37290</v>
      </c>
      <c r="C41" s="319"/>
      <c r="D41" s="262"/>
      <c r="E41" s="262"/>
      <c r="F41" s="104">
        <f>+F40+F39</f>
        <v>-135032.64000000001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37290</v>
      </c>
      <c r="B47" s="32"/>
      <c r="C47" s="32"/>
      <c r="D47" s="350">
        <f>+F37</f>
        <v>-8506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-44281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-2334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209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-2234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109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-2230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105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-6798</v>
      </c>
      <c r="C37" s="24">
        <f t="shared" si="1"/>
        <v>-6300</v>
      </c>
      <c r="D37" s="24">
        <f t="shared" si="1"/>
        <v>0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423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2.06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871.38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37290</v>
      </c>
      <c r="E41" s="14"/>
      <c r="O41" s="442"/>
      <c r="P41" s="104">
        <f>+P40+P39</f>
        <v>93080.3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37290</v>
      </c>
      <c r="B47" s="32"/>
      <c r="C47" s="32"/>
      <c r="D47" s="350">
        <f>+P37</f>
        <v>423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38637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279</v>
      </c>
      <c r="C3" s="87"/>
      <c r="D3" s="87"/>
    </row>
    <row r="4" spans="1:4" x14ac:dyDescent="0.2">
      <c r="A4" s="3"/>
      <c r="B4" s="328" t="s">
        <v>278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193.64000000000001</v>
      </c>
    </row>
    <row r="40" spans="1:4" x14ac:dyDescent="0.2">
      <c r="A40" s="57">
        <v>37287</v>
      </c>
      <c r="C40" s="15"/>
      <c r="D40" s="528">
        <v>-20671</v>
      </c>
    </row>
    <row r="41" spans="1:4" x14ac:dyDescent="0.2">
      <c r="A41" s="57">
        <v>37290</v>
      </c>
      <c r="C41" s="48"/>
      <c r="D41" s="138">
        <f>+D40+D39</f>
        <v>-20477.36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3117</v>
      </c>
    </row>
    <row r="47" spans="1:4" x14ac:dyDescent="0.2">
      <c r="A47" s="49">
        <f>+A41</f>
        <v>37290</v>
      </c>
      <c r="B47" s="32"/>
      <c r="C47" s="32"/>
      <c r="D47" s="350">
        <f>+D37</f>
        <v>94</v>
      </c>
    </row>
    <row r="48" spans="1:4" x14ac:dyDescent="0.2">
      <c r="A48" s="32"/>
      <c r="B48" s="32"/>
      <c r="C48" s="32"/>
      <c r="D48" s="14">
        <f>+D47+D46</f>
        <v>3211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298</v>
      </c>
      <c r="C3" s="87"/>
      <c r="D3" s="87"/>
    </row>
    <row r="4" spans="1:4" x14ac:dyDescent="0.2">
      <c r="A4" s="3"/>
      <c r="B4" s="328" t="s">
        <v>299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-9057.82</v>
      </c>
    </row>
    <row r="40" spans="1:4" x14ac:dyDescent="0.2">
      <c r="A40" s="57">
        <v>37256</v>
      </c>
      <c r="C40" s="15"/>
      <c r="D40" s="528">
        <v>43180.07</v>
      </c>
    </row>
    <row r="41" spans="1:4" x14ac:dyDescent="0.2">
      <c r="A41" s="57">
        <v>37271</v>
      </c>
      <c r="C41" s="48"/>
      <c r="D41" s="138">
        <f>+D40+D39</f>
        <v>34122.25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14850</v>
      </c>
    </row>
    <row r="47" spans="1:4" x14ac:dyDescent="0.2">
      <c r="A47" s="49">
        <f>+A41</f>
        <v>37271</v>
      </c>
      <c r="B47" s="32"/>
      <c r="C47" s="32"/>
      <c r="D47" s="350">
        <f>+D37</f>
        <v>-4397</v>
      </c>
    </row>
    <row r="48" spans="1:4" x14ac:dyDescent="0.2">
      <c r="A48" s="32"/>
      <c r="B48" s="32"/>
      <c r="C48" s="32"/>
      <c r="D48" s="14">
        <f>+D47+D46</f>
        <v>10453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5" t="s">
        <v>282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6" t="s">
        <v>284</v>
      </c>
      <c r="C4" s="557"/>
      <c r="D4" s="558" t="s">
        <v>285</v>
      </c>
      <c r="E4" s="557"/>
      <c r="F4" s="558" t="s">
        <v>286</v>
      </c>
      <c r="G4" s="557"/>
      <c r="H4" s="558" t="s">
        <v>287</v>
      </c>
      <c r="I4" s="557"/>
      <c r="J4" s="558" t="s">
        <v>288</v>
      </c>
      <c r="K4" s="557"/>
      <c r="L4" s="558" t="s">
        <v>289</v>
      </c>
      <c r="M4" s="557"/>
      <c r="N4" s="557"/>
    </row>
    <row r="5" spans="1:37" x14ac:dyDescent="0.2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">
      <c r="N38" s="264">
        <f>+summary!G4</f>
        <v>2.06</v>
      </c>
      <c r="P38" s="51"/>
      <c r="T38" s="566"/>
      <c r="U38" s="19"/>
      <c r="V38" s="567"/>
      <c r="W38" s="252"/>
      <c r="X38" s="264"/>
      <c r="Y38" s="564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">
      <c r="N40" s="329"/>
      <c r="P40" s="566"/>
      <c r="T40" s="566"/>
      <c r="U40" s="19"/>
      <c r="V40" s="567"/>
      <c r="W40" s="252"/>
      <c r="X40" s="264"/>
      <c r="Y40" s="564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">
      <c r="N42" s="319"/>
      <c r="P42" s="566"/>
      <c r="T42" s="566"/>
      <c r="U42" s="19"/>
      <c r="V42" s="567"/>
      <c r="W42" s="252"/>
      <c r="X42" s="264"/>
      <c r="Y42" s="564"/>
    </row>
    <row r="43" spans="1:25" x14ac:dyDescent="0.2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">
      <c r="N44" s="329"/>
      <c r="P44" s="566"/>
      <c r="T44" s="566"/>
      <c r="U44" s="19"/>
      <c r="V44" s="567"/>
      <c r="W44" s="252"/>
      <c r="X44" s="264"/>
      <c r="Y44" s="564"/>
    </row>
    <row r="45" spans="1:25" x14ac:dyDescent="0.2">
      <c r="P45" s="566"/>
      <c r="T45" s="566"/>
      <c r="U45" s="19"/>
      <c r="V45" s="567"/>
      <c r="W45" s="252"/>
      <c r="X45" s="264"/>
      <c r="Y45" s="564"/>
    </row>
    <row r="46" spans="1:25" x14ac:dyDescent="0.2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">
      <c r="A84" s="261"/>
      <c r="O84" s="565"/>
      <c r="P84" s="566"/>
      <c r="Q84" s="566"/>
      <c r="R84" s="566"/>
      <c r="S84" s="566"/>
      <c r="T84" s="566"/>
      <c r="V84" s="574"/>
    </row>
    <row r="85" spans="1:22" x14ac:dyDescent="0.2">
      <c r="A85" s="261"/>
      <c r="O85" s="565"/>
      <c r="P85" s="566"/>
      <c r="Q85" s="566"/>
      <c r="R85" s="566"/>
      <c r="S85" s="566"/>
      <c r="T85" s="566"/>
      <c r="V85" s="574"/>
    </row>
    <row r="86" spans="1:22" x14ac:dyDescent="0.2">
      <c r="A86" s="261"/>
      <c r="O86" s="565"/>
      <c r="P86" s="566"/>
      <c r="Q86" s="566"/>
      <c r="R86" s="566"/>
      <c r="S86" s="566"/>
      <c r="T86" s="566"/>
      <c r="V86" s="574"/>
    </row>
    <row r="87" spans="1:22" x14ac:dyDescent="0.2">
      <c r="A87" s="261"/>
      <c r="O87" s="565"/>
      <c r="P87" s="566"/>
      <c r="Q87" s="566"/>
      <c r="R87" s="566"/>
      <c r="S87" s="566"/>
      <c r="T87" s="566"/>
      <c r="V87" s="574"/>
    </row>
    <row r="88" spans="1:22" x14ac:dyDescent="0.2">
      <c r="A88" s="261"/>
      <c r="O88" s="565"/>
      <c r="P88" s="566"/>
      <c r="Q88" s="566"/>
      <c r="R88" s="566"/>
      <c r="S88" s="566"/>
      <c r="T88" s="566"/>
      <c r="V88" s="574"/>
    </row>
    <row r="89" spans="1:22" x14ac:dyDescent="0.2">
      <c r="A89" s="261"/>
      <c r="O89" s="565"/>
      <c r="P89" s="566"/>
      <c r="Q89" s="566"/>
      <c r="R89" s="566"/>
      <c r="S89" s="566"/>
      <c r="T89" s="566"/>
      <c r="V89" s="574"/>
    </row>
    <row r="90" spans="1:22" x14ac:dyDescent="0.2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7"/>
      <c r="K166" s="577"/>
      <c r="M166" s="577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7"/>
      <c r="K208" s="577"/>
      <c r="M208" s="577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7"/>
      <c r="K251" s="577"/>
      <c r="M251" s="577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7"/>
      <c r="K293" s="577"/>
      <c r="M293" s="577"/>
      <c r="V293" s="577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8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5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8"/>
      <c r="W378" s="579"/>
    </row>
    <row r="381" spans="14:23" x14ac:dyDescent="0.2">
      <c r="O381" s="465"/>
      <c r="Q381" s="465"/>
      <c r="S381" s="465"/>
      <c r="U381" s="465"/>
    </row>
    <row r="382" spans="14:23" x14ac:dyDescent="0.2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5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8"/>
      <c r="W420" s="579"/>
    </row>
    <row r="425" spans="14:23" x14ac:dyDescent="0.2">
      <c r="O425" s="465"/>
      <c r="Q425" s="465"/>
      <c r="S425" s="465"/>
      <c r="U425" s="465"/>
    </row>
    <row r="426" spans="14:23" x14ac:dyDescent="0.2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5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8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2.06</v>
      </c>
    </row>
    <row r="40" spans="1:8" x14ac:dyDescent="0.2">
      <c r="D40" s="138">
        <f>+D39*D38</f>
        <v>-1886.96</v>
      </c>
      <c r="H40">
        <v>20</v>
      </c>
    </row>
    <row r="41" spans="1:8" x14ac:dyDescent="0.2">
      <c r="A41" s="57">
        <v>37287</v>
      </c>
      <c r="C41" s="15"/>
      <c r="D41" s="541">
        <v>-13712</v>
      </c>
      <c r="H41">
        <v>530</v>
      </c>
    </row>
    <row r="42" spans="1:8" x14ac:dyDescent="0.2">
      <c r="A42" s="57">
        <v>37290</v>
      </c>
      <c r="D42" s="319">
        <f>+D41+D40</f>
        <v>-15598.96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23">
        <v>-9206</v>
      </c>
    </row>
    <row r="48" spans="1:8" x14ac:dyDescent="0.2">
      <c r="A48" s="49">
        <f>+A42</f>
        <v>37290</v>
      </c>
      <c r="B48" s="32"/>
      <c r="C48" s="32"/>
      <c r="D48" s="350">
        <f>+D38</f>
        <v>-916</v>
      </c>
    </row>
    <row r="49" spans="1:4" x14ac:dyDescent="0.2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1" sqref="C3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-977976</v>
      </c>
      <c r="C35" s="11">
        <f>SUM(C4:C34)</f>
        <v>-973854</v>
      </c>
      <c r="D35" s="11">
        <f>SUM(D4:D34)</f>
        <v>4122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30">
        <v>28722</v>
      </c>
    </row>
    <row r="39" spans="1:30" x14ac:dyDescent="0.2">
      <c r="A39" s="12"/>
      <c r="D39" s="51"/>
    </row>
    <row r="40" spans="1:30" x14ac:dyDescent="0.2">
      <c r="A40" s="245">
        <v>37291</v>
      </c>
      <c r="D40" s="51">
        <f>+D38+D35</f>
        <v>32844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37291</v>
      </c>
      <c r="B46" s="32"/>
      <c r="C46" s="32"/>
      <c r="D46" s="375">
        <f>+D35*'by type_area'!G4</f>
        <v>8491.32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-135177.68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workbookViewId="0">
      <selection activeCell="A17" sqref="A1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-2420565</v>
      </c>
      <c r="C35" s="11">
        <f>SUM(C4:C34)</f>
        <v>-2432350</v>
      </c>
      <c r="D35" s="11">
        <f>SUM(D4:D34)</f>
        <v>0</v>
      </c>
      <c r="E35" s="11">
        <f>SUM(E4:E34)</f>
        <v>0</v>
      </c>
      <c r="F35" s="11">
        <f>SUM(F4:F34)</f>
        <v>-11785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32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37291</v>
      </c>
      <c r="D40" s="246"/>
      <c r="E40" s="246"/>
      <c r="F40" s="51">
        <f>+F38+F35</f>
        <v>82227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37291</v>
      </c>
      <c r="B46" s="32"/>
      <c r="C46" s="32"/>
      <c r="D46" s="474">
        <f>+F35*'by type_area'!G4</f>
        <v>-24277.100000000002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285990.90000000002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25" sqref="B2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-128019</v>
      </c>
      <c r="C35" s="44">
        <f t="shared" si="3"/>
        <v>868</v>
      </c>
      <c r="D35" s="11">
        <f t="shared" si="3"/>
        <v>0</v>
      </c>
      <c r="E35" s="44">
        <f t="shared" si="3"/>
        <v>-115468</v>
      </c>
      <c r="F35" s="11">
        <f t="shared" si="3"/>
        <v>0</v>
      </c>
      <c r="G35" s="11">
        <f t="shared" si="3"/>
        <v>0</v>
      </c>
      <c r="H35" s="11">
        <f t="shared" si="3"/>
        <v>13419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2.06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27643.14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37291</v>
      </c>
      <c r="F39" s="473"/>
      <c r="G39" s="473"/>
      <c r="H39" s="319">
        <f>+H38+H37</f>
        <v>37510.14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37291</v>
      </c>
      <c r="E47" s="459">
        <f>+H35</f>
        <v>13419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45895</v>
      </c>
      <c r="F48" s="129"/>
      <c r="G48" s="129"/>
      <c r="H48" s="129"/>
      <c r="I48" s="262"/>
      <c r="J48" s="102"/>
      <c r="K48" s="514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8" sqref="E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-943287</v>
      </c>
      <c r="E36" s="11">
        <f t="shared" si="15"/>
        <v>-946403</v>
      </c>
      <c r="F36" s="11">
        <f t="shared" si="15"/>
        <v>0</v>
      </c>
      <c r="G36" s="11">
        <f t="shared" si="15"/>
        <v>0</v>
      </c>
      <c r="H36" s="11">
        <f t="shared" si="15"/>
        <v>-3116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-3116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38">
        <v>64269</v>
      </c>
      <c r="D38" s="320"/>
      <c r="E38" s="539">
        <v>-19279</v>
      </c>
      <c r="F38" s="24"/>
      <c r="G38" s="24"/>
      <c r="H38" s="236">
        <f>+C38+E38+G38</f>
        <v>44990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37290</v>
      </c>
      <c r="B39" s="2" t="s">
        <v>45</v>
      </c>
      <c r="C39" s="131">
        <f>+C38+C37</f>
        <v>64269</v>
      </c>
      <c r="D39" s="252"/>
      <c r="E39" s="131">
        <f>+E38+E37</f>
        <v>-22395</v>
      </c>
      <c r="F39" s="252"/>
      <c r="G39" s="131"/>
      <c r="H39" s="131">
        <f>+H38+H36</f>
        <v>41874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37290</v>
      </c>
      <c r="B45" s="32"/>
      <c r="C45" s="47">
        <f>+C37*summary!G4</f>
        <v>0</v>
      </c>
      <c r="D45" s="205"/>
      <c r="E45" s="377">
        <f>+E37*summary!G3</f>
        <v>-6418.96</v>
      </c>
      <c r="F45" s="47">
        <f>+E45+C45</f>
        <v>-6418.96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A45" sqref="A4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37291</v>
      </c>
      <c r="I23" s="11">
        <f>+B39</f>
        <v>733186</v>
      </c>
      <c r="J23" s="11">
        <f>+C39</f>
        <v>731694</v>
      </c>
      <c r="K23" s="11">
        <f>+D39</f>
        <v>51072</v>
      </c>
      <c r="L23" s="11">
        <f>+E39</f>
        <v>51190</v>
      </c>
      <c r="M23" s="42">
        <f>+J23-I23+L23-K23</f>
        <v>-1374</v>
      </c>
      <c r="N23" s="102">
        <f>+summary!G3</f>
        <v>2.06</v>
      </c>
      <c r="O23" s="502">
        <f>+N23*M23</f>
        <v>-2830.44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88426</v>
      </c>
      <c r="N24" s="102"/>
      <c r="O24" s="102">
        <f>SUM(O9:O23)</f>
        <v>565285.9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733186</v>
      </c>
      <c r="C39" s="150">
        <f>SUM(C8:C38)</f>
        <v>731694</v>
      </c>
      <c r="D39" s="150">
        <f>SUM(D8:D38)</f>
        <v>51072</v>
      </c>
      <c r="E39" s="150">
        <f>SUM(E8:E38)</f>
        <v>51190</v>
      </c>
      <c r="F39" s="11">
        <f t="shared" si="5"/>
        <v>-1374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37291</v>
      </c>
      <c r="B45" s="32"/>
      <c r="C45" s="106"/>
      <c r="D45" s="106"/>
      <c r="E45" s="106"/>
      <c r="F45" s="24">
        <f>+F44+F39</f>
        <v>16628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290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37291</v>
      </c>
      <c r="B51" s="32"/>
      <c r="C51" s="32"/>
      <c r="D51" s="350">
        <f>+F39*summary!G3</f>
        <v>-2830.44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406423.56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2002-02-04T17:10:29Z</cp:lastPrinted>
  <dcterms:created xsi:type="dcterms:W3CDTF">2000-03-28T16:52:23Z</dcterms:created>
  <dcterms:modified xsi:type="dcterms:W3CDTF">2023-09-13T23:24:13Z</dcterms:modified>
</cp:coreProperties>
</file>