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8C176E-704B-4DCE-B470-F9DFAFCF0CB2}" xr6:coauthVersionLast="47" xr6:coauthVersionMax="47" xr10:uidLastSave="{00000000-0000-0000-0000-000000000000}"/>
  <bookViews>
    <workbookView xWindow="-120" yWindow="-120" windowWidth="23280" windowHeight="12480" tabRatio="686"/>
  </bookViews>
  <sheets>
    <sheet name="monthly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</sheets>
  <externalReferences>
    <externalReference r:id="rId47"/>
    <externalReference r:id="rId48"/>
    <externalReference r:id="rId49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33">Citizens!$A$2:$D$26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5" i="8"/>
  <c r="A29" i="8"/>
  <c r="A30" i="8"/>
  <c r="D30" i="8"/>
  <c r="D31" i="8"/>
  <c r="D36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39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I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55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31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B5" i="94"/>
  <c r="C5" i="94"/>
  <c r="B6" i="94"/>
  <c r="C6" i="94"/>
  <c r="B7" i="94"/>
  <c r="C7" i="94"/>
  <c r="B8" i="94"/>
  <c r="C8" i="94"/>
  <c r="B9" i="94"/>
  <c r="C9" i="94"/>
  <c r="B10" i="94"/>
  <c r="C10" i="94"/>
  <c r="B11" i="94"/>
  <c r="C11" i="94"/>
  <c r="B12" i="94"/>
  <c r="C12" i="94"/>
  <c r="B13" i="94"/>
  <c r="C13" i="94"/>
  <c r="B14" i="94"/>
  <c r="C14" i="94"/>
  <c r="B15" i="94"/>
  <c r="C15" i="94"/>
  <c r="B16" i="94"/>
  <c r="C16" i="94"/>
  <c r="B17" i="94"/>
  <c r="C17" i="94"/>
  <c r="B18" i="94"/>
  <c r="C18" i="94"/>
  <c r="B19" i="94"/>
  <c r="C19" i="94"/>
  <c r="B20" i="94"/>
  <c r="C20" i="94"/>
  <c r="B21" i="94"/>
  <c r="C21" i="94"/>
  <c r="B22" i="94"/>
  <c r="C22" i="94"/>
  <c r="B23" i="94"/>
  <c r="C23" i="94"/>
  <c r="B24" i="94"/>
  <c r="C24" i="94"/>
  <c r="B25" i="94"/>
  <c r="C25" i="94"/>
  <c r="B26" i="94"/>
  <c r="C26" i="94"/>
  <c r="B27" i="94"/>
  <c r="C27" i="94"/>
  <c r="B28" i="94"/>
  <c r="B29" i="94"/>
  <c r="C29" i="94"/>
  <c r="B30" i="94"/>
  <c r="C30" i="94"/>
  <c r="B31" i="94"/>
  <c r="C31" i="94"/>
  <c r="B32" i="94"/>
  <c r="C32" i="94"/>
  <c r="B33" i="94"/>
  <c r="C33" i="94"/>
  <c r="B34" i="94"/>
  <c r="C34" i="94"/>
  <c r="B35" i="94"/>
  <c r="C35" i="94"/>
  <c r="B36" i="94"/>
  <c r="B37" i="94"/>
  <c r="C37" i="94"/>
  <c r="B38" i="94"/>
  <c r="C38" i="94"/>
  <c r="B39" i="94"/>
  <c r="C39" i="94"/>
  <c r="B40" i="94"/>
  <c r="C40" i="94"/>
  <c r="B41" i="94"/>
  <c r="C41" i="94"/>
  <c r="B42" i="94"/>
  <c r="C42" i="94"/>
  <c r="B43" i="94"/>
  <c r="B44" i="94"/>
  <c r="B45" i="94"/>
  <c r="C45" i="94"/>
  <c r="B46" i="94"/>
  <c r="B47" i="94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I20" i="67"/>
  <c r="J20" i="67"/>
  <c r="H21" i="67"/>
  <c r="H22" i="67"/>
  <c r="H23" i="67"/>
  <c r="H24" i="67"/>
  <c r="I24" i="67"/>
  <c r="J24" i="67"/>
  <c r="H25" i="67"/>
  <c r="J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A44" i="67"/>
  <c r="D44" i="67"/>
  <c r="F44" i="67"/>
  <c r="D45" i="67"/>
  <c r="F45" i="67"/>
  <c r="H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39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53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0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D33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4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D51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<sst xmlns="http://schemas.openxmlformats.org/spreadsheetml/2006/main" count="1059" uniqueCount="341">
  <si>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</si>
  <si>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</si>
  <si>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</si>
  <si>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</si>
  <si>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</si>
  <si>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</si>
  <si>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</si>
  <si>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</si>
  <si>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</si>
  <si>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</si>
  <si>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</si>
  <si>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</si>
  <si>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</si>
  <si>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</si>
  <si>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</si>
  <si>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</si>
  <si>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</si>
  <si>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</si>
  <si>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</si>
  <si>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</si>
  <si>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</si>
  <si>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</si>
  <si>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</si>
  <si>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</si>
  <si>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</si>
  <si>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</si>
  <si>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</si>
  <si>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</si>
  <si>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</si>
  <si>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</si>
  <si>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</si>
  <si>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</si>
  <si>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</si>
  <si>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</si>
  <si>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</si>
  <si>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</si>
  <si>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</si>
  <si>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</si>
  <si>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</si>
  <si>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</si>
  <si>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</si>
  <si>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</si>
  <si>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</si>
  <si>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</si>
  <si>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</si>
  <si>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</si>
  <si>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</si>
  <si>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</si>
  <si>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</si>
  <si>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</si>
  <si>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</si>
  <si>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</si>
  <si>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</si>
  <si>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</si>
  <si>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</si>
  <si>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</si>
  <si>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</si>
  <si>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</si>
  <si>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</si>
  <si>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</si>
  <si>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</si>
  <si>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</si>
  <si>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</si>
  <si>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</si>
  <si>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</si>
  <si>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</si>
  <si>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</si>
  <si>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</si>
  <si>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</si>
  <si>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</si>
  <si>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</si>
  <si>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</si>
  <si>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</si>
  <si>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</si>
  <si>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</si>
  <si>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</si>
  <si>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</si>
  <si>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</si>
  <si>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</si>
  <si>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</si>
  <si>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</si>
  <si>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</si>
  <si>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</si>
  <si>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</si>
  <si>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</si>
  <si>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</si>
  <si>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</si>
  <si>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</si>
  <si>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</si>
  <si>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</si>
  <si>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</si>
  <si>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</si>
  <si>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</si>
  <si>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</si>
  <si>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</si>
  <si>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</si>
  <si>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</si>
  <si>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</si>
  <si>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</si>
  <si>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</si>
  <si>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</si>
  <si>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</si>
  <si>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</si>
  <si>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</si>
  <si>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</si>
  <si>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</si>
  <si>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</si>
  <si>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</si>
  <si>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</si>
  <si>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</si>
  <si>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</si>
  <si>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</si>
  <si>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</si>
  <si>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</si>
  <si>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</si>
  <si>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</si>
  <si>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</si>
  <si>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</si>
  <si>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</si>
  <si>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</si>
  <si>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</si>
  <si>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</si>
  <si>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</si>
  <si>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</si>
  <si>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</si>
  <si>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</si>
  <si>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</si>
  <si>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</si>
  <si>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</si>
  <si>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</si>
  <si>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</si>
  <si>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</si>
  <si>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</si>
  <si>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</si>
  <si>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</si>
  <si>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</si>
  <si>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</si>
  <si>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</si>
  <si>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</si>
  <si>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</si>
  <si>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</si>
  <si>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</si>
  <si>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</si>
  <si>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</si>
  <si>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</si>
  <si>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</si>
  <si>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</si>
  <si>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</si>
  <si>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</si>
  <si>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</si>
  <si>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</si>
  <si>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</si>
  <si>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</si>
  <si>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</si>
  <si>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</si>
  <si>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</si>
  <si>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</si>
  <si>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</si>
  <si>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</si>
  <si>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</si>
  <si>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</si>
  <si>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</si>
  <si>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</si>
  <si>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</si>
  <si>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</si>
  <si>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</si>
  <si>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</si>
  <si>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</si>
  <si>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</si>
  <si>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</si>
  <si>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</si>
  <si>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</si>
  <si>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</si>
  <si>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</si>
  <si>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</si>
  <si>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</si>
  <si>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</si>
  <si>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</si>
  <si>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</si>
  <si>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</si>
  <si>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</si>
  <si>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</si>
  <si>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</si>
  <si>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</si>
  <si>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</si>
  <si>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</si>
  <si>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</si>
  <si>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</si>
  <si>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</si>
  <si>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</si>
  <si>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</si>
  <si>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</si>
  <si>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</si>
  <si>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</si>
  <si>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</si>
  <si>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</si>
  <si>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</si>
  <si>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</si>
  <si>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</si>
  <si>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</si>
  <si>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</si>
  <si>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</si>
  <si>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</si>
  <si>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</si>
  <si>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</si>
  <si>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</si>
  <si>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</si>
  <si>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</si>
  <si>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</si>
  <si>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</si>
  <si>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</si>
  <si>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</si>
  <si>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</si>
  <si>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</si>
  <si>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</si>
  <si>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</si>
  <si>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</si>
  <si>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</si>
  <si>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</si>
  <si>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</si>
  <si>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</si>
  <si>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</si>
  <si>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</si>
  <si>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</si>
  <si>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</si>
  <si>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</si>
  <si>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</si>
  <si>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</si>
  <si>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</si>
  <si>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</si>
  <si>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</si>
  <si>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</si>
  <si>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</si>
  <si>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</si>
  <si>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</si>
  <si>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</si>
  <si>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</si>
  <si>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</si>
  <si>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</si>
  <si>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</si>
  <si>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</si>
  <si>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</si>
  <si>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</si>
  <si>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</si>
  <si>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</si>
  <si>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</si>
  <si>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</si>
  <si>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</si>
  <si>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</si>
  <si>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</si>
  <si>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</si>
  <si>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</si>
  <si>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</si>
  <si>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</si>
  <si>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</si>
  <si>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</si>
  <si>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</si>
  <si>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</si>
  <si>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</si>
  <si>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</si>
  <si>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</si>
  <si>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</si>
  <si>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</si>
  <si>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</si>
  <si>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</si>
  <si>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</si>
  <si>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</si>
  <si>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</si>
  <si>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</si>
  <si>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</si>
  <si>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</si>
  <si>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</si>
  <si>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</si>
  <si>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</si>
  <si>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</si>
  <si>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</si>
  <si>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</si>
  <si>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</si>
  <si>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</si>
  <si>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</si>
  <si>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</si>
  <si>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</si>
  <si>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</si>
  <si>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</si>
  <si>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</si>
  <si>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</si>
  <si>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</si>
  <si>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</si>
  <si>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</si>
  <si>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</si>
  <si>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</si>
  <si>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</si>
  <si>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</si>
  <si>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</si>
  <si>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</si>
  <si>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</si>
  <si>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</si>
  <si>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</si>
  <si>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</si>
  <si>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</si>
  <si>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</si>
  <si>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</si>
  <si>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</si>
  <si>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</si>
  <si>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</si>
  <si>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</si>
  <si>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</si>
  <si>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</si>
  <si>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</si>
  <si>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</si>
  <si>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</si>
  <si>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</si>
  <si>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</si>
  <si>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</si>
  <si>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</si>
  <si>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</si>
  <si>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</si>
  <si>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</si>
  <si>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</si>
  <si>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</si>
  <si>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</si>
  <si>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</si>
  <si>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</si>
  <si>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</si>
  <si>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</si>
  <si>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</si>
  <si>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</si>
  <si>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</si>
  <si>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</si>
  <si>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</si>
  <si>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Citizens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</si>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</sst>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  <xf numFmtId="166" fontId="22" fillId="0" borderId="0" xfId="1" applyNumberFormat="1" applyFont="1" applyFill="1"/>
    <xf numFmtId="166" fontId="29" fillId="0" borderId="1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2.5299999999999998</v>
          </cell>
          <cell r="K39">
            <v>2.5299999999999998</v>
          </cell>
          <cell r="M39">
            <v>2.5299999999999998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tabSelected="1" topLeftCell="A35" workbookViewId="0">
      <selection activeCell="B47" sqref="B47"/>
    </sheetView>
  </sheetViews>
  <sheetFormatPr defaultRowHeight="12.75" x14ac:dyDescent="0.2"/>
  <cols>
    <col min="1" max="1" width="15.42578125" bestFit="1" customWidth="1"/>
    <col min="2" max="2" width="15.42578125" style="251" bestFit="1" customWidth="1"/>
  </cols>
  <sheetData>
    <row r="2" spans="1:3" x14ac:dyDescent="0.2">
      <c r="B2" s="140" t="s">
        <v>339</v>
      </c>
    </row>
    <row r="3" spans="1:3" x14ac:dyDescent="0.2">
      <c r="B3" s="140" t="s">
        <v>340</v>
      </c>
    </row>
    <row r="5" spans="1:3" x14ac:dyDescent="0.2">
      <c r="A5" t="s">
        <v>28</v>
      </c>
      <c r="B5" s="251">
        <f>+williams!J35</f>
        <v>32755</v>
      </c>
      <c r="C5" s="65">
        <f>+williams!A40</f>
        <v>37327</v>
      </c>
    </row>
    <row r="6" spans="1:3" x14ac:dyDescent="0.2">
      <c r="A6" t="s">
        <v>31</v>
      </c>
      <c r="B6" s="251">
        <f>+Lonestar!F36</f>
        <v>-21234</v>
      </c>
      <c r="C6" s="65">
        <f>+Lonestar!A43</f>
        <v>37327</v>
      </c>
    </row>
    <row r="7" spans="1:3" x14ac:dyDescent="0.2">
      <c r="A7" t="s">
        <v>325</v>
      </c>
      <c r="B7" s="251">
        <f>+'PG&amp;E'!D35</f>
        <v>-40241</v>
      </c>
      <c r="C7" s="65">
        <f>+'PG&amp;E'!A40</f>
        <v>37327</v>
      </c>
    </row>
    <row r="8" spans="1:3" x14ac:dyDescent="0.2">
      <c r="A8" t="s">
        <v>32</v>
      </c>
      <c r="B8" s="251">
        <f>+SoCal!F35</f>
        <v>-136226</v>
      </c>
      <c r="C8" s="65">
        <f>+SoCal!A40</f>
        <v>37327</v>
      </c>
    </row>
    <row r="9" spans="1:3" x14ac:dyDescent="0.2">
      <c r="A9" t="s">
        <v>326</v>
      </c>
      <c r="B9" s="251">
        <f>+PGETX!H35</f>
        <v>6638</v>
      </c>
      <c r="C9" s="65">
        <f>+PGETX!E39</f>
        <v>37328</v>
      </c>
    </row>
    <row r="10" spans="1:3" x14ac:dyDescent="0.2">
      <c r="A10" t="s">
        <v>33</v>
      </c>
      <c r="B10" s="251">
        <f>+'El Paso'!H36</f>
        <v>-69279</v>
      </c>
      <c r="C10" s="65">
        <f>+'El Paso'!A39</f>
        <v>37327</v>
      </c>
    </row>
    <row r="11" spans="1:3" x14ac:dyDescent="0.2">
      <c r="A11" t="s">
        <v>23</v>
      </c>
      <c r="B11" s="251">
        <f>+'Red C'!F39</f>
        <v>-28140</v>
      </c>
      <c r="C11" s="65">
        <f>+'Red C'!A45</f>
        <v>37327</v>
      </c>
    </row>
    <row r="12" spans="1:3" x14ac:dyDescent="0.2">
      <c r="A12" t="s">
        <v>286</v>
      </c>
      <c r="B12" s="251">
        <f>+Amoco!D37</f>
        <v>-5235</v>
      </c>
      <c r="C12" s="65">
        <f>+Amoco!A40</f>
        <v>37327</v>
      </c>
    </row>
    <row r="13" spans="1:3" x14ac:dyDescent="0.2">
      <c r="A13" t="s">
        <v>6</v>
      </c>
      <c r="B13" s="251">
        <f>+Oasis!D36</f>
        <v>3721</v>
      </c>
      <c r="C13" s="65">
        <f>+Oasis!A40</f>
        <v>37327</v>
      </c>
    </row>
    <row r="14" spans="1:3" x14ac:dyDescent="0.2">
      <c r="A14" t="s">
        <v>79</v>
      </c>
      <c r="B14" s="251">
        <f>+Agave!D19</f>
        <v>30134</v>
      </c>
      <c r="C14" s="65">
        <f>+Agave!A25</f>
        <v>37327</v>
      </c>
    </row>
    <row r="15" spans="1:3" x14ac:dyDescent="0.2">
      <c r="A15" t="s">
        <v>80</v>
      </c>
      <c r="B15" s="251">
        <f>+Conoco!F35</f>
        <v>-35764</v>
      </c>
      <c r="C15" s="65">
        <f>+Conoco!A41</f>
        <v>37327</v>
      </c>
    </row>
    <row r="16" spans="1:3" x14ac:dyDescent="0.2">
      <c r="A16" t="s">
        <v>1</v>
      </c>
      <c r="B16" s="251">
        <f>+NW!F36</f>
        <v>4886</v>
      </c>
      <c r="C16" s="65">
        <f>+NW!B41</f>
        <v>37328</v>
      </c>
    </row>
    <row r="17" spans="1:3" x14ac:dyDescent="0.2">
      <c r="A17" t="s">
        <v>71</v>
      </c>
      <c r="B17" s="251">
        <f>+transcol!D39</f>
        <v>-4043</v>
      </c>
      <c r="C17" s="65">
        <f>+transcol!A43</f>
        <v>37327</v>
      </c>
    </row>
    <row r="18" spans="1:3" x14ac:dyDescent="0.2">
      <c r="A18" t="s">
        <v>138</v>
      </c>
      <c r="B18" s="251">
        <f>+Duke!B18+Duke!B31+Duke!B46+DEFS!C36+DEFS!E36</f>
        <v>49228</v>
      </c>
      <c r="C18" s="65">
        <f>+Duke!A7</f>
        <v>37326</v>
      </c>
    </row>
    <row r="19" spans="1:3" x14ac:dyDescent="0.2">
      <c r="A19" t="s">
        <v>2</v>
      </c>
      <c r="B19" s="251">
        <f>+mewborne!J39</f>
        <v>-4805</v>
      </c>
      <c r="C19" s="65">
        <f>+mewborne!A43</f>
        <v>37327</v>
      </c>
    </row>
    <row r="20" spans="1:3" x14ac:dyDescent="0.2">
      <c r="A20" t="s">
        <v>3</v>
      </c>
      <c r="B20" s="251">
        <f>+'Amoco Abo'!F39</f>
        <v>23760</v>
      </c>
      <c r="C20" s="65">
        <f>+'Amoco Abo'!A43</f>
        <v>37327</v>
      </c>
    </row>
    <row r="21" spans="1:3" x14ac:dyDescent="0.2">
      <c r="A21" t="s">
        <v>87</v>
      </c>
      <c r="B21" s="251">
        <f>+NNG!D18</f>
        <v>8979</v>
      </c>
      <c r="C21" s="65">
        <f>+NNG!A24</f>
        <v>37326</v>
      </c>
    </row>
    <row r="22" spans="1:3" x14ac:dyDescent="0.2">
      <c r="A22" t="s">
        <v>82</v>
      </c>
      <c r="B22" s="251">
        <f>+PNM!D17</f>
        <v>-58623</v>
      </c>
      <c r="C22" s="65">
        <f>+PNM!A23</f>
        <v>37327</v>
      </c>
    </row>
    <row r="23" spans="1:3" x14ac:dyDescent="0.2">
      <c r="A23" t="s">
        <v>88</v>
      </c>
      <c r="B23" s="251">
        <f>+NGPL!H34</f>
        <v>-21710</v>
      </c>
      <c r="C23" s="65">
        <f>+NGPL!A38</f>
        <v>37327</v>
      </c>
    </row>
    <row r="24" spans="1:3" x14ac:dyDescent="0.2">
      <c r="A24" t="s">
        <v>313</v>
      </c>
      <c r="B24" s="251">
        <f>+Mojave!D35</f>
        <v>1526</v>
      </c>
      <c r="C24" s="65">
        <f>+Mojave!A40</f>
        <v>37327</v>
      </c>
    </row>
    <row r="25" spans="1:3" x14ac:dyDescent="0.2">
      <c r="A25" t="s">
        <v>103</v>
      </c>
      <c r="B25" s="251">
        <f>+EOG!J35</f>
        <v>-32338</v>
      </c>
      <c r="C25" s="65">
        <f>+EOG!A41</f>
        <v>37328</v>
      </c>
    </row>
    <row r="26" spans="1:3" x14ac:dyDescent="0.2">
      <c r="A26" t="s">
        <v>327</v>
      </c>
      <c r="B26" s="251">
        <f>+KN_Westar!F37</f>
        <v>-34934</v>
      </c>
      <c r="C26" s="65">
        <f>+KN_Westar!A41</f>
        <v>37327</v>
      </c>
    </row>
    <row r="27" spans="1:3" x14ac:dyDescent="0.2">
      <c r="A27" t="s">
        <v>109</v>
      </c>
      <c r="B27" s="251">
        <f>+Continental!F39</f>
        <v>812</v>
      </c>
      <c r="C27" s="65">
        <f>+Continental!A43</f>
        <v>37327</v>
      </c>
    </row>
    <row r="28" spans="1:3" x14ac:dyDescent="0.2">
      <c r="A28" t="s">
        <v>110</v>
      </c>
      <c r="B28" s="251">
        <f>+CIG!D39</f>
        <v>0</v>
      </c>
    </row>
    <row r="29" spans="1:3" x14ac:dyDescent="0.2">
      <c r="A29" t="s">
        <v>127</v>
      </c>
      <c r="B29" s="251">
        <f>+Calpine!D37</f>
        <v>-2286</v>
      </c>
      <c r="C29" s="65">
        <f>+Calpine!A41</f>
        <v>37327</v>
      </c>
    </row>
    <row r="30" spans="1:3" x14ac:dyDescent="0.2">
      <c r="A30" t="s">
        <v>328</v>
      </c>
      <c r="B30" s="251">
        <f>+EPFS!D37</f>
        <v>-10120</v>
      </c>
      <c r="C30" s="65">
        <f>+EPFS!A41</f>
        <v>37327</v>
      </c>
    </row>
    <row r="31" spans="1:3" x14ac:dyDescent="0.2">
      <c r="A31" t="s">
        <v>131</v>
      </c>
      <c r="B31" s="251">
        <f>+SidR!D39</f>
        <v>-2944.9199999999996</v>
      </c>
      <c r="C31" s="65">
        <f>+SidR!A41</f>
        <v>37326</v>
      </c>
    </row>
    <row r="32" spans="1:3" x14ac:dyDescent="0.2">
      <c r="A32" t="s">
        <v>329</v>
      </c>
      <c r="B32" s="251">
        <f>+'NS Steel'!D37</f>
        <v>2649</v>
      </c>
      <c r="C32" s="65">
        <f>+'NS Steel'!A41</f>
        <v>37327</v>
      </c>
    </row>
    <row r="33" spans="1:3" x14ac:dyDescent="0.2">
      <c r="A33" t="s">
        <v>139</v>
      </c>
      <c r="B33" s="251">
        <f>+'Citizens-Griffith'!D37</f>
        <v>-3076</v>
      </c>
      <c r="C33" s="65">
        <f>+'Citizens-Griffith'!A41</f>
        <v>37327</v>
      </c>
    </row>
    <row r="34" spans="1:3" x14ac:dyDescent="0.2">
      <c r="A34" t="s">
        <v>330</v>
      </c>
      <c r="B34" s="251">
        <f>+Citizens!D14</f>
        <v>-17241.949999999997</v>
      </c>
      <c r="C34" s="65">
        <f>+Citizens!A18</f>
        <v>37327</v>
      </c>
    </row>
    <row r="35" spans="1:3" x14ac:dyDescent="0.2">
      <c r="A35" t="s">
        <v>256</v>
      </c>
      <c r="B35" s="251">
        <f>+PEPL!D37</f>
        <v>9131</v>
      </c>
      <c r="C35" s="65">
        <f>+PEPL!A41</f>
        <v>37327</v>
      </c>
    </row>
    <row r="36" spans="1:3" x14ac:dyDescent="0.2">
      <c r="A36" t="s">
        <v>331</v>
      </c>
      <c r="B36" s="251">
        <f>+MiVida_Rich!D39</f>
        <v>0</v>
      </c>
    </row>
    <row r="37" spans="1:3" x14ac:dyDescent="0.2">
      <c r="A37" t="s">
        <v>332</v>
      </c>
      <c r="B37" s="251">
        <f>+WTGmktg!J37</f>
        <v>3933</v>
      </c>
      <c r="C37" s="65">
        <f>+WTGmktg!A43</f>
        <v>37327</v>
      </c>
    </row>
    <row r="38" spans="1:3" x14ac:dyDescent="0.2">
      <c r="A38" t="s">
        <v>333</v>
      </c>
      <c r="B38" s="251">
        <f>+'WTG inc'!N37</f>
        <v>-898</v>
      </c>
      <c r="C38" s="65">
        <f>+'WTG inc'!A43</f>
        <v>37327</v>
      </c>
    </row>
    <row r="39" spans="1:3" x14ac:dyDescent="0.2">
      <c r="A39" t="s">
        <v>334</v>
      </c>
      <c r="B39" s="251">
        <f>+Dominion!D37</f>
        <v>-364</v>
      </c>
      <c r="C39" s="65">
        <f>+Dominion!A41</f>
        <v>37327</v>
      </c>
    </row>
    <row r="40" spans="1:3" x14ac:dyDescent="0.2">
      <c r="A40" t="s">
        <v>209</v>
      </c>
      <c r="B40" s="251">
        <f>+Devon!D37</f>
        <v>4727</v>
      </c>
      <c r="C40" s="65">
        <f>+Devon!A41</f>
        <v>37327</v>
      </c>
    </row>
    <row r="41" spans="1:3" x14ac:dyDescent="0.2">
      <c r="A41" t="s">
        <v>335</v>
      </c>
      <c r="B41" s="251">
        <f>+Amarillo!P37</f>
        <v>8743</v>
      </c>
      <c r="C41" s="65">
        <f>+Amarillo!A41</f>
        <v>37327</v>
      </c>
    </row>
    <row r="42" spans="1:3" x14ac:dyDescent="0.2">
      <c r="A42" t="s">
        <v>336</v>
      </c>
      <c r="B42" s="251">
        <f>+SWGasTrans!D37</f>
        <v>2042</v>
      </c>
      <c r="C42" s="65">
        <f>+SWGasTrans!A41</f>
        <v>37327</v>
      </c>
    </row>
    <row r="43" spans="1:3" x14ac:dyDescent="0.2">
      <c r="A43" t="s">
        <v>337</v>
      </c>
      <c r="B43" s="251">
        <f>+Stratland!D39</f>
        <v>0</v>
      </c>
    </row>
    <row r="44" spans="1:3" x14ac:dyDescent="0.2">
      <c r="A44" t="s">
        <v>338</v>
      </c>
      <c r="B44" s="251">
        <f>+Plains!N37</f>
        <v>0</v>
      </c>
    </row>
    <row r="45" spans="1:3" x14ac:dyDescent="0.2">
      <c r="A45" t="s">
        <v>95</v>
      </c>
      <c r="B45" s="251">
        <f>+burlington!D38</f>
        <v>2363</v>
      </c>
      <c r="C45" s="65">
        <f>+burlington!A42</f>
        <v>37327</v>
      </c>
    </row>
    <row r="46" spans="1:3" x14ac:dyDescent="0.2">
      <c r="A46" t="s">
        <v>260</v>
      </c>
      <c r="B46" s="251">
        <f>736495+80308-817422</f>
        <v>-619</v>
      </c>
    </row>
    <row r="47" spans="1:3" x14ac:dyDescent="0.2">
      <c r="B47" s="251">
        <f>SUM(B5:B46)</f>
        <v>-334094.87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8" workbookViewId="0">
      <selection activeCell="E20" sqref="E2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164451</v>
      </c>
      <c r="C18" s="11">
        <v>163838</v>
      </c>
      <c r="D18" s="11">
        <v>18214</v>
      </c>
      <c r="E18" s="11">
        <v>20284</v>
      </c>
      <c r="F18" s="11">
        <f t="shared" si="5"/>
        <v>1457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168241</v>
      </c>
      <c r="C19" s="11">
        <v>168989</v>
      </c>
      <c r="D19" s="11">
        <v>21489</v>
      </c>
      <c r="E19" s="11">
        <v>20284</v>
      </c>
      <c r="F19" s="11">
        <f t="shared" si="5"/>
        <v>-457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2">
        <f>+A45</f>
        <v>37327</v>
      </c>
      <c r="I23" s="11">
        <f>+B39</f>
        <v>1892772</v>
      </c>
      <c r="J23" s="11">
        <f>+C39</f>
        <v>1872367</v>
      </c>
      <c r="K23" s="11">
        <f>+D39</f>
        <v>246096</v>
      </c>
      <c r="L23" s="11">
        <f>+E39</f>
        <v>238361</v>
      </c>
      <c r="M23" s="42">
        <f>+J23-I23+L23-K23</f>
        <v>-28140</v>
      </c>
      <c r="N23" s="102">
        <f>+summary!G3</f>
        <v>2.5299999999999998</v>
      </c>
      <c r="O23" s="494">
        <f>+N23*M23</f>
        <v>-71194.2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3">
        <f>SUM(M9:M23)</f>
        <v>61660</v>
      </c>
      <c r="N24" s="102"/>
      <c r="O24" s="102">
        <f>SUM(O9:O23)</f>
        <v>496922.13999999996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1892772</v>
      </c>
      <c r="C39" s="150">
        <f>SUM(C8:C38)</f>
        <v>1872367</v>
      </c>
      <c r="D39" s="150">
        <f>SUM(D8:D38)</f>
        <v>246096</v>
      </c>
      <c r="E39" s="150">
        <f>SUM(E8:E38)</f>
        <v>238361</v>
      </c>
      <c r="F39" s="11">
        <f t="shared" si="5"/>
        <v>-28140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59"/>
      <c r="D44" s="111"/>
      <c r="E44" s="459"/>
      <c r="F44" s="619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37327</v>
      </c>
      <c r="B45" s="32"/>
      <c r="C45" s="106"/>
      <c r="D45" s="106"/>
      <c r="E45" s="106"/>
      <c r="F45" s="24">
        <f>+F44+F39</f>
        <v>36049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285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37327</v>
      </c>
      <c r="B51" s="32"/>
      <c r="C51" s="32"/>
      <c r="D51" s="348">
        <f>+F39*summary!G3</f>
        <v>-71194.2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410191.8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4"/>
      <c r="F53" s="34">
        <f>+D52/F45</f>
        <v>11.378728952259424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1" workbookViewId="0">
      <selection activeCell="C37" sqref="C37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8">
        <v>11</v>
      </c>
      <c r="B16" s="409">
        <v>154573</v>
      </c>
      <c r="C16" s="409">
        <v>152961</v>
      </c>
      <c r="D16" s="307">
        <f t="shared" si="0"/>
        <v>-1612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8">
        <v>12</v>
      </c>
      <c r="B17" s="409">
        <v>157016</v>
      </c>
      <c r="C17" s="409">
        <v>156215</v>
      </c>
      <c r="D17" s="307">
        <f t="shared" si="0"/>
        <v>-801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8">
        <v>13</v>
      </c>
      <c r="B18" s="409"/>
      <c r="C18" s="409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8">
        <v>14</v>
      </c>
      <c r="B19" s="409"/>
      <c r="C19" s="409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8">
        <v>15</v>
      </c>
      <c r="B20" s="409"/>
      <c r="C20" s="409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8">
        <v>16</v>
      </c>
      <c r="B21" s="409"/>
      <c r="C21" s="409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8">
        <v>17</v>
      </c>
      <c r="B22" s="435"/>
      <c r="C22" s="409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8">
        <v>18</v>
      </c>
      <c r="B23" s="435"/>
      <c r="C23" s="409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8">
        <v>19</v>
      </c>
      <c r="B24" s="435"/>
      <c r="C24" s="435"/>
      <c r="D24" s="48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8"/>
      <c r="B37" s="409">
        <f>SUM(B6:B36)</f>
        <v>1879063</v>
      </c>
      <c r="C37" s="409">
        <f>SUM(C6:C36)</f>
        <v>1873828</v>
      </c>
      <c r="D37" s="409">
        <f>SUM(D6:D36)</f>
        <v>-5235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3"/>
      <c r="D39" s="624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37327</v>
      </c>
      <c r="B40" s="285"/>
      <c r="C40" s="434"/>
      <c r="D40" s="307">
        <f>+D39+D37</f>
        <v>-6686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5">
        <v>336911</v>
      </c>
    </row>
    <row r="46" spans="1:16" x14ac:dyDescent="0.2">
      <c r="A46" s="49">
        <f>+A40</f>
        <v>37327</v>
      </c>
      <c r="B46" s="32"/>
      <c r="C46" s="32"/>
      <c r="D46" s="373">
        <f>+D37*'by type_area'!G3</f>
        <v>-13244.55</v>
      </c>
    </row>
    <row r="47" spans="1:16" x14ac:dyDescent="0.2">
      <c r="A47" s="32"/>
      <c r="B47" s="32"/>
      <c r="C47" s="32"/>
      <c r="D47" s="200">
        <f>+D46+D45</f>
        <v>323666.45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4" workbookViewId="0">
      <selection activeCell="A41" sqref="A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-10333</v>
      </c>
      <c r="C15" s="24">
        <v>-10000</v>
      </c>
      <c r="D15" s="24">
        <f t="shared" si="0"/>
        <v>333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-286</v>
      </c>
      <c r="C16" s="24"/>
      <c r="D16" s="24">
        <f t="shared" si="0"/>
        <v>286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-304741</v>
      </c>
      <c r="C36" s="24">
        <f>SUM(C5:C35)</f>
        <v>-301020</v>
      </c>
      <c r="D36" s="24">
        <f t="shared" si="0"/>
        <v>3721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2.5299999999999998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9414.1299999999992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612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37327</v>
      </c>
      <c r="B40"/>
      <c r="C40" s="48"/>
      <c r="D40" s="138">
        <f>+D39+D38</f>
        <v>95615.680000000008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607">
        <v>39515</v>
      </c>
    </row>
    <row r="46" spans="1:65" x14ac:dyDescent="0.2">
      <c r="A46" s="49">
        <f>+A40</f>
        <v>37327</v>
      </c>
      <c r="B46" s="32"/>
      <c r="C46" s="32"/>
      <c r="D46" s="348">
        <f>+D36</f>
        <v>3721</v>
      </c>
    </row>
    <row r="47" spans="1:65" x14ac:dyDescent="0.2">
      <c r="A47" s="32"/>
      <c r="B47" s="32"/>
      <c r="C47" s="32"/>
      <c r="D47" s="14">
        <f>+D46+D45</f>
        <v>43236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 s="322">
        <f>+D40/D47</f>
        <v>2.2114830234064207</v>
      </c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B5" sqref="B5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376650</v>
      </c>
      <c r="C5" s="90">
        <v>409975</v>
      </c>
      <c r="D5" s="90">
        <f t="shared" ref="D5:D18" si="0">+C5-B5</f>
        <v>33325</v>
      </c>
      <c r="E5" s="275"/>
      <c r="F5" s="273"/>
    </row>
    <row r="6" spans="1:13" x14ac:dyDescent="0.2">
      <c r="A6" s="87">
        <v>78311</v>
      </c>
      <c r="B6" s="90">
        <v>259126</v>
      </c>
      <c r="C6" s="90">
        <v>275999</v>
      </c>
      <c r="D6" s="90">
        <f t="shared" si="0"/>
        <v>16873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v>6102</v>
      </c>
      <c r="C7" s="90"/>
      <c r="D7" s="90">
        <f t="shared" si="0"/>
        <v>-6102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v>361966</v>
      </c>
      <c r="C8" s="90">
        <v>385349</v>
      </c>
      <c r="D8" s="90">
        <f t="shared" si="0"/>
        <v>23383</v>
      </c>
      <c r="E8" s="454"/>
      <c r="F8" s="273"/>
    </row>
    <row r="9" spans="1:13" x14ac:dyDescent="0.2">
      <c r="A9" s="87">
        <v>500239</v>
      </c>
      <c r="B9" s="90">
        <v>470431</v>
      </c>
      <c r="C9" s="90">
        <v>409837</v>
      </c>
      <c r="D9" s="90">
        <f t="shared" si="0"/>
        <v>-60594</v>
      </c>
      <c r="E9" s="275"/>
      <c r="F9" s="273"/>
    </row>
    <row r="10" spans="1:13" x14ac:dyDescent="0.2">
      <c r="A10" s="87">
        <v>500293</v>
      </c>
      <c r="B10" s="90">
        <v>183883</v>
      </c>
      <c r="C10" s="90">
        <v>243180</v>
      </c>
      <c r="D10" s="90">
        <f t="shared" si="0"/>
        <v>59297</v>
      </c>
      <c r="E10" s="275"/>
      <c r="F10" s="273"/>
    </row>
    <row r="11" spans="1:13" x14ac:dyDescent="0.2">
      <c r="A11" s="87">
        <v>500302</v>
      </c>
      <c r="B11" s="90"/>
      <c r="C11" s="305">
        <v>3119</v>
      </c>
      <c r="D11" s="90">
        <f t="shared" si="0"/>
        <v>3119</v>
      </c>
      <c r="E11" s="275"/>
      <c r="F11" s="273"/>
    </row>
    <row r="12" spans="1:13" x14ac:dyDescent="0.2">
      <c r="A12" s="87">
        <v>500303</v>
      </c>
      <c r="B12" s="90"/>
      <c r="C12" s="305">
        <v>16372</v>
      </c>
      <c r="D12" s="90">
        <f t="shared" si="0"/>
        <v>16372</v>
      </c>
      <c r="E12" s="276"/>
      <c r="F12" s="464"/>
      <c r="G12" s="90"/>
    </row>
    <row r="13" spans="1:13" x14ac:dyDescent="0.2">
      <c r="A13" s="91">
        <v>500305</v>
      </c>
      <c r="B13" s="90">
        <v>564777</v>
      </c>
      <c r="C13" s="90">
        <v>632418</v>
      </c>
      <c r="D13" s="90">
        <f t="shared" si="0"/>
        <v>67641</v>
      </c>
      <c r="E13" s="275"/>
      <c r="F13" s="273"/>
    </row>
    <row r="14" spans="1:13" x14ac:dyDescent="0.2">
      <c r="A14" s="87">
        <v>500307</v>
      </c>
      <c r="B14" s="90">
        <v>33621</v>
      </c>
      <c r="C14" s="90">
        <v>25536</v>
      </c>
      <c r="D14" s="90">
        <f t="shared" si="0"/>
        <v>-8085</v>
      </c>
      <c r="E14" s="275"/>
      <c r="F14" s="273"/>
    </row>
    <row r="15" spans="1:13" x14ac:dyDescent="0.2">
      <c r="A15" s="87">
        <v>500313</v>
      </c>
      <c r="B15" s="90"/>
      <c r="C15" s="90">
        <v>1212</v>
      </c>
      <c r="D15" s="90">
        <f t="shared" si="0"/>
        <v>1212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v>93774</v>
      </c>
      <c r="C17" s="90"/>
      <c r="D17" s="90">
        <f t="shared" si="0"/>
        <v>-93774</v>
      </c>
      <c r="E17" s="275"/>
      <c r="F17" s="273"/>
      <c r="G17" s="554"/>
    </row>
    <row r="18" spans="1:7" x14ac:dyDescent="0.2">
      <c r="A18" s="87">
        <v>500657</v>
      </c>
      <c r="B18" s="88">
        <v>48033</v>
      </c>
      <c r="C18" s="88">
        <v>25500</v>
      </c>
      <c r="D18" s="94">
        <f t="shared" si="0"/>
        <v>-22533</v>
      </c>
      <c r="E18" s="275"/>
      <c r="F18" s="464"/>
    </row>
    <row r="19" spans="1:7" x14ac:dyDescent="0.2">
      <c r="A19" s="87"/>
      <c r="B19" s="88"/>
      <c r="C19" s="88"/>
      <c r="D19" s="88">
        <f>SUM(D5:D18)</f>
        <v>30134</v>
      </c>
      <c r="E19" s="277"/>
      <c r="F19" s="464"/>
    </row>
    <row r="20" spans="1:7" x14ac:dyDescent="0.2">
      <c r="A20" s="87" t="s">
        <v>81</v>
      </c>
      <c r="B20" s="88"/>
      <c r="C20" s="88"/>
      <c r="D20" s="95">
        <f>+summary!G5</f>
        <v>2.5299999999999998</v>
      </c>
      <c r="E20" s="207"/>
      <c r="F20" s="464"/>
    </row>
    <row r="21" spans="1:7" x14ac:dyDescent="0.2">
      <c r="A21" s="87"/>
      <c r="B21" s="88"/>
      <c r="C21" s="88"/>
      <c r="D21" s="96">
        <f>+D20*D19</f>
        <v>76239.01999999999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5"/>
    </row>
    <row r="23" spans="1:7" x14ac:dyDescent="0.2">
      <c r="A23" s="99">
        <v>37315</v>
      </c>
      <c r="B23" s="88"/>
      <c r="C23" s="88"/>
      <c r="D23" s="618">
        <v>38489.300000000003</v>
      </c>
      <c r="E23" s="207"/>
      <c r="F23" s="465"/>
    </row>
    <row r="24" spans="1:7" x14ac:dyDescent="0.2">
      <c r="A24" s="87"/>
      <c r="B24" s="88"/>
      <c r="C24" s="88"/>
      <c r="D24" s="308"/>
      <c r="E24" s="207"/>
      <c r="F24" s="465"/>
    </row>
    <row r="25" spans="1:7" ht="13.5" thickBot="1" x14ac:dyDescent="0.25">
      <c r="A25" s="99">
        <v>37327</v>
      </c>
      <c r="B25" s="88"/>
      <c r="C25" s="88"/>
      <c r="D25" s="318">
        <f>+D23+D21</f>
        <v>114728.31999999999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3"/>
    </row>
    <row r="29" spans="1:7" x14ac:dyDescent="0.2">
      <c r="A29" s="49">
        <f>+A23</f>
        <v>37315</v>
      </c>
      <c r="B29" s="32"/>
      <c r="C29" s="32"/>
      <c r="D29" s="561">
        <v>31234</v>
      </c>
    </row>
    <row r="30" spans="1:7" x14ac:dyDescent="0.2">
      <c r="A30" s="49">
        <f>+A25</f>
        <v>37327</v>
      </c>
      <c r="B30" s="32"/>
      <c r="C30" s="32"/>
      <c r="D30" s="348">
        <f>+D19</f>
        <v>30134</v>
      </c>
    </row>
    <row r="31" spans="1:7" x14ac:dyDescent="0.2">
      <c r="A31" s="32"/>
      <c r="B31" s="32"/>
      <c r="C31" s="32"/>
      <c r="D31" s="14">
        <f>+D30+D29</f>
        <v>61368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1.8695137530960759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C41" sqref="C4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26038</v>
      </c>
      <c r="E11" s="11">
        <v>26690</v>
      </c>
      <c r="F11" s="25">
        <f>+E11+C11-D11-B11</f>
        <v>-3918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24746</v>
      </c>
      <c r="E12" s="11">
        <v>26414</v>
      </c>
      <c r="F12" s="25">
        <f>+E12+C12-D12-B12</f>
        <v>-1310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>
        <v>26874</v>
      </c>
      <c r="C15" s="11">
        <v>26999</v>
      </c>
      <c r="D15" s="11">
        <v>29217</v>
      </c>
      <c r="E15" s="11">
        <v>26519</v>
      </c>
      <c r="F15" s="25">
        <f t="shared" si="2"/>
        <v>-2573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329637</v>
      </c>
      <c r="C35" s="11">
        <f>SUM(C4:C34)</f>
        <v>294488</v>
      </c>
      <c r="D35" s="11">
        <f>SUM(D4:D34)</f>
        <v>314074</v>
      </c>
      <c r="E35" s="11">
        <f>SUM(E4:E34)</f>
        <v>313459</v>
      </c>
      <c r="F35" s="11">
        <f>+E35-D35+C35-B35</f>
        <v>-35764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2.5299999999999998</v>
      </c>
    </row>
    <row r="38" spans="1:7" x14ac:dyDescent="0.2">
      <c r="C38" s="48"/>
      <c r="D38" s="47"/>
      <c r="E38" s="48"/>
      <c r="F38" s="46">
        <f>+F37*F35</f>
        <v>-90482.92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599">
        <v>494173.81</v>
      </c>
      <c r="G40" s="25"/>
    </row>
    <row r="41" spans="1:7" x14ac:dyDescent="0.2">
      <c r="A41" s="57">
        <v>37327</v>
      </c>
      <c r="C41" s="106"/>
      <c r="D41" s="106"/>
      <c r="E41" s="106"/>
      <c r="F41" s="106">
        <f>+F38+F40</f>
        <v>403690.89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600">
        <v>33900</v>
      </c>
      <c r="E46" s="11"/>
      <c r="F46" s="11"/>
      <c r="G46" s="25"/>
    </row>
    <row r="47" spans="1:7" x14ac:dyDescent="0.2">
      <c r="A47" s="49">
        <f>+A41</f>
        <v>37327</v>
      </c>
      <c r="D47" s="348">
        <f>+F35</f>
        <v>-35764</v>
      </c>
      <c r="E47" s="11"/>
      <c r="F47" s="11"/>
      <c r="G47" s="25"/>
    </row>
    <row r="48" spans="1:7" x14ac:dyDescent="0.2">
      <c r="D48" s="14">
        <f>+D47+D46</f>
        <v>-1864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174097</v>
      </c>
      <c r="C15" s="11">
        <v>180686</v>
      </c>
      <c r="D15" s="11"/>
      <c r="E15" s="11">
        <v>-6970</v>
      </c>
      <c r="F15" s="11">
        <f t="shared" si="2"/>
        <v>-381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178573</v>
      </c>
      <c r="C16" s="11">
        <v>184385</v>
      </c>
      <c r="D16" s="11"/>
      <c r="E16" s="11">
        <v>-6970</v>
      </c>
      <c r="F16" s="11">
        <f t="shared" si="2"/>
        <v>-1158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209921</v>
      </c>
      <c r="C17" s="11">
        <v>220800</v>
      </c>
      <c r="D17" s="11"/>
      <c r="E17" s="11">
        <v>-6970</v>
      </c>
      <c r="F17" s="11">
        <f t="shared" si="2"/>
        <v>3909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2274640</v>
      </c>
      <c r="C36" s="11">
        <f>SUM(C5:C35)</f>
        <v>2374673</v>
      </c>
      <c r="D36" s="11">
        <f>SUM(D5:D35)</f>
        <v>0</v>
      </c>
      <c r="E36" s="11">
        <f>SUM(E5:E35)</f>
        <v>-95147</v>
      </c>
      <c r="F36" s="11">
        <f>SUM(F5:F35)</f>
        <v>4886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95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37328</v>
      </c>
      <c r="F41" s="332">
        <f>+F39+F36</f>
        <v>-11253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37328</v>
      </c>
      <c r="C48" s="32"/>
      <c r="D48" s="32"/>
      <c r="E48" s="373">
        <f>+F36*'by type_area'!G3</f>
        <v>12361.58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-481404.42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C43" sqref="C43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">
      <c r="A16" s="10">
        <v>9</v>
      </c>
      <c r="B16" s="11">
        <v>78187</v>
      </c>
      <c r="C16" s="11">
        <v>78221</v>
      </c>
      <c r="D16" s="11">
        <f t="shared" si="0"/>
        <v>34</v>
      </c>
      <c r="E16" s="10"/>
      <c r="F16" s="11"/>
      <c r="G16" s="11"/>
      <c r="H16" s="11"/>
    </row>
    <row r="17" spans="1:8" x14ac:dyDescent="0.2">
      <c r="A17" s="10">
        <v>10</v>
      </c>
      <c r="B17" s="11">
        <v>78996</v>
      </c>
      <c r="C17" s="11">
        <v>78221</v>
      </c>
      <c r="D17" s="11">
        <f t="shared" si="0"/>
        <v>-775</v>
      </c>
      <c r="E17" s="10"/>
      <c r="F17" s="11"/>
      <c r="G17" s="11"/>
      <c r="H17" s="11"/>
    </row>
    <row r="18" spans="1:8" x14ac:dyDescent="0.2">
      <c r="A18" s="10">
        <v>11</v>
      </c>
      <c r="B18" s="11">
        <v>78991</v>
      </c>
      <c r="C18" s="11">
        <v>78221</v>
      </c>
      <c r="D18" s="11">
        <f t="shared" si="0"/>
        <v>-770</v>
      </c>
      <c r="E18" s="10"/>
      <c r="F18" s="11"/>
      <c r="G18" s="11"/>
      <c r="H18" s="11"/>
    </row>
    <row r="19" spans="1:8" x14ac:dyDescent="0.2">
      <c r="A19" s="10">
        <v>12</v>
      </c>
      <c r="B19" s="11">
        <v>79015</v>
      </c>
      <c r="C19" s="11">
        <v>78221</v>
      </c>
      <c r="D19" s="11">
        <f t="shared" si="0"/>
        <v>-794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999061</v>
      </c>
      <c r="C39" s="11">
        <f>SUM(C8:C38)</f>
        <v>995018</v>
      </c>
      <c r="D39" s="11">
        <f>SUM(D8:D38)</f>
        <v>-4043</v>
      </c>
      <c r="E39" s="10"/>
      <c r="F39" s="11"/>
      <c r="G39" s="11"/>
      <c r="H39" s="11"/>
    </row>
    <row r="40" spans="1:8" x14ac:dyDescent="0.2">
      <c r="A40" s="26"/>
      <c r="D40" s="75">
        <f>+summary!G4</f>
        <v>2.5299999999999998</v>
      </c>
      <c r="E40" s="26"/>
      <c r="H40" s="75"/>
    </row>
    <row r="41" spans="1:8" x14ac:dyDescent="0.2">
      <c r="D41" s="195">
        <f>+D40*D39</f>
        <v>-10228.789999999999</v>
      </c>
      <c r="F41" s="247"/>
      <c r="H41" s="195"/>
    </row>
    <row r="42" spans="1:8" x14ac:dyDescent="0.2">
      <c r="A42" s="57">
        <v>37315</v>
      </c>
      <c r="D42" s="621">
        <v>21511.71</v>
      </c>
      <c r="E42" s="57"/>
      <c r="H42" s="195"/>
    </row>
    <row r="43" spans="1:8" x14ac:dyDescent="0.2">
      <c r="A43" s="57">
        <v>37327</v>
      </c>
      <c r="D43" s="196">
        <f>+D42+D41</f>
        <v>11282.92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607">
        <v>-45555</v>
      </c>
    </row>
    <row r="49" spans="1:4" x14ac:dyDescent="0.2">
      <c r="A49" s="49">
        <f>+A43</f>
        <v>37327</v>
      </c>
      <c r="B49" s="32"/>
      <c r="C49" s="32"/>
      <c r="D49" s="348">
        <f>+D39</f>
        <v>-4043</v>
      </c>
    </row>
    <row r="50" spans="1:4" x14ac:dyDescent="0.2">
      <c r="A50" s="32"/>
      <c r="B50" s="32"/>
      <c r="C50" s="32"/>
      <c r="D50" s="14">
        <f>+D49+D48</f>
        <v>-49598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workbookViewId="0">
      <selection activeCell="G15" sqref="G15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608">
        <v>1499974.68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247</v>
      </c>
      <c r="J6" s="15"/>
    </row>
    <row r="7" spans="1:14" x14ac:dyDescent="0.2">
      <c r="A7" s="57">
        <v>37326</v>
      </c>
      <c r="I7" s="3" t="s">
        <v>253</v>
      </c>
      <c r="J7" s="15"/>
    </row>
    <row r="8" spans="1:14" x14ac:dyDescent="0.2">
      <c r="A8" s="248">
        <v>50895</v>
      </c>
      <c r="B8" s="339">
        <f>2196-2237</f>
        <v>-41</v>
      </c>
      <c r="J8" s="15"/>
    </row>
    <row r="9" spans="1:14" x14ac:dyDescent="0.2">
      <c r="A9" s="248">
        <v>60874</v>
      </c>
      <c r="B9" s="339">
        <v>1181</v>
      </c>
      <c r="J9" s="15"/>
    </row>
    <row r="10" spans="1:14" x14ac:dyDescent="0.2">
      <c r="A10" s="248">
        <v>78169</v>
      </c>
      <c r="B10" s="627">
        <f>313711-256692-31379</f>
        <v>25640</v>
      </c>
      <c r="I10" s="87" t="s">
        <v>248</v>
      </c>
      <c r="J10" s="479" t="s">
        <v>27</v>
      </c>
      <c r="K10" s="87" t="s">
        <v>249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250</v>
      </c>
      <c r="L11" s="87"/>
      <c r="M11" s="87"/>
      <c r="N11" s="87"/>
    </row>
    <row r="12" spans="1:14" ht="20.100000000000001" customHeight="1" x14ac:dyDescent="0.2">
      <c r="A12" s="248">
        <v>500248</v>
      </c>
      <c r="B12" s="340"/>
      <c r="I12" s="87">
        <v>24693</v>
      </c>
      <c r="J12" s="444">
        <v>275313.71999999997</v>
      </c>
      <c r="K12" s="87" t="s">
        <v>251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4612-4773</f>
        <v>-161</v>
      </c>
      <c r="I13" s="87">
        <v>21665</v>
      </c>
      <c r="J13" s="444">
        <v>73449.16</v>
      </c>
      <c r="K13" s="87" t="s">
        <v>252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1318-299</f>
        <v>1019</v>
      </c>
      <c r="I14" s="87">
        <v>22664</v>
      </c>
      <c r="J14" s="447">
        <v>23612.35</v>
      </c>
      <c r="K14" s="87" t="s">
        <v>254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5490-5561</f>
        <v>-71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">
      <c r="A17" s="280">
        <v>500267</v>
      </c>
      <c r="B17" s="628">
        <f>369228-182133-17721-30705-26486-25441-25527-26726</f>
        <v>34489</v>
      </c>
      <c r="I17" s="87"/>
      <c r="J17" s="444"/>
      <c r="K17" s="87"/>
      <c r="L17" s="87"/>
      <c r="M17" s="87"/>
      <c r="N17" s="87"/>
    </row>
    <row r="18" spans="1:14" x14ac:dyDescent="0.2">
      <c r="B18" s="14">
        <f>SUM(B8:B17)</f>
        <v>62055</v>
      </c>
      <c r="I18" s="87"/>
      <c r="J18" s="444"/>
      <c r="K18" s="87"/>
      <c r="L18" s="87"/>
      <c r="M18" s="87"/>
      <c r="N18" s="87"/>
    </row>
    <row r="19" spans="1:14" x14ac:dyDescent="0.2">
      <c r="B19" s="15">
        <f>+summary!G5</f>
        <v>2.5299999999999998</v>
      </c>
      <c r="C19" s="199">
        <f>+B19*B18</f>
        <v>156999.15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">
      <c r="C20" s="321">
        <f>+C19+C5</f>
        <v>1656973.8299999998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">
      <c r="G24" s="32"/>
      <c r="H24" s="378"/>
      <c r="I24" s="327"/>
      <c r="J24" s="444"/>
      <c r="K24" s="87"/>
      <c r="L24" s="87"/>
      <c r="M24" s="87"/>
      <c r="N24" s="87"/>
    </row>
    <row r="25" spans="1:14" x14ac:dyDescent="0.2">
      <c r="G25" s="32"/>
      <c r="H25" s="378"/>
      <c r="I25" s="327"/>
      <c r="J25" s="444"/>
      <c r="K25" s="87"/>
      <c r="L25" s="87"/>
      <c r="M25" s="87"/>
      <c r="N25" s="87"/>
    </row>
    <row r="26" spans="1:14" x14ac:dyDescent="0.2">
      <c r="A26" s="198">
        <v>37315</v>
      </c>
      <c r="C26" s="608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">
      <c r="B32" s="15">
        <f>+summary!G4</f>
        <v>2.5299999999999998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">
      <c r="A38" s="32" t="s">
        <v>74</v>
      </c>
      <c r="E38" s="49">
        <f>+A5</f>
        <v>37315</v>
      </c>
      <c r="F38" s="607">
        <v>363784</v>
      </c>
      <c r="G38" s="609">
        <v>117857</v>
      </c>
      <c r="H38" s="607">
        <v>197167</v>
      </c>
      <c r="I38" s="14"/>
    </row>
    <row r="39" spans="1:9" x14ac:dyDescent="0.2">
      <c r="E39" s="49">
        <f>+A7</f>
        <v>37326</v>
      </c>
      <c r="F39" s="348">
        <f>+B18</f>
        <v>62055</v>
      </c>
      <c r="G39" s="348">
        <f>+B31</f>
        <v>0</v>
      </c>
      <c r="H39" s="348">
        <f>+B46</f>
        <v>711</v>
      </c>
      <c r="I39" s="14"/>
    </row>
    <row r="40" spans="1:9" x14ac:dyDescent="0.2">
      <c r="A40" s="49">
        <v>37315</v>
      </c>
      <c r="C40" s="608">
        <v>863723.35</v>
      </c>
      <c r="F40" s="14">
        <f>+F39+F38</f>
        <v>425839</v>
      </c>
      <c r="G40" s="14">
        <f>+G39+G38</f>
        <v>117857</v>
      </c>
      <c r="H40" s="14">
        <f>+H39+H38</f>
        <v>197878</v>
      </c>
      <c r="I40" s="14">
        <f>+H40+G40+F40</f>
        <v>741574</v>
      </c>
    </row>
    <row r="41" spans="1:9" x14ac:dyDescent="0.2">
      <c r="G41" s="32"/>
      <c r="H41" s="15"/>
      <c r="I41" s="32"/>
    </row>
    <row r="42" spans="1:9" x14ac:dyDescent="0.2">
      <c r="A42" s="245">
        <v>37323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79"/>
      <c r="I44" s="14"/>
    </row>
    <row r="45" spans="1:9" x14ac:dyDescent="0.2">
      <c r="A45" s="32">
        <v>500392</v>
      </c>
      <c r="B45" s="250">
        <v>711</v>
      </c>
      <c r="G45" s="32"/>
      <c r="H45" s="379"/>
      <c r="I45" s="14"/>
    </row>
    <row r="46" spans="1:9" x14ac:dyDescent="0.2">
      <c r="B46" s="14">
        <f>SUM(B43:B45)</f>
        <v>711</v>
      </c>
      <c r="G46" s="32"/>
      <c r="H46" s="379"/>
      <c r="I46" s="14"/>
    </row>
    <row r="47" spans="1:9" x14ac:dyDescent="0.2">
      <c r="B47" s="199">
        <f>+summary!G5</f>
        <v>2.5299999999999998</v>
      </c>
      <c r="C47" s="199">
        <f>+B47*B46</f>
        <v>1798.83</v>
      </c>
      <c r="H47" s="379"/>
      <c r="I47" s="14"/>
    </row>
    <row r="48" spans="1:9" x14ac:dyDescent="0.2">
      <c r="C48" s="321">
        <f>+C47+C40</f>
        <v>865522.17999999993</v>
      </c>
      <c r="E48" s="204"/>
      <c r="H48" s="379"/>
      <c r="I48" s="14"/>
    </row>
    <row r="49" spans="1:9" x14ac:dyDescent="0.2">
      <c r="E49" s="213"/>
      <c r="H49" s="379"/>
      <c r="I49" s="14"/>
    </row>
    <row r="50" spans="1:9" x14ac:dyDescent="0.2">
      <c r="E50" s="204"/>
      <c r="H50" s="379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4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">
      <c r="A54" s="32">
        <v>22664</v>
      </c>
      <c r="B54" s="15" t="s">
        <v>137</v>
      </c>
      <c r="C54" s="606">
        <v>23612.35</v>
      </c>
      <c r="D54" s="32" t="s">
        <v>120</v>
      </c>
      <c r="H54" s="379">
        <v>22664</v>
      </c>
      <c r="I54" s="605">
        <v>18932</v>
      </c>
    </row>
    <row r="55" spans="1:9" x14ac:dyDescent="0.2">
      <c r="H55" s="380"/>
      <c r="I55" s="16"/>
    </row>
    <row r="56" spans="1:9" x14ac:dyDescent="0.2">
      <c r="C56" s="419"/>
    </row>
    <row r="57" spans="1:9" x14ac:dyDescent="0.2">
      <c r="C57" s="315">
        <f>+C54+C53+C48+C33+C20</f>
        <v>2894867.1599999997</v>
      </c>
      <c r="I57" s="14">
        <f>SUM(I40:I54)</f>
        <v>796907</v>
      </c>
    </row>
    <row r="61" spans="1:9" x14ac:dyDescent="0.2">
      <c r="C61" s="15">
        <f>+DEFS!F49</f>
        <v>-2919574.5000000005</v>
      </c>
    </row>
    <row r="62" spans="1:9" x14ac:dyDescent="0.2">
      <c r="C62" s="15">
        <f>+C61+C57</f>
        <v>-24707.340000000782</v>
      </c>
      <c r="I62" s="31">
        <f>+I57+DEFS!K49</f>
        <v>307352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1656973.8299999998</v>
      </c>
      <c r="C72" s="14">
        <f>+F40</f>
        <v>425839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865522.17999999993</v>
      </c>
      <c r="C74" s="14">
        <f>+H40</f>
        <v>197878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-1046522.88</v>
      </c>
      <c r="C77" s="14">
        <f>+DEFS!I36</f>
        <v>-188201</v>
      </c>
      <c r="D77" s="16"/>
    </row>
    <row r="78" spans="1:4" x14ac:dyDescent="0.2">
      <c r="A78" s="32">
        <v>22051</v>
      </c>
      <c r="B78" s="15">
        <f>+DEFS!E40</f>
        <v>-668234.49</v>
      </c>
      <c r="C78" s="14">
        <f>+DEFS!J36</f>
        <v>-172847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">
      <c r="B83" s="15">
        <f>SUM(B72:B82)</f>
        <v>-24707.340000000549</v>
      </c>
      <c r="C83" s="16">
        <f>SUM(C72:C82)</f>
        <v>307352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B16" sqref="B1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">
      <c r="A12" s="10">
        <v>9</v>
      </c>
      <c r="B12" s="11">
        <v>239</v>
      </c>
      <c r="C12" s="11"/>
      <c r="D12" s="11">
        <v>33588</v>
      </c>
      <c r="E12" s="11">
        <v>33120</v>
      </c>
      <c r="F12" s="11">
        <f t="shared" si="0"/>
        <v>-707</v>
      </c>
      <c r="G12" s="11"/>
      <c r="I12" s="11"/>
      <c r="J12" s="24"/>
    </row>
    <row r="13" spans="1:10" x14ac:dyDescent="0.2">
      <c r="A13" s="10">
        <v>10</v>
      </c>
      <c r="B13" s="11">
        <v>273</v>
      </c>
      <c r="C13" s="11"/>
      <c r="D13" s="11">
        <v>33588</v>
      </c>
      <c r="E13" s="11">
        <v>33120</v>
      </c>
      <c r="F13" s="11">
        <f t="shared" si="0"/>
        <v>-741</v>
      </c>
      <c r="G13" s="11"/>
      <c r="I13" s="11"/>
      <c r="J13" s="24"/>
    </row>
    <row r="14" spans="1:10" x14ac:dyDescent="0.2">
      <c r="A14" s="10">
        <v>11</v>
      </c>
      <c r="B14" s="11">
        <v>223</v>
      </c>
      <c r="C14" s="11"/>
      <c r="D14" s="11">
        <v>33597</v>
      </c>
      <c r="E14" s="11">
        <v>33120</v>
      </c>
      <c r="F14" s="11">
        <f t="shared" si="0"/>
        <v>-700</v>
      </c>
      <c r="G14" s="11"/>
      <c r="I14" s="11"/>
      <c r="J14" s="24"/>
    </row>
    <row r="15" spans="1:10" x14ac:dyDescent="0.2">
      <c r="A15" s="10">
        <v>12</v>
      </c>
      <c r="B15" s="11">
        <v>246</v>
      </c>
      <c r="C15" s="11"/>
      <c r="D15" s="11">
        <v>33591</v>
      </c>
      <c r="E15" s="11">
        <v>33120</v>
      </c>
      <c r="F15" s="11">
        <f t="shared" si="0"/>
        <v>-717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7">
        <v>-183022</v>
      </c>
      <c r="J34" s="607">
        <v>-164488</v>
      </c>
      <c r="K34" s="14"/>
      <c r="L34" s="14"/>
    </row>
    <row r="35" spans="1:13" x14ac:dyDescent="0.2">
      <c r="A35" s="10"/>
      <c r="B35" s="11">
        <f>SUM(B4:B34)</f>
        <v>5179</v>
      </c>
      <c r="C35" s="11">
        <f>SUM(C4:C34)</f>
        <v>0</v>
      </c>
      <c r="D35" s="11">
        <f>SUM(D4:D34)</f>
        <v>410864</v>
      </c>
      <c r="E35" s="11">
        <f>SUM(E4:E34)</f>
        <v>402505</v>
      </c>
      <c r="F35" s="11">
        <f>SUM(F4:F34)</f>
        <v>-13538</v>
      </c>
      <c r="G35" s="11"/>
      <c r="H35" s="49">
        <f>+A40</f>
        <v>37327</v>
      </c>
      <c r="I35" s="348">
        <f>+C36</f>
        <v>-5179</v>
      </c>
      <c r="J35" s="348">
        <f>+E36</f>
        <v>-8359</v>
      </c>
      <c r="K35" s="206"/>
      <c r="L35" s="14"/>
    </row>
    <row r="36" spans="1:13" x14ac:dyDescent="0.2">
      <c r="C36" s="25">
        <f>+C35-B35</f>
        <v>-5179</v>
      </c>
      <c r="E36" s="25">
        <f>+E35-D35</f>
        <v>-8359</v>
      </c>
      <c r="F36" s="25">
        <f>+E36+C36</f>
        <v>-13538</v>
      </c>
      <c r="H36" s="32"/>
      <c r="I36" s="14">
        <f>+I35+I34</f>
        <v>-188201</v>
      </c>
      <c r="J36" s="14">
        <f>+J35+J34</f>
        <v>-172847</v>
      </c>
      <c r="K36" s="14">
        <f>+J36+I36</f>
        <v>-361048</v>
      </c>
      <c r="L36" s="14"/>
    </row>
    <row r="37" spans="1:13" x14ac:dyDescent="0.2">
      <c r="C37" s="313">
        <f>+summary!G5</f>
        <v>2.5299999999999998</v>
      </c>
      <c r="E37" s="104">
        <f>+C37</f>
        <v>2.5299999999999998</v>
      </c>
      <c r="F37" s="138">
        <f>+F36*E37</f>
        <v>-34251.14</v>
      </c>
    </row>
    <row r="38" spans="1:13" x14ac:dyDescent="0.2">
      <c r="C38" s="138">
        <f>+C37*C36</f>
        <v>-13102.869999999999</v>
      </c>
      <c r="E38" s="136">
        <f>+E37*E36</f>
        <v>-21148.269999999997</v>
      </c>
      <c r="F38" s="138">
        <f>+E38+C38</f>
        <v>-34251.14</v>
      </c>
    </row>
    <row r="39" spans="1:13" x14ac:dyDescent="0.2">
      <c r="A39" s="57">
        <v>37315</v>
      </c>
      <c r="B39" s="2" t="s">
        <v>45</v>
      </c>
      <c r="C39" s="614">
        <v>-1033420.01</v>
      </c>
      <c r="D39" s="320"/>
      <c r="E39" s="613">
        <v>-647086.22</v>
      </c>
      <c r="F39" s="319">
        <f>+E39+C39</f>
        <v>-1680506.23</v>
      </c>
    </row>
    <row r="40" spans="1:13" x14ac:dyDescent="0.2">
      <c r="A40" s="57">
        <v>37327</v>
      </c>
      <c r="B40" s="2" t="s">
        <v>45</v>
      </c>
      <c r="C40" s="314">
        <f>+C39+C38</f>
        <v>-1046522.88</v>
      </c>
      <c r="D40" s="252"/>
      <c r="E40" s="314">
        <f>+E39+E38</f>
        <v>-668234.49</v>
      </c>
      <c r="F40" s="314">
        <f>+E40+C40</f>
        <v>-1714757.37</v>
      </c>
      <c r="H40" s="131"/>
    </row>
    <row r="41" spans="1:13" x14ac:dyDescent="0.2">
      <c r="C41" s="329"/>
      <c r="D41" s="246"/>
      <c r="E41" s="246"/>
      <c r="H41" s="31">
        <f>+C39+E39+F45+F46+F47+F48</f>
        <v>-2885323.3600000003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72"/>
    </row>
    <row r="44" spans="1:13" x14ac:dyDescent="0.2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">
      <c r="C45" s="246"/>
      <c r="D45" s="246"/>
      <c r="E45" s="12">
        <v>20379</v>
      </c>
      <c r="F45" s="608">
        <v>-51695.87</v>
      </c>
      <c r="G45" s="249" t="s">
        <v>122</v>
      </c>
      <c r="J45" s="12">
        <v>20379</v>
      </c>
      <c r="K45" s="609">
        <v>2979</v>
      </c>
      <c r="M45" s="14"/>
    </row>
    <row r="46" spans="1:13" x14ac:dyDescent="0.2">
      <c r="C46" s="246"/>
      <c r="D46" s="246"/>
      <c r="E46" s="12">
        <v>26357</v>
      </c>
      <c r="F46" s="616">
        <f>44144.84-58339.66</f>
        <v>-14194.820000000007</v>
      </c>
      <c r="G46" s="249" t="s">
        <v>123</v>
      </c>
      <c r="J46" s="12">
        <v>26357</v>
      </c>
      <c r="K46" s="609">
        <f>26521-24566</f>
        <v>1955</v>
      </c>
    </row>
    <row r="47" spans="1:13" x14ac:dyDescent="0.2">
      <c r="C47" s="246"/>
      <c r="D47" s="246"/>
      <c r="E47" s="12">
        <v>21544</v>
      </c>
      <c r="F47" s="608">
        <v>61340.160000000003</v>
      </c>
      <c r="G47" s="249" t="s">
        <v>124</v>
      </c>
      <c r="J47" s="12">
        <v>21544</v>
      </c>
      <c r="K47" s="609">
        <v>36108</v>
      </c>
    </row>
    <row r="48" spans="1:13" x14ac:dyDescent="0.2">
      <c r="C48" s="246"/>
      <c r="D48" s="246"/>
      <c r="E48" s="12">
        <v>24532</v>
      </c>
      <c r="F48" s="615">
        <v>-1200266.6000000001</v>
      </c>
      <c r="G48" s="249" t="s">
        <v>121</v>
      </c>
      <c r="J48" s="12">
        <v>24532</v>
      </c>
      <c r="K48" s="607">
        <v>-169549</v>
      </c>
    </row>
    <row r="49" spans="3:13" x14ac:dyDescent="0.2">
      <c r="C49" s="246"/>
      <c r="D49" s="246"/>
      <c r="F49" s="330">
        <f>SUM(F40:F48)</f>
        <v>-2919574.5000000005</v>
      </c>
      <c r="G49" s="246"/>
      <c r="K49" s="14">
        <f>SUM(K36:K48)</f>
        <v>-489555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2894867.1599999997</v>
      </c>
      <c r="M51" s="14">
        <f>+Duke!I57</f>
        <v>796907</v>
      </c>
    </row>
    <row r="53" spans="3:13" x14ac:dyDescent="0.2">
      <c r="F53" s="104">
        <f>+F51+F49</f>
        <v>-24707.340000000782</v>
      </c>
      <c r="M53" s="16">
        <f>+M51+K49</f>
        <v>307352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3"/>
    </row>
    <row r="63" spans="3:13" x14ac:dyDescent="0.2">
      <c r="F63" s="343"/>
    </row>
    <row r="64" spans="3:13" x14ac:dyDescent="0.2">
      <c r="F64" s="343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-188201</v>
      </c>
      <c r="C73" s="247">
        <f>+C40</f>
        <v>-1046522.88</v>
      </c>
    </row>
    <row r="74" spans="1:3" x14ac:dyDescent="0.2">
      <c r="A74">
        <v>22051</v>
      </c>
      <c r="B74" s="31">
        <f>+J36</f>
        <v>-172847</v>
      </c>
      <c r="C74" s="247">
        <f>+E40</f>
        <v>-668234.49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197878</v>
      </c>
      <c r="C77" s="259">
        <f>+Duke!C48</f>
        <v>865522.17999999993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425839</v>
      </c>
      <c r="C79" s="259">
        <f>+Duke!C20</f>
        <v>1656973.8299999998</v>
      </c>
    </row>
    <row r="81" spans="2:3" x14ac:dyDescent="0.2">
      <c r="B81" s="31">
        <f>SUM(B68:B80)</f>
        <v>307352</v>
      </c>
      <c r="C81" s="259">
        <f>SUM(C68:C80)</f>
        <v>-24707.340000000084</v>
      </c>
    </row>
    <row r="82" spans="2:3" x14ac:dyDescent="0.2">
      <c r="C82">
        <f>+C81/B81</f>
        <v>-8.0387763866836992E-2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3" workbookViewId="0">
      <selection activeCell="C43" sqref="C43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5559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768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5635</v>
      </c>
      <c r="C13" s="11">
        <v>5714</v>
      </c>
      <c r="D13" s="11"/>
      <c r="E13" s="11"/>
      <c r="F13" s="129">
        <v>811</v>
      </c>
      <c r="G13" s="11">
        <v>901</v>
      </c>
      <c r="H13" s="11">
        <v>1389</v>
      </c>
      <c r="I13" s="11">
        <v>1247</v>
      </c>
      <c r="J13" s="25">
        <f t="shared" si="0"/>
        <v>27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5741</v>
      </c>
      <c r="C14" s="11">
        <v>5714</v>
      </c>
      <c r="D14" s="11"/>
      <c r="E14" s="11"/>
      <c r="F14" s="129">
        <v>942</v>
      </c>
      <c r="G14" s="11">
        <v>854</v>
      </c>
      <c r="H14" s="11">
        <v>1350</v>
      </c>
      <c r="I14" s="11">
        <v>1247</v>
      </c>
      <c r="J14" s="25">
        <f t="shared" si="0"/>
        <v>-218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5542</v>
      </c>
      <c r="C15" s="11">
        <v>4944</v>
      </c>
      <c r="D15" s="11"/>
      <c r="E15" s="11"/>
      <c r="F15" s="129">
        <v>913</v>
      </c>
      <c r="G15" s="11">
        <v>680</v>
      </c>
      <c r="H15" s="11">
        <v>1368</v>
      </c>
      <c r="I15" s="11">
        <v>1247</v>
      </c>
      <c r="J15" s="25">
        <f t="shared" si="0"/>
        <v>-952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5518</v>
      </c>
      <c r="C16" s="11">
        <v>4944</v>
      </c>
      <c r="D16" s="11"/>
      <c r="E16" s="11"/>
      <c r="F16" s="129">
        <v>908</v>
      </c>
      <c r="G16" s="11">
        <v>225</v>
      </c>
      <c r="H16" s="11">
        <v>1358</v>
      </c>
      <c r="I16" s="11">
        <v>1247</v>
      </c>
      <c r="J16" s="25">
        <f t="shared" si="0"/>
        <v>-1368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5505</v>
      </c>
      <c r="C17" s="11">
        <v>4944</v>
      </c>
      <c r="D17" s="11"/>
      <c r="E17" s="11"/>
      <c r="F17" s="129">
        <v>862</v>
      </c>
      <c r="G17" s="11">
        <v>8</v>
      </c>
      <c r="H17" s="11">
        <v>1355</v>
      </c>
      <c r="I17" s="11">
        <v>1247</v>
      </c>
      <c r="J17" s="25">
        <f t="shared" si="0"/>
        <v>-1523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5427</v>
      </c>
      <c r="C18" s="11">
        <v>4944</v>
      </c>
      <c r="D18" s="11"/>
      <c r="E18" s="11"/>
      <c r="F18" s="129">
        <v>871</v>
      </c>
      <c r="G18" s="11">
        <v>901</v>
      </c>
      <c r="H18" s="11">
        <v>1379</v>
      </c>
      <c r="I18" s="11">
        <v>1247</v>
      </c>
      <c r="J18" s="25">
        <f t="shared" si="0"/>
        <v>-585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5534</v>
      </c>
      <c r="C19" s="11">
        <v>4941</v>
      </c>
      <c r="D19" s="11"/>
      <c r="E19" s="11"/>
      <c r="F19" s="129">
        <v>838</v>
      </c>
      <c r="G19" s="11">
        <v>901</v>
      </c>
      <c r="H19" s="11">
        <v>1351</v>
      </c>
      <c r="I19" s="11">
        <v>1247</v>
      </c>
      <c r="J19" s="25">
        <f t="shared" si="0"/>
        <v>-634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64575</v>
      </c>
      <c r="C39" s="11">
        <f t="shared" si="1"/>
        <v>62405</v>
      </c>
      <c r="D39" s="11">
        <f t="shared" si="1"/>
        <v>2</v>
      </c>
      <c r="E39" s="11">
        <f t="shared" si="1"/>
        <v>0</v>
      </c>
      <c r="F39" s="129">
        <f t="shared" si="1"/>
        <v>10239</v>
      </c>
      <c r="G39" s="11">
        <f t="shared" si="1"/>
        <v>8975</v>
      </c>
      <c r="H39" s="11">
        <f t="shared" si="1"/>
        <v>16333</v>
      </c>
      <c r="I39" s="11">
        <f t="shared" si="1"/>
        <v>14964</v>
      </c>
      <c r="J39" s="25">
        <f t="shared" si="1"/>
        <v>-4805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2.5299999999999998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-12156.65</v>
      </c>
      <c r="L41"/>
      <c r="R41" s="138"/>
      <c r="X41" s="138"/>
    </row>
    <row r="42" spans="1:24" x14ac:dyDescent="0.2">
      <c r="A42" s="57">
        <v>37315</v>
      </c>
      <c r="C42" s="15"/>
      <c r="J42" s="603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37327</v>
      </c>
      <c r="C43" s="48"/>
      <c r="J43" s="138">
        <f>+J42+J41</f>
        <v>314030.63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98">
        <v>128267</v>
      </c>
      <c r="L47"/>
    </row>
    <row r="48" spans="1:24" x14ac:dyDescent="0.2">
      <c r="A48" s="49">
        <f>+A43</f>
        <v>37327</v>
      </c>
      <c r="B48" s="32"/>
      <c r="C48" s="32"/>
      <c r="D48" s="348">
        <f>+J39</f>
        <v>-4805</v>
      </c>
      <c r="L48"/>
    </row>
    <row r="49" spans="1:12" x14ac:dyDescent="0.2">
      <c r="A49" s="32"/>
      <c r="B49" s="32"/>
      <c r="C49" s="32"/>
      <c r="D49" s="14">
        <f>+D48+D47</f>
        <v>123462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70" workbookViewId="0">
      <selection activeCell="B31" sqref="B31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1"/>
    </row>
    <row r="2" spans="1:32" ht="12.95" customHeight="1" x14ac:dyDescent="0.2">
      <c r="A2" s="34" t="s">
        <v>140</v>
      </c>
      <c r="D2" s="7"/>
      <c r="F2" s="381" t="s">
        <v>78</v>
      </c>
      <c r="G2" s="384"/>
      <c r="H2" s="32"/>
    </row>
    <row r="3" spans="1:32" ht="12.95" customHeight="1" x14ac:dyDescent="0.2">
      <c r="D3" s="7"/>
      <c r="F3" s="382" t="s">
        <v>29</v>
      </c>
      <c r="G3" s="385">
        <f>+summary!G3</f>
        <v>2.5299999999999998</v>
      </c>
      <c r="H3" s="400">
        <f ca="1">NOW()</f>
        <v>37329.709993171295</v>
      </c>
    </row>
    <row r="4" spans="1:32" ht="12.95" customHeight="1" x14ac:dyDescent="0.2">
      <c r="A4" s="34" t="s">
        <v>144</v>
      </c>
      <c r="C4" s="34" t="s">
        <v>5</v>
      </c>
      <c r="D4" s="7"/>
      <c r="F4" s="383" t="s">
        <v>30</v>
      </c>
      <c r="G4" s="385">
        <f>+summary!G4</f>
        <v>2.5299999999999998</v>
      </c>
      <c r="H4" s="32"/>
    </row>
    <row r="5" spans="1:32" ht="12.95" customHeight="1" x14ac:dyDescent="0.2">
      <c r="D5" s="7"/>
      <c r="F5" s="382" t="s">
        <v>117</v>
      </c>
      <c r="G5" s="385">
        <f>+summary!G5</f>
        <v>2.5299999999999998</v>
      </c>
      <c r="H5" s="209" t="s">
        <v>313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8" t="s">
        <v>162</v>
      </c>
      <c r="B7" s="399"/>
      <c r="AD7" s="32"/>
      <c r="AE7" s="32"/>
      <c r="AF7" s="32"/>
    </row>
    <row r="8" spans="1:32" ht="15.95" customHeight="1" outlineLevel="2" x14ac:dyDescent="0.2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4" t="s">
        <v>154</v>
      </c>
    </row>
    <row r="12" spans="1:32" ht="13.5" customHeight="1" outlineLevel="1" x14ac:dyDescent="0.2">
      <c r="A12" s="497" t="s">
        <v>127</v>
      </c>
      <c r="B12" s="581">
        <f>+Calpine!D41</f>
        <v>9610.5499999999993</v>
      </c>
      <c r="C12" s="367">
        <f>+B12/$G$4</f>
        <v>3798.6363636363635</v>
      </c>
      <c r="D12" s="14">
        <f>+Calpine!D47</f>
        <v>92094</v>
      </c>
      <c r="E12" s="70">
        <f>+C12-D12</f>
        <v>-88295.363636363632</v>
      </c>
      <c r="F12" s="362">
        <f>+Calpine!A41</f>
        <v>37327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">
      <c r="A13" s="248" t="s">
        <v>139</v>
      </c>
      <c r="B13" s="581">
        <f>+'Citizens-Griffith'!D41</f>
        <v>54091.380000000005</v>
      </c>
      <c r="C13" s="366">
        <f>+B13/$G$4</f>
        <v>21379.992094861664</v>
      </c>
      <c r="D13" s="14">
        <f>+'Citizens-Griffith'!D48</f>
        <v>29992</v>
      </c>
      <c r="E13" s="70">
        <f>+C13-D13</f>
        <v>-8612.0079051383364</v>
      </c>
      <c r="F13" s="362">
        <f>+'Citizens-Griffith'!A41</f>
        <v>37327</v>
      </c>
      <c r="G13" s="203" t="s">
        <v>298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275</v>
      </c>
      <c r="B14" s="587">
        <f>+SWGasTrans!D41</f>
        <v>-10553.5</v>
      </c>
      <c r="C14" s="366">
        <f>+B14/G4</f>
        <v>-4171.343873517787</v>
      </c>
      <c r="D14" s="14">
        <f>+SWGasTrans!$D$48</f>
        <v>7461</v>
      </c>
      <c r="E14" s="70">
        <f>+C14-D14</f>
        <v>-11632.343873517788</v>
      </c>
      <c r="F14" s="362">
        <f>+SWGasTrans!A41</f>
        <v>37327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4">
        <f>+'NS Steel'!D41</f>
        <v>-247499.01</v>
      </c>
      <c r="C15" s="366">
        <f>+B15/$G$4</f>
        <v>-97825.695652173919</v>
      </c>
      <c r="D15" s="14">
        <f>+'NS Steel'!D50</f>
        <v>6612</v>
      </c>
      <c r="E15" s="70">
        <f>+C15-D15</f>
        <v>-104437.69565217392</v>
      </c>
      <c r="F15" s="363">
        <f>+'NS Steel'!A41</f>
        <v>37327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7" t="s">
        <v>135</v>
      </c>
      <c r="B16" s="347">
        <f>+Citizens!D18</f>
        <v>-595076.6399999999</v>
      </c>
      <c r="C16" s="368">
        <f>+B16/$G$4</f>
        <v>-235208.15810276679</v>
      </c>
      <c r="D16" s="348">
        <f>+Citizens!D24</f>
        <v>-62728</v>
      </c>
      <c r="E16" s="72">
        <f>+C16-D16</f>
        <v>-172480.15810276679</v>
      </c>
      <c r="F16" s="362">
        <f>+Citizens!A18</f>
        <v>37327</v>
      </c>
      <c r="G16" s="203" t="s">
        <v>298</v>
      </c>
      <c r="H16" s="204" t="s">
        <v>99</v>
      </c>
      <c r="I16" s="417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6">
        <f>SUBTOTAL(9,B12:B16)</f>
        <v>-789427.22</v>
      </c>
      <c r="C17" s="391">
        <f>SUBTOTAL(9,C12:C16)</f>
        <v>-312026.56916996045</v>
      </c>
      <c r="D17" s="392">
        <f>SUBTOTAL(9,D12:D16)</f>
        <v>73431</v>
      </c>
      <c r="E17" s="393">
        <f>SUBTOTAL(9,E12:E16)</f>
        <v>-385457.56916996045</v>
      </c>
      <c r="F17" s="362"/>
      <c r="G17" s="203"/>
      <c r="H17" s="204"/>
      <c r="I17" s="350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5" t="s">
        <v>57</v>
      </c>
      <c r="G19" s="7"/>
    </row>
    <row r="20" spans="1:20" ht="13.5" customHeight="1" outlineLevel="2" x14ac:dyDescent="0.2">
      <c r="A20" s="248" t="s">
        <v>71</v>
      </c>
      <c r="B20" s="586">
        <f>+transcol!$D$43</f>
        <v>11282.92</v>
      </c>
      <c r="C20" s="366">
        <f>+B20/$G$4</f>
        <v>4459.652173913044</v>
      </c>
      <c r="D20" s="14">
        <f>+transcol!D50</f>
        <v>-49598</v>
      </c>
      <c r="E20" s="70">
        <f>+C20-D20</f>
        <v>54057.65217391304</v>
      </c>
      <c r="F20" s="363">
        <f>+transcol!A43</f>
        <v>37327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7" t="s">
        <v>287</v>
      </c>
      <c r="B21" s="586">
        <f>+C21*G3</f>
        <v>82870.149999999994</v>
      </c>
      <c r="C21" s="366">
        <f>+williams!J40</f>
        <v>32755</v>
      </c>
      <c r="D21" s="14">
        <f>+C21</f>
        <v>32755</v>
      </c>
      <c r="E21" s="70">
        <f>+C21-D21</f>
        <v>0</v>
      </c>
      <c r="F21" s="363">
        <f>+williams!A40</f>
        <v>37327</v>
      </c>
      <c r="G21" s="203" t="s">
        <v>153</v>
      </c>
      <c r="H21" s="32" t="s">
        <v>288</v>
      </c>
      <c r="I21" s="32"/>
      <c r="J21" s="32"/>
      <c r="K21" s="32"/>
      <c r="T21" s="259"/>
    </row>
    <row r="22" spans="1:20" ht="13.5" customHeight="1" outlineLevel="2" x14ac:dyDescent="0.2">
      <c r="A22" s="497" t="s">
        <v>95</v>
      </c>
      <c r="B22" s="588">
        <f>+burlington!D42</f>
        <v>-7966.4000000000015</v>
      </c>
      <c r="C22" s="370">
        <f>+B22/$G$3</f>
        <v>-3148.7747035573129</v>
      </c>
      <c r="D22" s="348">
        <f>+burlington!D49</f>
        <v>-4667</v>
      </c>
      <c r="E22" s="72">
        <f>+C22-D22</f>
        <v>1518.2252964426871</v>
      </c>
      <c r="F22" s="362">
        <f>+burlington!A42</f>
        <v>37327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6">
        <f>SUBTOTAL(9,B20:B22)</f>
        <v>86186.669999999984</v>
      </c>
      <c r="C23" s="387">
        <f>SUBTOTAL(9,C20:C22)</f>
        <v>34065.877470355728</v>
      </c>
      <c r="D23" s="392">
        <f>SUBTOTAL(9,D20:D22)</f>
        <v>-21510</v>
      </c>
      <c r="E23" s="393">
        <f>SUBTOTAL(9,E20:E22)</f>
        <v>55575.877470355728</v>
      </c>
      <c r="F23" s="362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5" customHeight="1" outlineLevel="2" x14ac:dyDescent="0.2">
      <c r="A26" s="497" t="s">
        <v>87</v>
      </c>
      <c r="B26" s="590">
        <f>+NNG!$D$24</f>
        <v>24232.78</v>
      </c>
      <c r="C26" s="366">
        <f>+B26/$G$4</f>
        <v>9578.173913043478</v>
      </c>
      <c r="D26" s="14">
        <f>+NNG!D34</f>
        <v>9069</v>
      </c>
      <c r="E26" s="70">
        <f t="shared" ref="E26:E48" si="0">+C26-D26</f>
        <v>509.17391304347802</v>
      </c>
      <c r="F26" s="362">
        <f>+NNG!A24</f>
        <v>37326</v>
      </c>
      <c r="G26" s="204" t="s">
        <v>297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590">
        <f>+Conoco!$F$41</f>
        <v>403690.89</v>
      </c>
      <c r="C27" s="366">
        <f>+B27/$G$4</f>
        <v>159561.61660079053</v>
      </c>
      <c r="D27" s="14">
        <f>+Conoco!D48</f>
        <v>-1864</v>
      </c>
      <c r="E27" s="70">
        <f t="shared" si="0"/>
        <v>161425.61660079053</v>
      </c>
      <c r="F27" s="362">
        <f>+Conoco!A41</f>
        <v>37327</v>
      </c>
      <c r="G27" s="32" t="s">
        <v>298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590">
        <f>+'Amoco Abo'!$F$43</f>
        <v>238469.22999999998</v>
      </c>
      <c r="C28" s="366">
        <f>+B28/$G$4</f>
        <v>94256.612648221344</v>
      </c>
      <c r="D28" s="14">
        <f>+'Amoco Abo'!D49</f>
        <v>-332219</v>
      </c>
      <c r="E28" s="70">
        <f t="shared" si="0"/>
        <v>426475.61264822131</v>
      </c>
      <c r="F28" s="363">
        <f>+'Amoco Abo'!A43</f>
        <v>37327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590">
        <f>+KN_Westar!F41</f>
        <v>226801.84</v>
      </c>
      <c r="C29" s="366">
        <f>+B29/$G$4</f>
        <v>89644.996047430832</v>
      </c>
      <c r="D29" s="14">
        <f>+KN_Westar!D48</f>
        <v>-78710</v>
      </c>
      <c r="E29" s="70">
        <f t="shared" si="0"/>
        <v>168354.99604743085</v>
      </c>
      <c r="F29" s="363">
        <f>+KN_Westar!A41</f>
        <v>37327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7" t="s">
        <v>245</v>
      </c>
      <c r="B30" s="581">
        <f>+Duke!B83</f>
        <v>-24707.340000000549</v>
      </c>
      <c r="C30" s="367">
        <f>+B30/$G$5</f>
        <v>-9765.7470355733403</v>
      </c>
      <c r="D30" s="14">
        <f>+DEFS!$I$36+DEFS!$J$36+DEFS!$K$45+DEFS!$K$46+DEFS!$K$47+DEFS!$K$48+Duke!I53+Duke!I54+Duke!F40+Duke!G40+Duke!H40</f>
        <v>307352</v>
      </c>
      <c r="E30" s="70">
        <f t="shared" si="0"/>
        <v>-317117.74703557335</v>
      </c>
      <c r="F30" s="363">
        <f>+DEFS!A40</f>
        <v>37327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581">
        <f>+mewborne!$J$43</f>
        <v>314030.63</v>
      </c>
      <c r="C31" s="366">
        <f>+B31/$G$4</f>
        <v>124122.77865612649</v>
      </c>
      <c r="D31" s="14">
        <f>+mewborne!D49</f>
        <v>123462</v>
      </c>
      <c r="E31" s="70">
        <f t="shared" si="0"/>
        <v>660.77865612649475</v>
      </c>
      <c r="F31" s="363">
        <f>+mewborne!A43</f>
        <v>37327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7">
        <f>+PGETX!$H$39</f>
        <v>52424.14</v>
      </c>
      <c r="C32" s="366">
        <f>+B32/$G$4</f>
        <v>20721.003952569172</v>
      </c>
      <c r="D32" s="14">
        <f>+PGETX!E48</f>
        <v>51324</v>
      </c>
      <c r="E32" s="70">
        <f t="shared" si="0"/>
        <v>-30602.996047430828</v>
      </c>
      <c r="F32" s="363">
        <f>+PGETX!E39</f>
        <v>37328</v>
      </c>
      <c r="G32" s="32" t="s">
        <v>299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581">
        <f>+PNM!$D$23</f>
        <v>718298.16999999993</v>
      </c>
      <c r="C33" s="366">
        <f>+B33/$G$4</f>
        <v>283912.32015810278</v>
      </c>
      <c r="D33" s="14">
        <f>+PNM!D30</f>
        <v>296422</v>
      </c>
      <c r="E33" s="70">
        <f t="shared" si="0"/>
        <v>-12509.679841897218</v>
      </c>
      <c r="F33" s="363">
        <f>+PNM!A23</f>
        <v>37327</v>
      </c>
      <c r="G33" s="32" t="s">
        <v>297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590">
        <f>+EOG!J41</f>
        <v>-49228.21</v>
      </c>
      <c r="C34" s="366">
        <f>+B34/$G$4</f>
        <v>-19457.790513833992</v>
      </c>
      <c r="D34" s="14">
        <f>+EOG!D48</f>
        <v>-144484</v>
      </c>
      <c r="E34" s="70">
        <f t="shared" si="0"/>
        <v>125026.20948616602</v>
      </c>
      <c r="F34" s="362">
        <f>+EOG!A41</f>
        <v>37328</v>
      </c>
      <c r="G34" s="32" t="s">
        <v>297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590">
        <f>+Oasis!D40</f>
        <v>95615.680000000008</v>
      </c>
      <c r="C35" s="366">
        <f>+B35/G5</f>
        <v>37792.758893280639</v>
      </c>
      <c r="D35" s="14">
        <f>+Oasis!D47</f>
        <v>43236</v>
      </c>
      <c r="E35" s="70">
        <f>+C35-D35</f>
        <v>-5443.2411067193607</v>
      </c>
      <c r="F35" s="362">
        <f>+Oasis!A40</f>
        <v>37327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590">
        <f>+SidR!D41</f>
        <v>6058.08</v>
      </c>
      <c r="C36" s="366">
        <f>+B36/$G$5</f>
        <v>2394.498023715415</v>
      </c>
      <c r="D36" s="14">
        <f>+SidR!D48</f>
        <v>2912</v>
      </c>
      <c r="E36" s="70">
        <f t="shared" si="0"/>
        <v>-517.501976284585</v>
      </c>
      <c r="F36" s="363">
        <f>+SidR!A41</f>
        <v>37326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7" t="s">
        <v>255</v>
      </c>
      <c r="B37" s="587">
        <f>+MiVida_Rich!D41</f>
        <v>-191635</v>
      </c>
      <c r="C37" s="366">
        <f>+B37/$G$5</f>
        <v>-75745.059288537552</v>
      </c>
      <c r="D37" s="14">
        <f>+MiVida_Rich!D48</f>
        <v>-45642</v>
      </c>
      <c r="E37" s="70">
        <f>+C37-D37</f>
        <v>-30103.059288537552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581">
        <f>+Dominion!D41</f>
        <v>171087.47</v>
      </c>
      <c r="C38" s="366">
        <f>+B38/$G$5</f>
        <v>67623.50592885376</v>
      </c>
      <c r="D38" s="14">
        <f>+Dominion!D48</f>
        <v>74801</v>
      </c>
      <c r="E38" s="70">
        <f t="shared" si="0"/>
        <v>-7177.4940711462405</v>
      </c>
      <c r="F38" s="363">
        <f>+Dominion!A41</f>
        <v>37327</v>
      </c>
      <c r="G38" s="203" t="s">
        <v>297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587">
        <f>+WTGmktg!J43</f>
        <v>-17940.510000000002</v>
      </c>
      <c r="C39" s="366">
        <f>+B39/$G$4</f>
        <v>-7091.1106719367599</v>
      </c>
      <c r="D39" s="14">
        <f>+WTGmktg!D50</f>
        <v>4113</v>
      </c>
      <c r="E39" s="70">
        <f t="shared" si="0"/>
        <v>-11204.11067193676</v>
      </c>
      <c r="F39" s="363">
        <f>+WTGmktg!A43</f>
        <v>37327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278</v>
      </c>
      <c r="B40" s="344">
        <f>+'WTG inc'!N43</f>
        <v>17251.23</v>
      </c>
      <c r="C40" s="366">
        <f>+B40/G4</f>
        <v>6818.6679841897239</v>
      </c>
      <c r="D40" s="14">
        <f>+'WTG inc'!D50</f>
        <v>4973</v>
      </c>
      <c r="E40" s="70">
        <f>+C40-D40</f>
        <v>1845.6679841897239</v>
      </c>
      <c r="F40" s="363">
        <f>+'WTG inc'!A43</f>
        <v>37327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587">
        <f>+Devon!D41</f>
        <v>12991.31</v>
      </c>
      <c r="C41" s="366">
        <f>+B41/$G$5</f>
        <v>5134.905138339921</v>
      </c>
      <c r="D41" s="14">
        <f>+Devon!D48</f>
        <v>5214</v>
      </c>
      <c r="E41" s="70">
        <f t="shared" si="0"/>
        <v>-79.094861660079005</v>
      </c>
      <c r="F41" s="363">
        <f>+Devon!A41</f>
        <v>37327</v>
      </c>
      <c r="G41" s="203" t="s">
        <v>298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4">
        <f>+crosstex!F41</f>
        <v>-124764.95000000001</v>
      </c>
      <c r="C42" s="366">
        <f>+B42/$G$4</f>
        <v>-49314.209486166015</v>
      </c>
      <c r="D42" s="14">
        <f>+crosstex!D48</f>
        <v>-36445</v>
      </c>
      <c r="E42" s="70">
        <f t="shared" si="0"/>
        <v>-12869.209486166015</v>
      </c>
      <c r="F42" s="363">
        <f>+crosstex!A41</f>
        <v>37327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581">
        <f>+Amarillo!P41</f>
        <v>129786.2</v>
      </c>
      <c r="C43" s="366">
        <f>+B43/$G$4</f>
        <v>51298.893280632416</v>
      </c>
      <c r="D43" s="14">
        <f>+Amarillo!D48</f>
        <v>54267</v>
      </c>
      <c r="E43" s="70">
        <f t="shared" si="0"/>
        <v>-2968.1067193675844</v>
      </c>
      <c r="F43" s="363">
        <f>+Amarillo!A41</f>
        <v>37327</v>
      </c>
      <c r="G43" s="203" t="s">
        <v>298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293</v>
      </c>
      <c r="B44" s="581">
        <f>+Stratland!$D$41</f>
        <v>69765.440000000002</v>
      </c>
      <c r="C44" s="367">
        <f>+B44/$G$4</f>
        <v>27575.272727272732</v>
      </c>
      <c r="D44" s="14">
        <f>+Stratland!D48</f>
        <v>27486</v>
      </c>
      <c r="E44" s="70">
        <f>+C44-D44</f>
        <v>89.272727272731572</v>
      </c>
      <c r="F44" s="362">
        <f>+Stratland!A41</f>
        <v>37315</v>
      </c>
      <c r="G44" s="203" t="s">
        <v>297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304</v>
      </c>
      <c r="B45" s="581">
        <f>+Plains!$N$43</f>
        <v>66185.02</v>
      </c>
      <c r="C45" s="584">
        <f>+B45/$G$4</f>
        <v>26160.086956521744</v>
      </c>
      <c r="D45" s="14">
        <f>+Plains!D50</f>
        <v>23662</v>
      </c>
      <c r="E45" s="70">
        <f>+C45-D45</f>
        <v>2498.0869565217436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581">
        <f>+Continental!F43</f>
        <v>59475.54</v>
      </c>
      <c r="C46" s="367">
        <f>+B46/$G$4</f>
        <v>23508.1185770751</v>
      </c>
      <c r="D46" s="14">
        <f>+Continental!D50</f>
        <v>8656</v>
      </c>
      <c r="E46" s="70">
        <f t="shared" si="0"/>
        <v>14852.1185770751</v>
      </c>
      <c r="F46" s="363">
        <f>+Continental!A43</f>
        <v>37327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581">
        <f>+EPFS!D41</f>
        <v>141335.57</v>
      </c>
      <c r="C47" s="367">
        <f>+B47/$G$5</f>
        <v>55863.861660079056</v>
      </c>
      <c r="D47" s="14">
        <f>+EPFS!D47</f>
        <v>83255</v>
      </c>
      <c r="E47" s="70">
        <f t="shared" si="0"/>
        <v>-27391.138339920944</v>
      </c>
      <c r="F47" s="362">
        <f>+EPFS!A41</f>
        <v>37327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7" t="s">
        <v>79</v>
      </c>
      <c r="B48" s="583">
        <f>+Agave!$D$25</f>
        <v>114728.31999999999</v>
      </c>
      <c r="C48" s="368">
        <f>+B48/$G$4</f>
        <v>45347.162055335968</v>
      </c>
      <c r="D48" s="348">
        <f>+Agave!D31</f>
        <v>61368</v>
      </c>
      <c r="E48" s="72">
        <f t="shared" si="0"/>
        <v>-16020.837944664032</v>
      </c>
      <c r="F48" s="362">
        <f>+Agave!A25</f>
        <v>37327</v>
      </c>
      <c r="G48" s="203" t="s">
        <v>298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6">
        <f>SUBTOTAL(9,B26:B48)</f>
        <v>2453951.5299999989</v>
      </c>
      <c r="C49" s="391">
        <f>SUBTOTAL(9,C26:C48)</f>
        <v>969941.31620553334</v>
      </c>
      <c r="D49" s="392">
        <f>SUBTOTAL(9,D26:D48)</f>
        <v>542208</v>
      </c>
      <c r="E49" s="393">
        <f>SUBTOTAL(9,E26:E48)</f>
        <v>427733.31620553322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6">
        <f>SUBTOTAL(9,B12:B48)</f>
        <v>1750710.9799999997</v>
      </c>
      <c r="C51" s="391">
        <f>SUBTOTAL(9,C12:C48)</f>
        <v>691980.6245059286</v>
      </c>
      <c r="D51" s="392">
        <f>SUBTOTAL(9,D12:D48)</f>
        <v>594129</v>
      </c>
      <c r="E51" s="393">
        <f>SUBTOTAL(9,E12:E48)</f>
        <v>97851.624505928674</v>
      </c>
      <c r="F51" s="362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">
      <c r="D57" s="7"/>
      <c r="F57" s="382" t="s">
        <v>29</v>
      </c>
      <c r="G57" s="385">
        <f>+summary!G3</f>
        <v>2.5299999999999998</v>
      </c>
      <c r="H57" s="400">
        <f ca="1">NOW()</f>
        <v>37329.709993171295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3" t="s">
        <v>30</v>
      </c>
      <c r="G58" s="385">
        <f>+summary!G4</f>
        <v>2.5299999999999998</v>
      </c>
      <c r="H58" s="32"/>
    </row>
    <row r="59" spans="1:19" ht="13.5" customHeight="1" outlineLevel="1" x14ac:dyDescent="0.2">
      <c r="D59" s="7"/>
      <c r="F59" s="382" t="s">
        <v>117</v>
      </c>
      <c r="G59" s="385">
        <f>+summary!G5</f>
        <v>2.5299999999999998</v>
      </c>
      <c r="H59" s="32"/>
    </row>
    <row r="60" spans="1:19" ht="13.5" customHeight="1" outlineLevel="2" x14ac:dyDescent="0.2"/>
    <row r="61" spans="1:19" ht="13.5" customHeight="1" outlineLevel="2" x14ac:dyDescent="0.2">
      <c r="A61" s="398" t="s">
        <v>163</v>
      </c>
      <c r="B61" s="399"/>
      <c r="E61" s="12" t="s">
        <v>196</v>
      </c>
    </row>
    <row r="62" spans="1:19" ht="13.5" customHeight="1" outlineLevel="2" x14ac:dyDescent="0.2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4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498">
        <f>+Mojave!D40</f>
        <v>1526</v>
      </c>
      <c r="C66" s="581">
        <f>+B66*$I$5</f>
        <v>3509.7999999999997</v>
      </c>
      <c r="D66" s="47">
        <f>+Mojave!D47</f>
        <v>3860.7799999999997</v>
      </c>
      <c r="E66" s="47">
        <f>+C66-D66</f>
        <v>-350.98</v>
      </c>
      <c r="F66" s="363">
        <f>+Mojave!A40</f>
        <v>37327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7">
        <f>+SoCal!F40</f>
        <v>-57739</v>
      </c>
      <c r="C67" s="581">
        <f>+B67*$G$4</f>
        <v>-146079.66999999998</v>
      </c>
      <c r="D67" s="47">
        <f>+SoCal!D47</f>
        <v>-67164.77999999997</v>
      </c>
      <c r="E67" s="47">
        <f>+C67-D67</f>
        <v>-78914.890000000014</v>
      </c>
      <c r="F67" s="363">
        <f>+SoCal!A40</f>
        <v>37327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6">
        <f>+'El Paso'!C39</f>
        <v>64269</v>
      </c>
      <c r="C68" s="581">
        <f>+B68*$G$4</f>
        <v>162600.56999999998</v>
      </c>
      <c r="D68" s="47">
        <f>+'El Paso'!C46</f>
        <v>-1582961.01</v>
      </c>
      <c r="E68" s="47">
        <f>+C68-D68</f>
        <v>1745561.58</v>
      </c>
      <c r="F68" s="363">
        <f>+'El Paso'!A39</f>
        <v>37327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8">
        <f>+'PG&amp;E'!D40</f>
        <v>-34848</v>
      </c>
      <c r="C69" s="583">
        <f>+B69*$G$4</f>
        <v>-88165.439999999988</v>
      </c>
      <c r="D69" s="347">
        <f>+'PG&amp;E'!D47</f>
        <v>-294702.73</v>
      </c>
      <c r="E69" s="347">
        <f>+C69-D69</f>
        <v>206537.28999999998</v>
      </c>
      <c r="F69" s="363">
        <f>+'PG&amp;E'!A40</f>
        <v>37327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1">
        <f>SUBTOTAL(9,B66:B69)</f>
        <v>-26792</v>
      </c>
      <c r="C70" s="386">
        <f>SUBTOTAL(9,C66:C69)</f>
        <v>-68134.740000000005</v>
      </c>
      <c r="D70" s="386">
        <f>SUBTOTAL(9,D66:D69)</f>
        <v>-1940967.74</v>
      </c>
      <c r="E70" s="386">
        <f>SUBTOTAL(9,E66:E69)</f>
        <v>1872833</v>
      </c>
      <c r="F70" s="363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4" t="s">
        <v>57</v>
      </c>
      <c r="B72" s="286"/>
      <c r="C72" s="247"/>
      <c r="G72" s="203"/>
    </row>
    <row r="73" spans="1:11" x14ac:dyDescent="0.2">
      <c r="A73" s="248" t="s">
        <v>23</v>
      </c>
      <c r="B73" s="366">
        <f>+'Red C'!F45</f>
        <v>36049</v>
      </c>
      <c r="C73" s="582">
        <f>+B73*G57</f>
        <v>91203.969999999987</v>
      </c>
      <c r="D73" s="200">
        <f>+'Red C'!D52</f>
        <v>410191.8</v>
      </c>
      <c r="E73" s="47">
        <f>+C73-D73</f>
        <v>-318987.83</v>
      </c>
      <c r="F73" s="362">
        <f>+'Red C'!A45</f>
        <v>37327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286</v>
      </c>
      <c r="B74" s="366">
        <f>+Amoco!D40</f>
        <v>-6686</v>
      </c>
      <c r="C74" s="587">
        <f>+B74*$G$3</f>
        <v>-16915.579999999998</v>
      </c>
      <c r="D74" s="47">
        <f>+Amoco!D47</f>
        <v>323666.45</v>
      </c>
      <c r="E74" s="47">
        <f>+C74-D74</f>
        <v>-340582.03</v>
      </c>
      <c r="F74" s="363">
        <f>+Amoco!A40</f>
        <v>37327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6">
        <f>+'El Paso'!E39</f>
        <v>-96100</v>
      </c>
      <c r="C75" s="581">
        <f>+B75*$G$3</f>
        <v>-243132.99999999997</v>
      </c>
      <c r="D75" s="47">
        <f>+'El Paso'!F46</f>
        <v>-657254.01</v>
      </c>
      <c r="E75" s="47">
        <f>+C75-D75</f>
        <v>414121.01</v>
      </c>
      <c r="F75" s="363">
        <f>+'El Paso'!A39</f>
        <v>37327</v>
      </c>
      <c r="G75" s="418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8">
        <f>+NW!$F$41</f>
        <v>-11253</v>
      </c>
      <c r="C76" s="588">
        <f>+B76*$G$3</f>
        <v>-28470.089999999997</v>
      </c>
      <c r="D76" s="347">
        <f>+NW!E49</f>
        <v>-481404.42</v>
      </c>
      <c r="E76" s="347">
        <f>+C76-D76</f>
        <v>452934.32999999996</v>
      </c>
      <c r="F76" s="362">
        <f>+NW!B41</f>
        <v>37328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1">
        <f>SUBTOTAL(9,B73:B76)</f>
        <v>-77990</v>
      </c>
      <c r="C77" s="386">
        <f>SUBTOTAL(9,C73:C76)</f>
        <v>-197314.69999999998</v>
      </c>
      <c r="D77" s="386">
        <f>SUBTOTAL(9,D73:D76)</f>
        <v>-404800.18</v>
      </c>
      <c r="E77" s="386">
        <f>SUBTOTAL(9,E73:E76)</f>
        <v>207485.47999999986</v>
      </c>
      <c r="F77" s="362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4" t="s">
        <v>158</v>
      </c>
      <c r="B79" s="286"/>
      <c r="C79" s="247"/>
      <c r="G79" s="203"/>
    </row>
    <row r="80" spans="1:11" x14ac:dyDescent="0.2">
      <c r="A80" s="248" t="s">
        <v>88</v>
      </c>
      <c r="B80" s="366">
        <f>+NGPL!H38</f>
        <v>6994</v>
      </c>
      <c r="C80" s="581">
        <f>+B80*$G$5</f>
        <v>17694.82</v>
      </c>
      <c r="D80" s="47">
        <f>+NGPL!D45</f>
        <v>91268.700000000012</v>
      </c>
      <c r="E80" s="47">
        <f>+C80-D80</f>
        <v>-73573.88</v>
      </c>
      <c r="F80" s="363">
        <f>+NGPL!A38</f>
        <v>37327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6">
        <f>+PEPL!D41</f>
        <v>6260</v>
      </c>
      <c r="C81" s="582">
        <f>+B81*$G$4</f>
        <v>15837.8</v>
      </c>
      <c r="D81" s="47">
        <f>+PEPL!D47</f>
        <v>177837.43</v>
      </c>
      <c r="E81" s="47">
        <f>+C81-D81</f>
        <v>-161999.63</v>
      </c>
      <c r="F81" s="363">
        <f>+PEPL!A41</f>
        <v>37327</v>
      </c>
      <c r="G81" s="32" t="s">
        <v>298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582">
        <f>+B82*$G$4</f>
        <v>44495.109999999993</v>
      </c>
      <c r="D82" s="200">
        <f>+CIG!D49</f>
        <v>385897</v>
      </c>
      <c r="E82" s="70">
        <f>+C82-D82</f>
        <v>-341401.89</v>
      </c>
      <c r="F82" s="363">
        <f>+CIG!A42</f>
        <v>37323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0">
        <f>+Lonestar!F43</f>
        <v>40337</v>
      </c>
      <c r="C83" s="583">
        <f>+B83*G59</f>
        <v>102052.60999999999</v>
      </c>
      <c r="D83" s="347">
        <f>+Lonestar!D50</f>
        <v>69059.960000000006</v>
      </c>
      <c r="E83" s="347">
        <f>+C83-D83</f>
        <v>32992.64999999998</v>
      </c>
      <c r="F83" s="362">
        <f>+Lonestar!A43</f>
        <v>37327</v>
      </c>
      <c r="G83" s="32" t="s">
        <v>298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7">
        <f>SUBTOTAL(9,B80:B83)</f>
        <v>71178</v>
      </c>
      <c r="C84" s="386">
        <f>SUBTOTAL(9,C80:C83)</f>
        <v>180080.33999999997</v>
      </c>
      <c r="D84" s="386">
        <f>SUBTOTAL(9,D80:D83)</f>
        <v>724063.09</v>
      </c>
      <c r="E84" s="386">
        <f>SUBTOTAL(9,E80:E83)</f>
        <v>-543982.75</v>
      </c>
      <c r="F84" s="362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7">
        <f>SUBTOTAL(9,B66:B83)</f>
        <v>-33604</v>
      </c>
      <c r="C86" s="386">
        <f>SUBTOTAL(9,C66:C83)</f>
        <v>-85369.099999999977</v>
      </c>
      <c r="D86" s="386">
        <f>SUBTOTAL(9,D66:D83)</f>
        <v>-1621704.8299999998</v>
      </c>
      <c r="E86" s="386">
        <f>SUBTOTAL(9,E66:E83)</f>
        <v>1536335.73</v>
      </c>
      <c r="F86" s="362"/>
      <c r="H86" s="32"/>
      <c r="I86" s="32"/>
      <c r="J86" s="32"/>
      <c r="K86" s="32"/>
    </row>
    <row r="87" spans="1:12" x14ac:dyDescent="0.2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4">
        <f>+C86+B51</f>
        <v>1665341.88</v>
      </c>
      <c r="C89" s="206"/>
      <c r="D89" s="344"/>
      <c r="E89" s="344"/>
      <c r="F89" s="351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658376.6245059286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0" sqref="A40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8">
        <v>10</v>
      </c>
      <c r="B17" s="409">
        <v>1</v>
      </c>
      <c r="C17" s="409"/>
      <c r="D17" s="409"/>
      <c r="E17" s="409"/>
      <c r="F17" s="307">
        <f t="shared" si="0"/>
        <v>-1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8">
        <v>11</v>
      </c>
      <c r="B18" s="409">
        <v>678</v>
      </c>
      <c r="C18" s="409"/>
      <c r="D18" s="409"/>
      <c r="E18" s="409"/>
      <c r="F18" s="307">
        <f t="shared" si="0"/>
        <v>-678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8">
        <v>13</v>
      </c>
      <c r="B20" s="409"/>
      <c r="C20" s="409"/>
      <c r="D20" s="409"/>
      <c r="E20" s="409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8"/>
      <c r="B39" s="409">
        <f>SUM(B8:B38)</f>
        <v>704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23760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29"/>
      <c r="B40" s="285"/>
      <c r="C40" s="430"/>
      <c r="D40" s="430"/>
      <c r="E40" s="430"/>
      <c r="F40" s="431">
        <f>+summary!G4</f>
        <v>2.5299999999999998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2">
        <f>+F40*F39</f>
        <v>60112.799999999996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37327</v>
      </c>
      <c r="B43" s="285"/>
      <c r="C43" s="434"/>
      <c r="D43" s="434"/>
      <c r="E43" s="434"/>
      <c r="F43" s="415">
        <f>+F42+F41</f>
        <v>238469.22999999998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4">
        <v>-355979</v>
      </c>
      <c r="E47" s="11"/>
    </row>
    <row r="48" spans="1:26" x14ac:dyDescent="0.2">
      <c r="A48" s="49">
        <f>+A43</f>
        <v>37327</v>
      </c>
      <c r="B48" s="32"/>
      <c r="C48" s="32"/>
      <c r="D48" s="348">
        <f>+F39</f>
        <v>23760</v>
      </c>
      <c r="E48" s="11"/>
    </row>
    <row r="49" spans="1:5" x14ac:dyDescent="0.2">
      <c r="A49" s="32"/>
      <c r="B49" s="32"/>
      <c r="C49" s="32"/>
      <c r="D49" s="14">
        <f>+D48+D47</f>
        <v>-332219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9" workbookViewId="0">
      <selection activeCell="D33" sqref="D33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-603163</v>
      </c>
      <c r="C6" s="80"/>
      <c r="D6" s="80">
        <f t="shared" ref="D6:D14" si="0">+C6-B6</f>
        <v>603163</v>
      </c>
    </row>
    <row r="7" spans="1:4" x14ac:dyDescent="0.2">
      <c r="A7" s="32">
        <v>3531</v>
      </c>
      <c r="B7" s="309">
        <v>-360456</v>
      </c>
      <c r="C7" s="80">
        <v>-124630</v>
      </c>
      <c r="D7" s="80">
        <f t="shared" si="0"/>
        <v>235826</v>
      </c>
    </row>
    <row r="8" spans="1:4" x14ac:dyDescent="0.2">
      <c r="A8" s="32">
        <v>60667</v>
      </c>
      <c r="B8" s="309">
        <v>-191052</v>
      </c>
      <c r="C8" s="80">
        <v>-1168781</v>
      </c>
      <c r="D8" s="80">
        <f t="shared" si="0"/>
        <v>-977729</v>
      </c>
    </row>
    <row r="9" spans="1:4" x14ac:dyDescent="0.2">
      <c r="A9" s="32">
        <v>60749</v>
      </c>
      <c r="B9" s="309">
        <v>9058</v>
      </c>
      <c r="C9" s="80">
        <v>145315</v>
      </c>
      <c r="D9" s="80">
        <f t="shared" si="0"/>
        <v>136257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-11462</v>
      </c>
      <c r="C11" s="80"/>
      <c r="D11" s="80">
        <f t="shared" si="0"/>
        <v>11462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8979</v>
      </c>
    </row>
    <row r="19" spans="1:5" x14ac:dyDescent="0.2">
      <c r="A19" s="32" t="s">
        <v>81</v>
      </c>
      <c r="B19" s="69"/>
      <c r="C19" s="69"/>
      <c r="D19" s="73">
        <f>+summary!G4</f>
        <v>2.5299999999999998</v>
      </c>
    </row>
    <row r="20" spans="1:5" x14ac:dyDescent="0.2">
      <c r="B20" s="69"/>
      <c r="C20" s="69"/>
      <c r="D20" s="75">
        <f>+D19*D18</f>
        <v>22716.87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1515.91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37326</v>
      </c>
      <c r="B24" s="69"/>
      <c r="C24" s="69"/>
      <c r="D24" s="331">
        <f>+D22+D20</f>
        <v>24232.78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90</v>
      </c>
    </row>
    <row r="33" spans="1:4" x14ac:dyDescent="0.2">
      <c r="A33" s="49">
        <f>+A24</f>
        <v>37326</v>
      </c>
      <c r="D33" s="348">
        <f>+D18</f>
        <v>8979</v>
      </c>
    </row>
    <row r="34" spans="1:4" x14ac:dyDescent="0.2">
      <c r="D34" s="14">
        <f>+D33+D32</f>
        <v>9069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workbookViewId="0">
      <selection activeCell="B10" sqref="B10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3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v>-64293</v>
      </c>
      <c r="C5" s="90">
        <v>-58464</v>
      </c>
      <c r="D5" s="90">
        <f t="shared" ref="D5:D13" si="0">+C5-B5</f>
        <v>5829</v>
      </c>
      <c r="E5" s="69"/>
      <c r="F5" s="201"/>
    </row>
    <row r="6" spans="1:11" x14ac:dyDescent="0.2">
      <c r="A6" s="87">
        <v>9238</v>
      </c>
      <c r="B6" s="90">
        <v>-4288</v>
      </c>
      <c r="C6" s="90">
        <v>-12000</v>
      </c>
      <c r="D6" s="90">
        <f t="shared" si="0"/>
        <v>-7712</v>
      </c>
      <c r="E6" s="275"/>
      <c r="F6" s="201"/>
      <c r="K6" s="65"/>
    </row>
    <row r="7" spans="1:11" x14ac:dyDescent="0.2">
      <c r="A7" s="87">
        <v>56422</v>
      </c>
      <c r="B7" s="90">
        <v>-965690</v>
      </c>
      <c r="C7" s="90">
        <v>-984194</v>
      </c>
      <c r="D7" s="90">
        <f t="shared" si="0"/>
        <v>-18504</v>
      </c>
      <c r="E7" s="275"/>
      <c r="F7" s="201"/>
    </row>
    <row r="8" spans="1:11" x14ac:dyDescent="0.2">
      <c r="A8" s="87">
        <v>58710</v>
      </c>
      <c r="B8" s="90"/>
      <c r="C8" s="90">
        <v>-816</v>
      </c>
      <c r="D8" s="90">
        <f t="shared" si="0"/>
        <v>-816</v>
      </c>
      <c r="E8" s="275"/>
      <c r="F8" s="201"/>
    </row>
    <row r="9" spans="1:11" x14ac:dyDescent="0.2">
      <c r="A9" s="87">
        <v>60921</v>
      </c>
      <c r="B9" s="90">
        <v>-363139</v>
      </c>
      <c r="C9" s="90">
        <v>-416431</v>
      </c>
      <c r="D9" s="90">
        <f t="shared" si="0"/>
        <v>-53292</v>
      </c>
      <c r="E9" s="275"/>
      <c r="F9" s="201"/>
    </row>
    <row r="10" spans="1:11" x14ac:dyDescent="0.2">
      <c r="A10" s="87">
        <v>78026</v>
      </c>
      <c r="B10" s="90"/>
      <c r="C10" s="90"/>
      <c r="D10" s="90">
        <f t="shared" si="0"/>
        <v>0</v>
      </c>
      <c r="E10" s="275"/>
      <c r="F10" s="464"/>
    </row>
    <row r="11" spans="1:11" x14ac:dyDescent="0.2">
      <c r="A11" s="87">
        <v>500084</v>
      </c>
      <c r="B11" s="90">
        <v>-27757</v>
      </c>
      <c r="C11" s="90">
        <v>-12000</v>
      </c>
      <c r="D11" s="90">
        <f t="shared" si="0"/>
        <v>15757</v>
      </c>
      <c r="E11" s="276"/>
      <c r="F11" s="464"/>
    </row>
    <row r="12" spans="1:11" x14ac:dyDescent="0.2">
      <c r="A12" s="317">
        <v>500085</v>
      </c>
      <c r="B12" s="90">
        <v>-3</v>
      </c>
      <c r="C12" s="90"/>
      <c r="D12" s="90">
        <f t="shared" si="0"/>
        <v>3</v>
      </c>
      <c r="E12" s="275"/>
      <c r="F12" s="464"/>
    </row>
    <row r="13" spans="1:11" x14ac:dyDescent="0.2">
      <c r="A13" s="87">
        <v>500097</v>
      </c>
      <c r="B13" s="90">
        <v>-12112</v>
      </c>
      <c r="C13" s="90">
        <v>-12000</v>
      </c>
      <c r="D13" s="90">
        <f t="shared" si="0"/>
        <v>112</v>
      </c>
      <c r="E13" s="275"/>
      <c r="F13" s="464"/>
    </row>
    <row r="14" spans="1:11" x14ac:dyDescent="0.2">
      <c r="A14" s="87"/>
      <c r="B14" s="90"/>
      <c r="C14" s="90"/>
      <c r="D14" s="90"/>
      <c r="E14" s="275"/>
      <c r="F14" s="464"/>
    </row>
    <row r="15" spans="1:11" x14ac:dyDescent="0.2">
      <c r="A15" s="87"/>
      <c r="B15" s="90"/>
      <c r="C15" s="90"/>
      <c r="D15" s="90"/>
      <c r="E15" s="275"/>
      <c r="F15" s="464"/>
    </row>
    <row r="16" spans="1:11" x14ac:dyDescent="0.2">
      <c r="A16" s="87"/>
      <c r="B16" s="88"/>
      <c r="C16" s="88"/>
      <c r="D16" s="94"/>
      <c r="E16" s="275"/>
      <c r="F16" s="464"/>
    </row>
    <row r="17" spans="1:7" x14ac:dyDescent="0.2">
      <c r="A17" s="87"/>
      <c r="B17" s="88"/>
      <c r="C17" s="88"/>
      <c r="D17" s="88">
        <f>SUM(D5:D16)</f>
        <v>-58623</v>
      </c>
      <c r="E17" s="275"/>
      <c r="F17" s="464"/>
    </row>
    <row r="18" spans="1:7" x14ac:dyDescent="0.2">
      <c r="A18" s="87" t="s">
        <v>81</v>
      </c>
      <c r="B18" s="88"/>
      <c r="C18" s="88"/>
      <c r="D18" s="95">
        <f>+summary!G4</f>
        <v>2.5299999999999998</v>
      </c>
      <c r="E18" s="277"/>
      <c r="F18" s="464"/>
    </row>
    <row r="19" spans="1:7" x14ac:dyDescent="0.2">
      <c r="A19" s="87"/>
      <c r="B19" s="88"/>
      <c r="C19" s="88"/>
      <c r="D19" s="96">
        <f>+D18*D17</f>
        <v>-148316.19</v>
      </c>
      <c r="E19" s="207"/>
      <c r="F19" s="464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">
      <c r="A22" s="87"/>
      <c r="B22" s="88"/>
      <c r="C22" s="88"/>
      <c r="D22" s="308"/>
      <c r="E22" s="207"/>
      <c r="F22" s="465"/>
    </row>
    <row r="23" spans="1:7" ht="13.5" thickBot="1" x14ac:dyDescent="0.25">
      <c r="A23" s="99">
        <v>37327</v>
      </c>
      <c r="B23" s="88"/>
      <c r="C23" s="88"/>
      <c r="D23" s="318">
        <f>+D21+D19</f>
        <v>718298.16999999993</v>
      </c>
      <c r="E23" s="207"/>
      <c r="F23" s="465"/>
    </row>
    <row r="24" spans="1:7" ht="13.5" thickTop="1" x14ac:dyDescent="0.2">
      <c r="E24" s="278"/>
    </row>
    <row r="25" spans="1:7" x14ac:dyDescent="0.2">
      <c r="E25" s="496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598">
        <v>355045</v>
      </c>
    </row>
    <row r="29" spans="1:7" x14ac:dyDescent="0.2">
      <c r="A29" s="49">
        <f>+A23</f>
        <v>37327</v>
      </c>
      <c r="B29" s="32"/>
      <c r="C29" s="32"/>
      <c r="D29" s="348">
        <f>+D17</f>
        <v>-58623</v>
      </c>
    </row>
    <row r="30" spans="1:7" x14ac:dyDescent="0.2">
      <c r="A30" s="32"/>
      <c r="B30" s="32"/>
      <c r="C30" s="32"/>
      <c r="D30" s="14">
        <f>+D29+D28</f>
        <v>296422</v>
      </c>
      <c r="E30" s="343"/>
    </row>
    <row r="31" spans="1:7" x14ac:dyDescent="0.2">
      <c r="A31" s="139"/>
      <c r="B31" s="119"/>
      <c r="C31" s="140"/>
      <c r="D31" s="51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2.4232282691568101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4"/>
      <c r="G44" s="204"/>
    </row>
    <row r="45" spans="1:7" x14ac:dyDescent="0.2">
      <c r="B45" s="69"/>
      <c r="C45" s="69"/>
      <c r="D45" s="292"/>
      <c r="E45" s="275"/>
      <c r="F45" s="464"/>
      <c r="G45" s="204"/>
    </row>
    <row r="46" spans="1:7" x14ac:dyDescent="0.2">
      <c r="A46" s="32"/>
      <c r="B46" s="69"/>
      <c r="C46" s="69"/>
      <c r="D46" s="275"/>
      <c r="E46" s="275"/>
      <c r="F46" s="464"/>
      <c r="G46" s="204"/>
    </row>
    <row r="47" spans="1:7" x14ac:dyDescent="0.2">
      <c r="A47" s="32"/>
      <c r="B47" s="69"/>
      <c r="C47" s="69"/>
      <c r="D47" s="277"/>
      <c r="E47" s="277"/>
      <c r="F47" s="464"/>
      <c r="G47" s="204"/>
    </row>
    <row r="48" spans="1:7" x14ac:dyDescent="0.2">
      <c r="B48" s="69"/>
      <c r="C48" s="69"/>
      <c r="D48" s="275"/>
      <c r="E48" s="275"/>
      <c r="F48" s="464"/>
      <c r="G48" s="204"/>
    </row>
    <row r="49" spans="1:7" x14ac:dyDescent="0.2">
      <c r="B49" s="69"/>
      <c r="C49" s="69"/>
      <c r="D49" s="275"/>
      <c r="E49" s="275"/>
      <c r="F49" s="464"/>
      <c r="G49" s="204"/>
    </row>
    <row r="50" spans="1:7" x14ac:dyDescent="0.2">
      <c r="C50" s="289"/>
      <c r="D50" s="289"/>
      <c r="E50" s="289"/>
      <c r="F50" s="466"/>
      <c r="G50" s="290"/>
    </row>
    <row r="51" spans="1:7" x14ac:dyDescent="0.2">
      <c r="A51" s="32"/>
      <c r="C51" s="289"/>
      <c r="D51" s="289"/>
      <c r="E51" s="289"/>
      <c r="F51" s="466"/>
    </row>
    <row r="52" spans="1:7" x14ac:dyDescent="0.2">
      <c r="A52" s="32"/>
      <c r="C52" s="289"/>
      <c r="D52" s="289"/>
      <c r="E52" s="289"/>
      <c r="F52" s="466"/>
    </row>
    <row r="53" spans="1:7" x14ac:dyDescent="0.2">
      <c r="A53" s="32"/>
      <c r="C53" s="289"/>
      <c r="D53" s="289"/>
      <c r="E53" s="289"/>
      <c r="F53" s="466"/>
    </row>
    <row r="54" spans="1:7" x14ac:dyDescent="0.2">
      <c r="A54" s="32"/>
      <c r="C54" s="289"/>
      <c r="D54" s="289"/>
      <c r="E54" s="289"/>
      <c r="F54" s="466"/>
    </row>
    <row r="55" spans="1:7" x14ac:dyDescent="0.2">
      <c r="A55" s="32"/>
      <c r="C55" s="289"/>
      <c r="D55" s="289"/>
      <c r="E55" s="278"/>
      <c r="F55" s="420"/>
    </row>
    <row r="56" spans="1:7" x14ac:dyDescent="0.2">
      <c r="C56" s="289"/>
      <c r="D56" s="289"/>
      <c r="E56" s="278"/>
      <c r="F56" s="420"/>
    </row>
    <row r="57" spans="1:7" x14ac:dyDescent="0.2">
      <c r="C57" s="289"/>
      <c r="D57" s="289"/>
      <c r="E57" s="278"/>
      <c r="F57" s="42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7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5"/>
    </row>
    <row r="101" spans="1:6" x14ac:dyDescent="0.2">
      <c r="A101" s="32"/>
      <c r="E101" s="63"/>
      <c r="F101" s="465"/>
    </row>
    <row r="102" spans="1:6" ht="13.5" thickBot="1" x14ac:dyDescent="0.25">
      <c r="A102" s="32"/>
      <c r="D102" s="68"/>
      <c r="E102" s="68"/>
      <c r="F102" s="465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7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5"/>
    </row>
    <row r="127" spans="1:6" x14ac:dyDescent="0.2">
      <c r="A127" s="32"/>
      <c r="D127" s="75"/>
      <c r="E127" s="75"/>
      <c r="F127" s="465"/>
    </row>
    <row r="128" spans="1:6" ht="13.5" thickBot="1" x14ac:dyDescent="0.25">
      <c r="A128" s="32"/>
      <c r="D128" s="77"/>
      <c r="E128" s="77"/>
      <c r="F128" s="465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7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5"/>
    </row>
    <row r="152" spans="1:6" x14ac:dyDescent="0.2">
      <c r="A152" s="32"/>
      <c r="D152" s="75"/>
      <c r="E152" s="75"/>
      <c r="F152" s="465"/>
    </row>
    <row r="153" spans="1:6" ht="13.5" thickBot="1" x14ac:dyDescent="0.25">
      <c r="A153" s="32"/>
      <c r="D153" s="77"/>
      <c r="E153" s="77"/>
      <c r="F153" s="465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7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5"/>
    </row>
    <row r="177" spans="1:6" x14ac:dyDescent="0.2">
      <c r="A177" s="32"/>
      <c r="D177" s="75"/>
      <c r="E177" s="75"/>
      <c r="F177" s="465"/>
    </row>
    <row r="178" spans="1:6" ht="13.5" thickBot="1" x14ac:dyDescent="0.25">
      <c r="A178" s="32"/>
      <c r="D178" s="77"/>
      <c r="E178" s="77"/>
      <c r="F178" s="465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7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5"/>
    </row>
    <row r="201" spans="1:6" x14ac:dyDescent="0.2">
      <c r="A201" s="32"/>
      <c r="D201" s="75"/>
      <c r="E201" s="75"/>
      <c r="F201" s="465"/>
    </row>
    <row r="202" spans="1:6" ht="13.5" thickBot="1" x14ac:dyDescent="0.25">
      <c r="A202" s="32"/>
      <c r="D202" s="83"/>
      <c r="E202" s="77"/>
      <c r="F202" s="465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7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5"/>
    </row>
    <row r="227" spans="1:6" x14ac:dyDescent="0.2">
      <c r="A227" s="32"/>
      <c r="D227" s="75"/>
      <c r="E227" s="75"/>
      <c r="F227" s="465"/>
    </row>
    <row r="228" spans="1:6" ht="13.5" thickBot="1" x14ac:dyDescent="0.25">
      <c r="A228" s="32"/>
      <c r="D228" s="83"/>
      <c r="E228" s="77"/>
      <c r="F228" s="465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7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5"/>
    </row>
    <row r="251" spans="1:6" x14ac:dyDescent="0.2">
      <c r="A251" s="32"/>
      <c r="D251" s="75"/>
      <c r="E251" s="75"/>
      <c r="F251" s="465"/>
    </row>
    <row r="252" spans="1:6" ht="13.5" thickBot="1" x14ac:dyDescent="0.25">
      <c r="A252" s="32"/>
      <c r="D252" s="86"/>
      <c r="E252" s="77"/>
      <c r="F252" s="465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7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5"/>
    </row>
    <row r="275" spans="1:6" x14ac:dyDescent="0.2">
      <c r="A275" s="87"/>
      <c r="B275" s="88"/>
      <c r="C275" s="88"/>
      <c r="D275" s="96"/>
      <c r="E275" s="75"/>
      <c r="F275" s="465"/>
    </row>
    <row r="276" spans="1:6" ht="13.5" thickBot="1" x14ac:dyDescent="0.25">
      <c r="A276" s="87"/>
      <c r="B276" s="88"/>
      <c r="C276" s="88"/>
      <c r="D276" s="98"/>
      <c r="E276" s="77"/>
      <c r="F276" s="465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7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5"/>
    </row>
    <row r="300" spans="1:6" x14ac:dyDescent="0.2">
      <c r="A300" s="87"/>
      <c r="B300" s="88"/>
      <c r="C300" s="88"/>
      <c r="D300" s="96"/>
      <c r="E300" s="75"/>
      <c r="F300" s="465"/>
    </row>
    <row r="301" spans="1:6" ht="13.5" thickBot="1" x14ac:dyDescent="0.25">
      <c r="A301" s="87"/>
      <c r="B301" s="88"/>
      <c r="C301" s="88"/>
      <c r="D301" s="98"/>
      <c r="E301" s="77"/>
      <c r="F301" s="465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7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5"/>
    </row>
    <row r="327" spans="1:6" x14ac:dyDescent="0.2">
      <c r="A327" s="87"/>
      <c r="B327" s="88"/>
      <c r="C327" s="88"/>
      <c r="D327" s="96"/>
      <c r="E327" s="75"/>
      <c r="F327" s="465"/>
    </row>
    <row r="328" spans="1:6" ht="13.5" thickBot="1" x14ac:dyDescent="0.25">
      <c r="A328" s="87"/>
      <c r="B328" s="88"/>
      <c r="C328" s="88"/>
      <c r="D328" s="98"/>
      <c r="E328" s="77"/>
      <c r="F328" s="465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C38" sqref="C3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>
        <v>20050</v>
      </c>
      <c r="C7" s="90">
        <v>19611</v>
      </c>
      <c r="D7" s="90">
        <v>-381</v>
      </c>
      <c r="E7" s="90">
        <v>-21181</v>
      </c>
      <c r="F7" s="90">
        <v>27352</v>
      </c>
      <c r="G7" s="90">
        <v>27482</v>
      </c>
      <c r="H7" s="90">
        <f t="shared" si="0"/>
        <v>-21109</v>
      </c>
    </row>
    <row r="8" spans="1:26" x14ac:dyDescent="0.2">
      <c r="A8">
        <v>6</v>
      </c>
      <c r="B8" s="90">
        <v>26429</v>
      </c>
      <c r="C8" s="90">
        <v>23911</v>
      </c>
      <c r="D8" s="90">
        <v>-42793</v>
      </c>
      <c r="E8" s="90">
        <v>-41764</v>
      </c>
      <c r="F8" s="90">
        <v>27354</v>
      </c>
      <c r="G8" s="90">
        <v>27482</v>
      </c>
      <c r="H8" s="90">
        <f t="shared" si="0"/>
        <v>-1361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20665</v>
      </c>
      <c r="C9" s="90">
        <v>20611</v>
      </c>
      <c r="D9" s="90">
        <v>-57780</v>
      </c>
      <c r="E9" s="90">
        <v>-58347</v>
      </c>
      <c r="F9" s="90">
        <v>27331</v>
      </c>
      <c r="G9" s="90">
        <v>27482</v>
      </c>
      <c r="H9" s="90">
        <f t="shared" si="0"/>
        <v>-470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">
      <c r="A10">
        <v>8</v>
      </c>
      <c r="B10" s="90">
        <v>24643</v>
      </c>
      <c r="C10" s="90">
        <v>24611</v>
      </c>
      <c r="D10" s="90">
        <v>-64422</v>
      </c>
      <c r="E10" s="90">
        <v>-61514</v>
      </c>
      <c r="F10" s="90">
        <v>25361</v>
      </c>
      <c r="G10" s="90">
        <v>27482</v>
      </c>
      <c r="H10" s="90">
        <f t="shared" si="0"/>
        <v>4997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">
      <c r="A11">
        <v>9</v>
      </c>
      <c r="B11" s="90">
        <v>30250</v>
      </c>
      <c r="C11" s="90">
        <v>30611</v>
      </c>
      <c r="D11" s="90">
        <v>-14801</v>
      </c>
      <c r="E11" s="90">
        <v>-15514</v>
      </c>
      <c r="F11" s="90">
        <v>19818</v>
      </c>
      <c r="G11" s="90">
        <v>15654</v>
      </c>
      <c r="H11" s="90">
        <f t="shared" si="0"/>
        <v>-4516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">
      <c r="A12">
        <v>10</v>
      </c>
      <c r="B12" s="90">
        <v>30614</v>
      </c>
      <c r="C12" s="90">
        <v>30611</v>
      </c>
      <c r="D12" s="90">
        <v>-16689</v>
      </c>
      <c r="E12" s="90">
        <v>-15514</v>
      </c>
      <c r="F12" s="90">
        <v>19928</v>
      </c>
      <c r="G12" s="90">
        <v>15560</v>
      </c>
      <c r="H12" s="90">
        <f t="shared" si="0"/>
        <v>-3196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">
      <c r="A13">
        <v>11</v>
      </c>
      <c r="B13" s="90">
        <v>21184</v>
      </c>
      <c r="C13" s="90">
        <v>30611</v>
      </c>
      <c r="D13" s="90">
        <v>-15652</v>
      </c>
      <c r="E13" s="90">
        <v>-15514</v>
      </c>
      <c r="F13" s="90">
        <v>24670</v>
      </c>
      <c r="G13" s="90">
        <v>16294</v>
      </c>
      <c r="H13" s="90">
        <f t="shared" si="0"/>
        <v>1189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">
      <c r="A14">
        <v>12</v>
      </c>
      <c r="B14" s="88">
        <v>32868</v>
      </c>
      <c r="C14" s="90">
        <v>42611</v>
      </c>
      <c r="D14" s="88">
        <v>-26653</v>
      </c>
      <c r="E14" s="88">
        <v>-26514</v>
      </c>
      <c r="F14" s="88">
        <v>21374</v>
      </c>
      <c r="G14" s="88">
        <v>15844</v>
      </c>
      <c r="H14" s="90">
        <f t="shared" si="0"/>
        <v>4352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I18">
        <v>127244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I19">
        <v>8222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I20">
        <f>+I19+I18</f>
        <v>135466</v>
      </c>
      <c r="J20">
        <f>+I20-106762</f>
        <v>28704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I22">
        <v>96781</v>
      </c>
      <c r="J22">
        <v>23852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I23">
        <v>38685</v>
      </c>
      <c r="J23">
        <v>4050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I24">
        <f>+I23+I22</f>
        <v>135466</v>
      </c>
      <c r="J24">
        <f>+J23+J22</f>
        <v>27902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J25">
        <f>+J24-J20</f>
        <v>-802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353266</v>
      </c>
      <c r="C34" s="287">
        <f t="shared" si="2"/>
        <v>369632</v>
      </c>
      <c r="D34" s="14">
        <f t="shared" si="2"/>
        <v>-301737</v>
      </c>
      <c r="E34" s="14">
        <f t="shared" si="2"/>
        <v>-320476</v>
      </c>
      <c r="F34" s="14">
        <f t="shared" si="2"/>
        <v>302545</v>
      </c>
      <c r="G34" s="14">
        <f t="shared" si="2"/>
        <v>283208</v>
      </c>
      <c r="H34" s="14">
        <f t="shared" si="2"/>
        <v>-21710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70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67">
        <f>-106762+8222+127244</f>
        <v>28704</v>
      </c>
      <c r="O37" s="259"/>
      <c r="P37" s="259"/>
      <c r="Q37" s="259"/>
      <c r="V37" s="259"/>
      <c r="W37" s="259"/>
    </row>
    <row r="38" spans="1:23" x14ac:dyDescent="0.2">
      <c r="A38" s="539">
        <v>37327</v>
      </c>
      <c r="B38" s="14"/>
      <c r="C38" s="14"/>
      <c r="D38" s="14"/>
      <c r="E38" s="14"/>
      <c r="F38" s="14"/>
      <c r="G38" s="14"/>
      <c r="H38" s="150">
        <f>+H37+H34</f>
        <v>6994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3"/>
      <c r="O40" s="259"/>
      <c r="P40" s="259"/>
      <c r="Q40" s="259"/>
    </row>
    <row r="41" spans="1:23" x14ac:dyDescent="0.2">
      <c r="H41" s="290"/>
      <c r="K41" s="343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65">
        <v>146195</v>
      </c>
      <c r="F43" s="483">
        <v>338741</v>
      </c>
      <c r="H43" s="290">
        <v>121117</v>
      </c>
      <c r="I43" s="31"/>
      <c r="K43" s="343"/>
      <c r="O43" s="259"/>
      <c r="P43" s="259"/>
      <c r="Q43" s="259"/>
    </row>
    <row r="44" spans="1:23" x14ac:dyDescent="0.2">
      <c r="A44" s="49">
        <f>+A38</f>
        <v>37327</v>
      </c>
      <c r="B44" s="32"/>
      <c r="C44" s="32"/>
      <c r="D44" s="373">
        <f>+H34*'by type_area'!G4</f>
        <v>-54926.299999999996</v>
      </c>
      <c r="F44" s="373">
        <f>+J34*'by type_area'!I4</f>
        <v>0</v>
      </c>
      <c r="H44" s="290">
        <v>64404</v>
      </c>
      <c r="K44" s="343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91268.700000000012</v>
      </c>
      <c r="F45" s="200">
        <f>+F44+F43</f>
        <v>338741</v>
      </c>
      <c r="H45" s="290">
        <f>+H44+H43</f>
        <v>185521</v>
      </c>
      <c r="K45" s="495"/>
      <c r="O45" s="259"/>
      <c r="P45" s="259"/>
      <c r="Q45" s="259"/>
    </row>
    <row r="46" spans="1:23" x14ac:dyDescent="0.2">
      <c r="H46" s="290"/>
      <c r="K46" s="343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C39" sqref="C39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">
      <c r="A14" s="10">
        <v>11</v>
      </c>
      <c r="B14" s="11">
        <v>-20118</v>
      </c>
      <c r="C14" s="11">
        <v>-19960</v>
      </c>
      <c r="D14" s="25">
        <f t="shared" si="0"/>
        <v>158</v>
      </c>
    </row>
    <row r="15" spans="1:4" x14ac:dyDescent="0.2">
      <c r="A15" s="10">
        <v>12</v>
      </c>
      <c r="B15" s="11">
        <v>-20505</v>
      </c>
      <c r="C15" s="11">
        <v>-19960</v>
      </c>
      <c r="D15" s="25">
        <f t="shared" si="0"/>
        <v>545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-240440</v>
      </c>
      <c r="C35" s="11">
        <f>SUM(C4:C34)</f>
        <v>-238914</v>
      </c>
      <c r="D35" s="11">
        <f>SUM(D4:D34)</f>
        <v>1526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6">
        <v>0</v>
      </c>
    </row>
    <row r="39" spans="1:4" x14ac:dyDescent="0.2">
      <c r="A39" s="2"/>
      <c r="D39" s="24"/>
    </row>
    <row r="40" spans="1:4" x14ac:dyDescent="0.2">
      <c r="A40" s="57">
        <v>37327</v>
      </c>
      <c r="D40" s="51">
        <f>+D38+D35</f>
        <v>1526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5">
        <v>0</v>
      </c>
    </row>
    <row r="46" spans="1:4" x14ac:dyDescent="0.2">
      <c r="A46" s="49">
        <f>+A40</f>
        <v>37327</v>
      </c>
      <c r="B46" s="32"/>
      <c r="C46" s="32"/>
      <c r="D46" s="373">
        <f>+D35*'by type_area'!G4</f>
        <v>3860.7799999999997</v>
      </c>
    </row>
    <row r="47" spans="1:4" x14ac:dyDescent="0.2">
      <c r="A47" s="32"/>
      <c r="B47" s="32"/>
      <c r="C47" s="32"/>
      <c r="D47" s="200">
        <f>+D46+D45</f>
        <v>3860.7799999999997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3" workbookViewId="0">
      <selection activeCell="A41" sqref="A41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10327</v>
      </c>
      <c r="C13" s="11">
        <v>9807</v>
      </c>
      <c r="D13" s="11">
        <v>8059</v>
      </c>
      <c r="E13" s="11">
        <v>6276</v>
      </c>
      <c r="F13" s="11"/>
      <c r="G13" s="11"/>
      <c r="H13" s="11"/>
      <c r="I13" s="11"/>
      <c r="J13" s="11">
        <f t="shared" si="0"/>
        <v>-2303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11515</v>
      </c>
      <c r="C14" s="11">
        <v>10000</v>
      </c>
      <c r="D14" s="11">
        <v>8010</v>
      </c>
      <c r="E14" s="11">
        <v>6400</v>
      </c>
      <c r="F14" s="11"/>
      <c r="G14" s="11"/>
      <c r="H14" s="11"/>
      <c r="I14" s="11"/>
      <c r="J14" s="11">
        <f t="shared" si="0"/>
        <v>-3125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11426</v>
      </c>
      <c r="C15" s="11">
        <v>10000</v>
      </c>
      <c r="D15" s="11">
        <v>7166</v>
      </c>
      <c r="E15" s="11">
        <v>6400</v>
      </c>
      <c r="F15" s="11"/>
      <c r="G15" s="11"/>
      <c r="H15" s="11">
        <v>131</v>
      </c>
      <c r="I15" s="11"/>
      <c r="J15" s="11">
        <f t="shared" si="0"/>
        <v>-2323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11356</v>
      </c>
      <c r="C16" s="11">
        <v>10000</v>
      </c>
      <c r="D16" s="11">
        <v>7131</v>
      </c>
      <c r="E16" s="11">
        <v>6400</v>
      </c>
      <c r="F16" s="11"/>
      <c r="G16" s="11"/>
      <c r="H16" s="11"/>
      <c r="I16" s="11"/>
      <c r="J16" s="11">
        <f t="shared" si="0"/>
        <v>-2087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142642</v>
      </c>
      <c r="C35" s="11">
        <f t="shared" ref="C35:I35" si="1">SUM(C4:C34)</f>
        <v>128523</v>
      </c>
      <c r="D35" s="11">
        <f t="shared" si="1"/>
        <v>100071</v>
      </c>
      <c r="E35" s="11">
        <f t="shared" si="1"/>
        <v>82254</v>
      </c>
      <c r="F35" s="11">
        <f t="shared" si="1"/>
        <v>0</v>
      </c>
      <c r="G35" s="11">
        <f t="shared" si="1"/>
        <v>0</v>
      </c>
      <c r="H35" s="11">
        <f t="shared" si="1"/>
        <v>402</v>
      </c>
      <c r="I35" s="11">
        <f t="shared" si="1"/>
        <v>0</v>
      </c>
      <c r="J35" s="11">
        <f>SUM(J4:J34)</f>
        <v>-32338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2.5299999999999998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-81815.14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597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37328</v>
      </c>
      <c r="J41" s="319">
        <f>+J39+J37</f>
        <v>-49228.21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598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37328</v>
      </c>
      <c r="B47" s="32"/>
      <c r="C47" s="32"/>
      <c r="D47" s="348">
        <f>+J35</f>
        <v>-32338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-144484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E52" sqref="E5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302</v>
      </c>
      <c r="H4" s="14" t="s">
        <v>301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300</v>
      </c>
      <c r="I5" s="14" t="s">
        <v>303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-9758</v>
      </c>
      <c r="E8" s="24">
        <v>-35347</v>
      </c>
      <c r="F8" s="24">
        <f t="shared" si="0"/>
        <v>-25589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-58947</v>
      </c>
      <c r="E9" s="24">
        <v>-60347</v>
      </c>
      <c r="F9" s="24">
        <f t="shared" si="0"/>
        <v>-1400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v>-28863</v>
      </c>
      <c r="E10" s="24">
        <v>-28772</v>
      </c>
      <c r="F10" s="24">
        <f t="shared" si="0"/>
        <v>91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-29205</v>
      </c>
      <c r="E11" s="24">
        <v>-26372</v>
      </c>
      <c r="F11" s="24">
        <f t="shared" si="0"/>
        <v>2833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v>-18503</v>
      </c>
      <c r="E12" s="24">
        <v>-19972</v>
      </c>
      <c r="F12" s="24">
        <f t="shared" si="0"/>
        <v>-1469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-18634</v>
      </c>
      <c r="E13" s="24">
        <v>-20078</v>
      </c>
      <c r="F13" s="24">
        <f t="shared" si="0"/>
        <v>-1444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-13094</v>
      </c>
      <c r="E14" s="24">
        <v>-22063</v>
      </c>
      <c r="F14" s="24">
        <f t="shared" si="0"/>
        <v>-8969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-19706</v>
      </c>
      <c r="E15" s="24">
        <v>-22063</v>
      </c>
      <c r="F15" s="24">
        <f t="shared" si="0"/>
        <v>-2357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-27474</v>
      </c>
      <c r="E16" s="24">
        <v>-28435</v>
      </c>
      <c r="F16" s="24">
        <f t="shared" si="0"/>
        <v>-961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-29403</v>
      </c>
      <c r="E17" s="24">
        <v>-30772</v>
      </c>
      <c r="F17" s="24">
        <f t="shared" si="0"/>
        <v>-1369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-309606</v>
      </c>
      <c r="E37" s="24">
        <f>SUM(E6:E36)</f>
        <v>-344540</v>
      </c>
      <c r="F37" s="24">
        <f>SUM(F6:F36)</f>
        <v>-34934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2.5299999999999998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-88383.01999999999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315184.86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37327</v>
      </c>
      <c r="E41" s="14"/>
      <c r="F41" s="104">
        <f>+F40+F39</f>
        <v>226801.84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37327</v>
      </c>
      <c r="B47" s="32"/>
      <c r="C47" s="32"/>
      <c r="D47" s="348">
        <f>+F37</f>
        <v>-34934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-78710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F52" sqref="F52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">
      <c r="A40" s="26"/>
      <c r="C40" s="14"/>
      <c r="F40" s="253">
        <f>+summary!G4</f>
        <v>2.5299999999999998</v>
      </c>
    </row>
    <row r="41" spans="1:6" x14ac:dyDescent="0.2">
      <c r="F41" s="138">
        <f>+F40*F39</f>
        <v>2054.3599999999997</v>
      </c>
    </row>
    <row r="42" spans="1:6" x14ac:dyDescent="0.2">
      <c r="A42" s="57">
        <v>37315</v>
      </c>
      <c r="C42" s="15"/>
      <c r="F42" s="612">
        <v>57421.18</v>
      </c>
    </row>
    <row r="43" spans="1:6" x14ac:dyDescent="0.2">
      <c r="A43" s="57">
        <v>37327</v>
      </c>
      <c r="C43" s="48"/>
      <c r="F43" s="138">
        <f>+F42+F41</f>
        <v>59475.54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607">
        <v>7844</v>
      </c>
    </row>
    <row r="49" spans="1:4" x14ac:dyDescent="0.2">
      <c r="A49" s="49">
        <f>+A43</f>
        <v>37327</v>
      </c>
      <c r="B49" s="32"/>
      <c r="C49" s="32"/>
      <c r="D49" s="348">
        <f>+F39</f>
        <v>812</v>
      </c>
    </row>
    <row r="50" spans="1:4" x14ac:dyDescent="0.2">
      <c r="A50" s="32"/>
      <c r="B50" s="32"/>
      <c r="C50" s="32"/>
      <c r="D50" s="14">
        <f>+D49+D48</f>
        <v>8656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8"/>
    </row>
    <row r="41" spans="1:4" x14ac:dyDescent="0.2">
      <c r="A41" s="57">
        <v>37315</v>
      </c>
      <c r="C41" s="15"/>
      <c r="D41" s="455">
        <v>17587</v>
      </c>
    </row>
    <row r="42" spans="1:4" x14ac:dyDescent="0.2">
      <c r="A42" s="57">
        <v>37323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8">
        <v>385897</v>
      </c>
    </row>
    <row r="48" spans="1:4" x14ac:dyDescent="0.2">
      <c r="A48" s="49">
        <f>+A42</f>
        <v>37323</v>
      </c>
      <c r="B48" s="32"/>
      <c r="C48" s="32"/>
      <c r="D48" s="373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3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-388891</v>
      </c>
      <c r="I19" s="119">
        <f>+C37</f>
        <v>-391177</v>
      </c>
      <c r="J19" s="119">
        <f>+I19-H19</f>
        <v>-2286</v>
      </c>
      <c r="K19" s="410">
        <f>+D38</f>
        <v>2.5299999999999998</v>
      </c>
      <c r="L19" s="415">
        <f>+K19*J19</f>
        <v>-5783.58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128206</v>
      </c>
      <c r="K24" s="406"/>
      <c r="L24" s="110">
        <f>+L19+L17</f>
        <v>75901.519999999829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30000.60079051377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-388891</v>
      </c>
      <c r="C37" s="11">
        <f>SUM(C6:C36)</f>
        <v>-391177</v>
      </c>
      <c r="D37" s="25">
        <f>SUM(D6:D36)</f>
        <v>-2286</v>
      </c>
    </row>
    <row r="38" spans="1:4" x14ac:dyDescent="0.2">
      <c r="A38" s="26"/>
      <c r="C38" s="14"/>
      <c r="D38" s="326">
        <f>+summary!G4</f>
        <v>2.5299999999999998</v>
      </c>
    </row>
    <row r="39" spans="1:4" x14ac:dyDescent="0.2">
      <c r="D39" s="138">
        <f>+D38*D37</f>
        <v>-5783.58</v>
      </c>
    </row>
    <row r="40" spans="1:4" x14ac:dyDescent="0.2">
      <c r="A40" s="57">
        <v>37315</v>
      </c>
      <c r="C40" s="15"/>
      <c r="D40" s="612">
        <v>15394.13</v>
      </c>
    </row>
    <row r="41" spans="1:4" x14ac:dyDescent="0.2">
      <c r="A41" s="57">
        <v>37327</v>
      </c>
      <c r="C41" s="48"/>
      <c r="D41" s="138">
        <f>+D40+D39</f>
        <v>9610.5499999999993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7">
        <v>94380</v>
      </c>
    </row>
    <row r="46" spans="1:4" x14ac:dyDescent="0.2">
      <c r="A46" s="49">
        <f>+A41</f>
        <v>37327</v>
      </c>
      <c r="B46" s="32"/>
      <c r="C46" s="32"/>
      <c r="D46" s="348">
        <f>+D37</f>
        <v>-2286</v>
      </c>
    </row>
    <row r="47" spans="1:4" x14ac:dyDescent="0.2">
      <c r="A47" s="32"/>
      <c r="B47" s="32"/>
      <c r="C47" s="32"/>
      <c r="D47" s="14">
        <f>+D46+D45</f>
        <v>92094</v>
      </c>
    </row>
    <row r="48" spans="1:4" x14ac:dyDescent="0.2">
      <c r="A48" s="139"/>
      <c r="B48" s="119"/>
      <c r="C48" s="140"/>
      <c r="D48" s="140"/>
    </row>
    <row r="55" spans="4:4" x14ac:dyDescent="0.2">
      <c r="D55" s="32">
        <f>+D41/D47</f>
        <v>0.10435587551849197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opLeftCell="A53" workbookViewId="0">
      <selection activeCell="E18" sqref="E18"/>
    </sheetView>
  </sheetViews>
  <sheetFormatPr defaultRowHeight="12.75" x14ac:dyDescent="0.2"/>
  <cols>
    <col min="1" max="1" width="25.85546875" style="285" customWidth="1"/>
    <col min="2" max="2" width="11.140625" style="540" bestFit="1" customWidth="1"/>
    <col min="3" max="3" width="9.7109375" style="541" customWidth="1"/>
    <col min="4" max="4" width="5.140625" style="542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4" bestFit="1" customWidth="1"/>
    <col min="15" max="15" width="9" style="545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1" t="s">
        <v>78</v>
      </c>
      <c r="G2" s="543"/>
    </row>
    <row r="3" spans="1:33" ht="15" customHeight="1" x14ac:dyDescent="0.2">
      <c r="F3" s="546" t="s">
        <v>29</v>
      </c>
      <c r="G3" s="547">
        <f>+'[3]1001'!$K$39</f>
        <v>2.5299999999999998</v>
      </c>
      <c r="J3" s="372">
        <f ca="1">NOW()</f>
        <v>37329.709993171295</v>
      </c>
    </row>
    <row r="4" spans="1:33" ht="15" customHeight="1" x14ac:dyDescent="0.2">
      <c r="A4" s="34" t="s">
        <v>144</v>
      </c>
      <c r="C4" s="34" t="s">
        <v>5</v>
      </c>
      <c r="F4" s="548" t="s">
        <v>30</v>
      </c>
      <c r="G4" s="549">
        <f>+'[3]1001'!$M$39</f>
        <v>2.5299999999999998</v>
      </c>
      <c r="H4" s="548"/>
      <c r="I4" s="593"/>
    </row>
    <row r="5" spans="1:33" ht="15" customHeight="1" x14ac:dyDescent="0.2">
      <c r="B5" s="550"/>
      <c r="F5" s="546" t="s">
        <v>117</v>
      </c>
      <c r="G5" s="547">
        <f>+'[3]1001'!$E$39</f>
        <v>2.5299999999999998</v>
      </c>
      <c r="H5" s="546" t="s">
        <v>313</v>
      </c>
      <c r="I5" s="547">
        <v>2.2999999999999998</v>
      </c>
    </row>
    <row r="6" spans="1:33" ht="12" customHeight="1" x14ac:dyDescent="0.2">
      <c r="C6" s="438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296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4">
        <f>+PNM!$D$23</f>
        <v>718298.16999999993</v>
      </c>
      <c r="C8" s="275">
        <f t="shared" ref="C8:C16" si="0">+B8/$G$4</f>
        <v>283912.32015810278</v>
      </c>
      <c r="D8" s="363">
        <f>+PNM!A23</f>
        <v>37327</v>
      </c>
      <c r="E8" s="32" t="s">
        <v>85</v>
      </c>
      <c r="F8" s="32" t="s">
        <v>297</v>
      </c>
      <c r="G8" s="32" t="s">
        <v>288</v>
      </c>
      <c r="H8" s="32" t="s">
        <v>316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590">
        <f>+Conoco!$F$41</f>
        <v>403690.89</v>
      </c>
      <c r="C9" s="275">
        <f t="shared" si="0"/>
        <v>159561.61660079053</v>
      </c>
      <c r="D9" s="362">
        <f>+Conoco!A41</f>
        <v>37327</v>
      </c>
      <c r="E9" s="32" t="s">
        <v>85</v>
      </c>
      <c r="F9" s="32" t="s">
        <v>298</v>
      </c>
      <c r="G9" s="32" t="s">
        <v>113</v>
      </c>
      <c r="H9" s="32" t="s">
        <v>310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2</v>
      </c>
      <c r="B10" s="344">
        <f>+mewborne!$J$43</f>
        <v>314030.63</v>
      </c>
      <c r="C10" s="275">
        <f t="shared" si="0"/>
        <v>124122.77865612649</v>
      </c>
      <c r="D10" s="363">
        <f>+mewborne!A43</f>
        <v>37327</v>
      </c>
      <c r="E10" s="32" t="s">
        <v>85</v>
      </c>
      <c r="F10" s="32" t="s">
        <v>297</v>
      </c>
      <c r="G10" s="32" t="s">
        <v>99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3</v>
      </c>
      <c r="B11" s="590">
        <f>+'Amoco Abo'!$F$43</f>
        <v>238469.22999999998</v>
      </c>
      <c r="C11" s="275">
        <f t="shared" si="0"/>
        <v>94256.612648221344</v>
      </c>
      <c r="D11" s="363">
        <f>+'Amoco Abo'!A43</f>
        <v>37327</v>
      </c>
      <c r="E11" s="32" t="s">
        <v>85</v>
      </c>
      <c r="F11" s="32" t="s">
        <v>152</v>
      </c>
      <c r="G11" s="32" t="s">
        <v>115</v>
      </c>
      <c r="H11" s="32"/>
      <c r="I11" s="32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107</v>
      </c>
      <c r="B12" s="590">
        <f>+KN_Westar!F41</f>
        <v>226801.84</v>
      </c>
      <c r="C12" s="275">
        <f t="shared" si="0"/>
        <v>89644.996047430832</v>
      </c>
      <c r="D12" s="363">
        <f>+KN_Westar!A41</f>
        <v>37327</v>
      </c>
      <c r="E12" s="32" t="s">
        <v>85</v>
      </c>
      <c r="F12" s="32" t="s">
        <v>153</v>
      </c>
      <c r="G12" s="32" t="s">
        <v>288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206</v>
      </c>
      <c r="B13" s="344">
        <f>+Dominion!D41</f>
        <v>171087.47</v>
      </c>
      <c r="C13" s="275">
        <f>+B13/$G$5</f>
        <v>67623.50592885376</v>
      </c>
      <c r="D13" s="363">
        <f>+Dominion!A41</f>
        <v>37327</v>
      </c>
      <c r="E13" s="32" t="s">
        <v>85</v>
      </c>
      <c r="F13" s="32" t="s">
        <v>297</v>
      </c>
      <c r="G13" s="32" t="s">
        <v>99</v>
      </c>
      <c r="H13" s="32"/>
      <c r="I13" s="32"/>
      <c r="J13" s="32"/>
      <c r="K13" s="32"/>
      <c r="L13" s="32"/>
      <c r="M13" s="32"/>
      <c r="N13" s="378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32" t="s">
        <v>129</v>
      </c>
      <c r="B14" s="344">
        <f>+EPFS!D41</f>
        <v>141335.57</v>
      </c>
      <c r="C14" s="206">
        <f>+B14/$G$5</f>
        <v>55863.861660079056</v>
      </c>
      <c r="D14" s="362">
        <f>+EPFS!A41</f>
        <v>37327</v>
      </c>
      <c r="E14" s="32" t="s">
        <v>85</v>
      </c>
      <c r="F14" s="32" t="s">
        <v>153</v>
      </c>
      <c r="G14" s="32" t="s">
        <v>102</v>
      </c>
      <c r="H14" s="32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217</v>
      </c>
      <c r="B15" s="344">
        <f>+Amarillo!P41</f>
        <v>129786.2</v>
      </c>
      <c r="C15" s="275">
        <f>+B15/$G$4</f>
        <v>51298.893280632416</v>
      </c>
      <c r="D15" s="363">
        <f>+Amarillo!A41</f>
        <v>37327</v>
      </c>
      <c r="E15" s="32" t="s">
        <v>85</v>
      </c>
      <c r="F15" s="32" t="s">
        <v>298</v>
      </c>
      <c r="G15" s="32" t="s">
        <v>113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441" t="s">
        <v>79</v>
      </c>
      <c r="B16" s="499">
        <f>+Agave!$D$25</f>
        <v>114728.31999999999</v>
      </c>
      <c r="C16" s="461">
        <f t="shared" si="0"/>
        <v>45347.162055335968</v>
      </c>
      <c r="D16" s="460">
        <f>+Agave!A25</f>
        <v>37327</v>
      </c>
      <c r="E16" s="441" t="s">
        <v>85</v>
      </c>
      <c r="F16" s="441" t="s">
        <v>298</v>
      </c>
      <c r="G16" s="441" t="s">
        <v>102</v>
      </c>
      <c r="H16" s="441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31</v>
      </c>
      <c r="B17" s="344">
        <f>+C17*$G$5</f>
        <v>102052.60999999999</v>
      </c>
      <c r="C17" s="275">
        <f>+Lonestar!F43</f>
        <v>40337</v>
      </c>
      <c r="D17" s="362">
        <f>+Lonestar!A43</f>
        <v>37327</v>
      </c>
      <c r="E17" s="32" t="s">
        <v>84</v>
      </c>
      <c r="F17" s="32" t="s">
        <v>298</v>
      </c>
      <c r="G17" s="32" t="s">
        <v>102</v>
      </c>
      <c r="H17" s="32"/>
      <c r="I17" s="15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6</v>
      </c>
      <c r="B18" s="590">
        <f>+Oasis!$D$40</f>
        <v>95615.680000000008</v>
      </c>
      <c r="C18" s="206">
        <f>+B18/$G$5</f>
        <v>37792.758893280639</v>
      </c>
      <c r="D18" s="363">
        <f>+Oasis!A40</f>
        <v>37327</v>
      </c>
      <c r="E18" s="32" t="s">
        <v>85</v>
      </c>
      <c r="F18" s="32" t="s">
        <v>153</v>
      </c>
      <c r="G18" s="32" t="s">
        <v>102</v>
      </c>
      <c r="H18" s="32"/>
      <c r="I18" s="32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23</v>
      </c>
      <c r="B19" s="344">
        <f>+C19*$G$3</f>
        <v>91203.969999999987</v>
      </c>
      <c r="C19" s="346">
        <f>+'Red C'!$F$45</f>
        <v>36049</v>
      </c>
      <c r="D19" s="362">
        <f>+'Red C'!A45</f>
        <v>37327</v>
      </c>
      <c r="E19" s="204" t="s">
        <v>84</v>
      </c>
      <c r="F19" s="32" t="s">
        <v>152</v>
      </c>
      <c r="G19" s="32" t="s">
        <v>115</v>
      </c>
      <c r="H19" s="32"/>
      <c r="I19" s="204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28</v>
      </c>
      <c r="B20" s="344">
        <f>+C20*$G$3</f>
        <v>82870.149999999994</v>
      </c>
      <c r="C20" s="275">
        <f>+williams!J40</f>
        <v>32755</v>
      </c>
      <c r="D20" s="362">
        <f>+williams!A40</f>
        <v>37327</v>
      </c>
      <c r="E20" s="204" t="s">
        <v>85</v>
      </c>
      <c r="F20" s="204" t="s">
        <v>153</v>
      </c>
      <c r="G20" s="204" t="s">
        <v>288</v>
      </c>
      <c r="H20" s="592" t="s">
        <v>315</v>
      </c>
      <c r="I20" s="441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244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32" t="s">
        <v>295</v>
      </c>
      <c r="B21" s="344">
        <f>+Stratland!$D$41</f>
        <v>69765.440000000002</v>
      </c>
      <c r="C21" s="275">
        <f>+B21/$G$4</f>
        <v>27575.272727272732</v>
      </c>
      <c r="D21" s="362">
        <f>+Stratland!A41</f>
        <v>37315</v>
      </c>
      <c r="E21" s="32" t="s">
        <v>85</v>
      </c>
      <c r="F21" s="32" t="s">
        <v>297</v>
      </c>
      <c r="G21" s="32" t="s">
        <v>102</v>
      </c>
      <c r="H21" s="32"/>
      <c r="I21" s="32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244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304</v>
      </c>
      <c r="B22" s="344">
        <f>+Plains!$N$43</f>
        <v>66185.02</v>
      </c>
      <c r="C22" s="206">
        <f>+B22/$G$4</f>
        <v>26160.086956521744</v>
      </c>
      <c r="D22" s="362">
        <f>+Plains!A43</f>
        <v>37315</v>
      </c>
      <c r="E22" s="204" t="s">
        <v>85</v>
      </c>
      <c r="F22" s="204"/>
      <c r="G22" s="204" t="s">
        <v>100</v>
      </c>
      <c r="H22" s="204"/>
      <c r="I22" s="204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244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109</v>
      </c>
      <c r="B23" s="344">
        <f>+Continental!F43</f>
        <v>59475.54</v>
      </c>
      <c r="C23" s="206">
        <f>+B23/$G$4</f>
        <v>23508.1185770751</v>
      </c>
      <c r="D23" s="362">
        <f>+Continental!A43</f>
        <v>37327</v>
      </c>
      <c r="E23" s="204" t="s">
        <v>85</v>
      </c>
      <c r="F23" s="204" t="s">
        <v>153</v>
      </c>
      <c r="G23" s="204" t="s">
        <v>115</v>
      </c>
      <c r="H23" s="204"/>
      <c r="I23" s="589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244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">
      <c r="A24" s="204" t="s">
        <v>139</v>
      </c>
      <c r="B24" s="344">
        <f>+'Citizens-Griffith'!D41</f>
        <v>54091.380000000005</v>
      </c>
      <c r="C24" s="275">
        <f>+B24/$G$4</f>
        <v>21379.992094861664</v>
      </c>
      <c r="D24" s="362">
        <f>+'Citizens-Griffith'!A41</f>
        <v>37327</v>
      </c>
      <c r="E24" s="204" t="s">
        <v>85</v>
      </c>
      <c r="F24" s="204" t="s">
        <v>298</v>
      </c>
      <c r="G24" s="204" t="s">
        <v>99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">
      <c r="A25" s="204" t="s">
        <v>146</v>
      </c>
      <c r="B25" s="344">
        <f>+PGETX!$H$39</f>
        <v>52424.14</v>
      </c>
      <c r="C25" s="275">
        <f>+B25/$G$4</f>
        <v>20721.003952569172</v>
      </c>
      <c r="D25" s="362">
        <f>+PGETX!E39</f>
        <v>37328</v>
      </c>
      <c r="E25" s="204" t="s">
        <v>85</v>
      </c>
      <c r="F25" s="204" t="s">
        <v>153</v>
      </c>
      <c r="G25" s="204" t="s">
        <v>102</v>
      </c>
      <c r="H25" s="204"/>
      <c r="I25" s="32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">
      <c r="A26" s="32" t="s">
        <v>110</v>
      </c>
      <c r="B26" s="344">
        <f>+C26*$G$4</f>
        <v>44495.109999999993</v>
      </c>
      <c r="C26" s="275">
        <f>+CIG!D42</f>
        <v>17587</v>
      </c>
      <c r="D26" s="363">
        <f>+CIG!A42</f>
        <v>37323</v>
      </c>
      <c r="E26" s="204" t="s">
        <v>84</v>
      </c>
      <c r="F26" s="32" t="s">
        <v>153</v>
      </c>
      <c r="G26" s="32" t="s">
        <v>113</v>
      </c>
      <c r="H26" s="585" t="s">
        <v>312</v>
      </c>
      <c r="I26" s="204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244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1" customFormat="1" ht="13.5" customHeight="1" x14ac:dyDescent="0.2">
      <c r="A27" s="204" t="s">
        <v>87</v>
      </c>
      <c r="B27" s="590">
        <f>+NNG!$D$24</f>
        <v>24232.78</v>
      </c>
      <c r="C27" s="275">
        <f>+B27/$G$4</f>
        <v>9578.173913043478</v>
      </c>
      <c r="D27" s="362">
        <f>+NNG!A24</f>
        <v>37326</v>
      </c>
      <c r="E27" s="204" t="s">
        <v>85</v>
      </c>
      <c r="F27" s="204" t="s">
        <v>297</v>
      </c>
      <c r="G27" s="204" t="s">
        <v>100</v>
      </c>
      <c r="H27" s="204"/>
      <c r="I27" s="592"/>
      <c r="J27" s="204"/>
      <c r="K27" s="204"/>
      <c r="L27" s="204"/>
      <c r="M27" s="204"/>
      <c r="N27" s="468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51" customFormat="1" ht="13.5" customHeight="1" x14ac:dyDescent="0.2">
      <c r="A28" s="32" t="s">
        <v>88</v>
      </c>
      <c r="B28" s="344">
        <f>+C28*$G$5</f>
        <v>17694.82</v>
      </c>
      <c r="C28" s="275">
        <f>+NGPL!H38</f>
        <v>6994</v>
      </c>
      <c r="D28" s="363">
        <f>+NGPL!A38</f>
        <v>37327</v>
      </c>
      <c r="E28" s="204" t="s">
        <v>84</v>
      </c>
      <c r="F28" s="32" t="s">
        <v>152</v>
      </c>
      <c r="G28" s="32" t="s">
        <v>115</v>
      </c>
      <c r="H28" s="32"/>
      <c r="I28" s="204"/>
      <c r="J28" s="204"/>
      <c r="K28" s="204"/>
      <c r="L28" s="204"/>
      <c r="M28" s="204"/>
      <c r="N28" s="468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3.5" customHeight="1" x14ac:dyDescent="0.2">
      <c r="A29" s="32" t="s">
        <v>278</v>
      </c>
      <c r="B29" s="344">
        <f>+'WTG inc'!N43</f>
        <v>17251.23</v>
      </c>
      <c r="C29" s="275">
        <f>+B29/$G$4</f>
        <v>6818.6679841897239</v>
      </c>
      <c r="D29" s="363">
        <f>+'WTG inc'!A43</f>
        <v>37327</v>
      </c>
      <c r="E29" s="32" t="s">
        <v>85</v>
      </c>
      <c r="F29" s="32" t="s">
        <v>152</v>
      </c>
      <c r="G29" s="32" t="s">
        <v>115</v>
      </c>
      <c r="H29" s="204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s="551" customFormat="1" ht="13.5" customHeight="1" x14ac:dyDescent="0.2">
      <c r="A30" s="204" t="s">
        <v>142</v>
      </c>
      <c r="B30" s="345">
        <f>+C30*$G$4</f>
        <v>15837.8</v>
      </c>
      <c r="C30" s="346">
        <f>+PEPL!D41</f>
        <v>6260</v>
      </c>
      <c r="D30" s="362">
        <f>+PEPL!A41</f>
        <v>37327</v>
      </c>
      <c r="E30" s="204" t="s">
        <v>84</v>
      </c>
      <c r="F30" s="204" t="s">
        <v>298</v>
      </c>
      <c r="G30" s="204" t="s">
        <v>100</v>
      </c>
      <c r="H30" s="32"/>
      <c r="I30" s="585"/>
      <c r="J30" s="204"/>
      <c r="K30" s="204"/>
      <c r="L30" s="204"/>
      <c r="M30" s="204"/>
      <c r="N30" s="468"/>
      <c r="O30" s="273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ht="13.5" customHeight="1" x14ac:dyDescent="0.2">
      <c r="A31" s="32" t="s">
        <v>209</v>
      </c>
      <c r="B31" s="344">
        <f>+Devon!D41</f>
        <v>12991.31</v>
      </c>
      <c r="C31" s="275">
        <f>+B31/$G$5</f>
        <v>5134.905138339921</v>
      </c>
      <c r="D31" s="363">
        <f>+Devon!A41</f>
        <v>37327</v>
      </c>
      <c r="E31" s="32" t="s">
        <v>85</v>
      </c>
      <c r="F31" s="32" t="s">
        <v>298</v>
      </c>
      <c r="G31" s="32" t="s">
        <v>99</v>
      </c>
      <c r="H31" s="585" t="s">
        <v>309</v>
      </c>
      <c r="I31" s="204"/>
      <c r="J31" s="32"/>
      <c r="K31" s="32"/>
      <c r="L31" s="32"/>
      <c r="M31" s="32"/>
      <c r="N31" s="378"/>
      <c r="O31" s="70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 ht="13.5" customHeight="1" x14ac:dyDescent="0.2">
      <c r="A32" s="204" t="s">
        <v>71</v>
      </c>
      <c r="B32" s="345">
        <f>+transcol!$D$43</f>
        <v>11282.92</v>
      </c>
      <c r="C32" s="346">
        <f>+B32/$G$4</f>
        <v>4459.652173913044</v>
      </c>
      <c r="D32" s="362">
        <f>+transcol!A43</f>
        <v>37327</v>
      </c>
      <c r="E32" s="204" t="s">
        <v>85</v>
      </c>
      <c r="F32" s="204" t="s">
        <v>152</v>
      </c>
      <c r="G32" s="204" t="s">
        <v>115</v>
      </c>
      <c r="H32" s="204"/>
      <c r="I32" s="204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127</v>
      </c>
      <c r="B33" s="344">
        <f>+Calpine!D41</f>
        <v>9610.5499999999993</v>
      </c>
      <c r="C33" s="206">
        <f>+B33/$G$4</f>
        <v>3798.6363636363635</v>
      </c>
      <c r="D33" s="362">
        <f>+Calpine!A41</f>
        <v>37327</v>
      </c>
      <c r="E33" s="204" t="s">
        <v>85</v>
      </c>
      <c r="F33" s="204" t="s">
        <v>152</v>
      </c>
      <c r="G33" s="204" t="s">
        <v>99</v>
      </c>
      <c r="H33" s="32"/>
      <c r="I33" s="32"/>
      <c r="J33" s="32"/>
      <c r="K33" s="32"/>
      <c r="L33" s="32"/>
      <c r="M33" s="32"/>
      <c r="N33" s="378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32" t="s">
        <v>131</v>
      </c>
      <c r="B34" s="590">
        <f>+SidR!D41</f>
        <v>6058.08</v>
      </c>
      <c r="C34" s="275">
        <f>+B34/$G$5</f>
        <v>2394.498023715415</v>
      </c>
      <c r="D34" s="363">
        <f>+SidR!A41</f>
        <v>37326</v>
      </c>
      <c r="E34" s="32" t="s">
        <v>85</v>
      </c>
      <c r="F34" s="32" t="s">
        <v>151</v>
      </c>
      <c r="G34" s="32" t="s">
        <v>102</v>
      </c>
      <c r="H34" s="32"/>
      <c r="I34" s="592"/>
      <c r="J34" s="32"/>
      <c r="K34" s="32"/>
      <c r="L34" s="32"/>
      <c r="M34" s="32"/>
      <c r="N34" s="378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1" customFormat="1" ht="13.5" customHeight="1" x14ac:dyDescent="0.2">
      <c r="A35" s="32" t="s">
        <v>94</v>
      </c>
      <c r="B35" s="347">
        <f>+C35*$I$5</f>
        <v>3509.7999999999997</v>
      </c>
      <c r="C35" s="71">
        <f>+Mojave!D40</f>
        <v>1526</v>
      </c>
      <c r="D35" s="363">
        <f>+Mojave!A40</f>
        <v>37327</v>
      </c>
      <c r="E35" s="32" t="s">
        <v>85</v>
      </c>
      <c r="F35" s="32" t="s">
        <v>153</v>
      </c>
      <c r="G35" s="32" t="s">
        <v>100</v>
      </c>
      <c r="H35" s="585" t="s">
        <v>314</v>
      </c>
      <c r="I35" s="585"/>
      <c r="J35" s="204"/>
      <c r="K35" s="204"/>
      <c r="L35" s="204"/>
      <c r="M35" s="204"/>
      <c r="N35" s="468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ht="18" customHeight="1" x14ac:dyDescent="0.2">
      <c r="A36" s="32" t="s">
        <v>96</v>
      </c>
      <c r="B36" s="47">
        <f>SUM(B8:B35)</f>
        <v>3294876.649999999</v>
      </c>
      <c r="C36" s="69">
        <f>SUM(C8:C35)</f>
        <v>1302461.513833992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">
      <c r="A37" s="32"/>
      <c r="B37" s="47"/>
      <c r="C37" s="69"/>
      <c r="D37" s="203"/>
      <c r="E37" s="32"/>
      <c r="F37" s="349"/>
      <c r="G37" s="349"/>
      <c r="H37" s="32"/>
      <c r="I37" s="32"/>
      <c r="J37" s="32"/>
      <c r="K37" s="32"/>
      <c r="L37" s="32"/>
      <c r="M37" s="32"/>
      <c r="N37" s="378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">
      <c r="A38" s="334" t="s">
        <v>89</v>
      </c>
      <c r="B38" s="335" t="s">
        <v>16</v>
      </c>
      <c r="C38" s="336" t="s">
        <v>0</v>
      </c>
      <c r="D38" s="342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8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204" t="s">
        <v>135</v>
      </c>
      <c r="B39" s="344">
        <f>+Citizens!D18</f>
        <v>-595076.6399999999</v>
      </c>
      <c r="C39" s="206">
        <f>+B39/$G$4</f>
        <v>-235208.15810276679</v>
      </c>
      <c r="D39" s="362">
        <f>+Citizens!A18</f>
        <v>37327</v>
      </c>
      <c r="E39" s="204" t="s">
        <v>85</v>
      </c>
      <c r="F39" s="204" t="s">
        <v>298</v>
      </c>
      <c r="G39" s="204" t="s">
        <v>99</v>
      </c>
      <c r="H39" s="350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5" customHeight="1" x14ac:dyDescent="0.2">
      <c r="A40" s="32" t="s">
        <v>133</v>
      </c>
      <c r="B40" s="344">
        <f>+'NS Steel'!D41</f>
        <v>-247499.01</v>
      </c>
      <c r="C40" s="206">
        <f>+B40/$G$4</f>
        <v>-97825.695652173919</v>
      </c>
      <c r="D40" s="363">
        <f>+'NS Steel'!A41</f>
        <v>37327</v>
      </c>
      <c r="E40" s="32" t="s">
        <v>85</v>
      </c>
      <c r="F40" s="32" t="s">
        <v>153</v>
      </c>
      <c r="G40" s="32" t="s">
        <v>100</v>
      </c>
      <c r="H40" s="350"/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5" customHeight="1" x14ac:dyDescent="0.2">
      <c r="A41" s="204" t="s">
        <v>255</v>
      </c>
      <c r="B41" s="344">
        <f>+MiVida_Rich!D41</f>
        <v>-191635</v>
      </c>
      <c r="C41" s="206">
        <f>+B41/$G$5</f>
        <v>-75745.059288537552</v>
      </c>
      <c r="D41" s="362">
        <f>+MiVida_Rich!A41</f>
        <v>37315</v>
      </c>
      <c r="E41" s="204" t="s">
        <v>85</v>
      </c>
      <c r="F41" s="204" t="s">
        <v>151</v>
      </c>
      <c r="G41" s="204" t="s">
        <v>102</v>
      </c>
      <c r="H41" s="350"/>
      <c r="I41" s="32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204" t="s">
        <v>32</v>
      </c>
      <c r="B42" s="344">
        <f>+C42*$G$4</f>
        <v>-146079.66999999998</v>
      </c>
      <c r="C42" s="206">
        <f>+SoCal!F40</f>
        <v>-57739</v>
      </c>
      <c r="D42" s="362">
        <f>+SoCal!A40</f>
        <v>37327</v>
      </c>
      <c r="E42" s="204" t="s">
        <v>84</v>
      </c>
      <c r="F42" s="204" t="s">
        <v>152</v>
      </c>
      <c r="G42" s="204" t="s">
        <v>102</v>
      </c>
      <c r="H42" s="32"/>
      <c r="I42" s="249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2" customFormat="1" ht="13.5" customHeight="1" x14ac:dyDescent="0.2">
      <c r="A43" s="32" t="s">
        <v>215</v>
      </c>
      <c r="B43" s="344">
        <f>+crosstex!F41</f>
        <v>-124764.95000000001</v>
      </c>
      <c r="C43" s="206">
        <f>+B43/$G$4</f>
        <v>-49314.209486166015</v>
      </c>
      <c r="D43" s="363">
        <f>+crosstex!A41</f>
        <v>37327</v>
      </c>
      <c r="E43" s="32" t="s">
        <v>85</v>
      </c>
      <c r="F43" s="32" t="s">
        <v>151</v>
      </c>
      <c r="G43" s="32" t="s">
        <v>100</v>
      </c>
      <c r="H43" s="350"/>
      <c r="I43" s="32"/>
      <c r="J43" s="249"/>
      <c r="K43" s="249"/>
      <c r="L43" s="249"/>
      <c r="M43" s="32"/>
      <c r="N43" s="468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s="552" customFormat="1" ht="13.5" customHeight="1" x14ac:dyDescent="0.2">
      <c r="A44" s="32" t="s">
        <v>114</v>
      </c>
      <c r="B44" s="344">
        <f>+C44*$G$4</f>
        <v>-88165.439999999988</v>
      </c>
      <c r="C44" s="206">
        <f>+'PG&amp;E'!D40</f>
        <v>-34848</v>
      </c>
      <c r="D44" s="363">
        <f>+'PG&amp;E'!A40</f>
        <v>37327</v>
      </c>
      <c r="E44" s="32" t="s">
        <v>84</v>
      </c>
      <c r="F44" s="32" t="s">
        <v>153</v>
      </c>
      <c r="G44" s="32" t="s">
        <v>102</v>
      </c>
      <c r="H44" s="32"/>
      <c r="I44" s="32"/>
      <c r="J44" s="249"/>
      <c r="K44" s="249"/>
      <c r="L44" s="249"/>
      <c r="M44" s="32"/>
      <c r="N44" s="468"/>
      <c r="O44" s="273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</row>
    <row r="45" spans="1:33" s="552" customFormat="1" ht="13.5" customHeight="1" x14ac:dyDescent="0.2">
      <c r="A45" s="204" t="s">
        <v>33</v>
      </c>
      <c r="B45" s="344">
        <f>+'El Paso'!C39*summary!G4+'El Paso'!E39*summary!G3</f>
        <v>-80532.429999999993</v>
      </c>
      <c r="C45" s="275">
        <f>+'El Paso'!H39</f>
        <v>-31831</v>
      </c>
      <c r="D45" s="362">
        <f>+'El Paso'!A39</f>
        <v>37327</v>
      </c>
      <c r="E45" s="204" t="s">
        <v>84</v>
      </c>
      <c r="F45" s="204" t="s">
        <v>153</v>
      </c>
      <c r="G45" s="204" t="s">
        <v>100</v>
      </c>
      <c r="H45" s="204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">
      <c r="A46" s="32" t="s">
        <v>103</v>
      </c>
      <c r="B46" s="590">
        <f>+EOG!$J$41</f>
        <v>-49228.21</v>
      </c>
      <c r="C46" s="275">
        <f>+B46/$G$4</f>
        <v>-19457.790513833992</v>
      </c>
      <c r="D46" s="362">
        <f>+EOG!A41</f>
        <v>37328</v>
      </c>
      <c r="E46" s="32" t="s">
        <v>85</v>
      </c>
      <c r="F46" s="32" t="s">
        <v>297</v>
      </c>
      <c r="G46" s="32" t="s">
        <v>102</v>
      </c>
      <c r="H46" s="32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s="552" customFormat="1" ht="13.5" customHeight="1" x14ac:dyDescent="0.2">
      <c r="A47" s="32" t="s">
        <v>1</v>
      </c>
      <c r="B47" s="344">
        <f>+C47*$G$3</f>
        <v>-28470.089999999997</v>
      </c>
      <c r="C47" s="206">
        <f>+NW!$F$41</f>
        <v>-11253</v>
      </c>
      <c r="D47" s="362">
        <f>+NW!B41</f>
        <v>37328</v>
      </c>
      <c r="E47" s="32" t="s">
        <v>84</v>
      </c>
      <c r="F47" s="32" t="s">
        <v>152</v>
      </c>
      <c r="G47" s="32" t="s">
        <v>115</v>
      </c>
      <c r="H47" s="350"/>
      <c r="I47" s="32"/>
      <c r="J47" s="249"/>
      <c r="K47" s="249"/>
      <c r="L47" s="249"/>
      <c r="M47" s="32"/>
      <c r="N47" s="468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52" customFormat="1" ht="13.5" customHeight="1" x14ac:dyDescent="0.2">
      <c r="A48" s="204" t="s">
        <v>308</v>
      </c>
      <c r="B48" s="345">
        <f>+Duke!B83</f>
        <v>-24707.340000000549</v>
      </c>
      <c r="C48" s="346">
        <f>+B48/$G$5</f>
        <v>-9765.7470355733403</v>
      </c>
      <c r="D48" s="362">
        <f>+DEFS!A40</f>
        <v>37327</v>
      </c>
      <c r="E48" s="204" t="s">
        <v>85</v>
      </c>
      <c r="F48" s="32" t="s">
        <v>152</v>
      </c>
      <c r="G48" s="32" t="s">
        <v>100</v>
      </c>
      <c r="H48" s="32"/>
      <c r="I48" s="32"/>
      <c r="J48" s="249"/>
      <c r="K48" s="249"/>
      <c r="L48" s="249"/>
      <c r="M48" s="32"/>
      <c r="N48" s="468"/>
      <c r="O48" s="273"/>
      <c r="P48" s="249"/>
      <c r="Q48" s="249"/>
      <c r="R48" s="249"/>
      <c r="S48" s="249"/>
      <c r="T48" s="249"/>
      <c r="U48" s="249"/>
      <c r="V48" s="249"/>
      <c r="W48" s="249"/>
      <c r="X48" s="249"/>
      <c r="Y48" s="249"/>
      <c r="Z48" s="249"/>
      <c r="AA48" s="249"/>
      <c r="AB48" s="249"/>
      <c r="AC48" s="249"/>
      <c r="AD48" s="249"/>
      <c r="AE48" s="249"/>
      <c r="AF48" s="249"/>
      <c r="AG48" s="249"/>
    </row>
    <row r="49" spans="1:33" ht="13.5" customHeight="1" x14ac:dyDescent="0.2">
      <c r="A49" s="204" t="s">
        <v>203</v>
      </c>
      <c r="B49" s="345">
        <f>+WTGmktg!J43</f>
        <v>-17940.510000000002</v>
      </c>
      <c r="C49" s="206">
        <f>+B49/$G$4</f>
        <v>-7091.1106719367599</v>
      </c>
      <c r="D49" s="362">
        <f>+WTGmktg!A43</f>
        <v>37327</v>
      </c>
      <c r="E49" s="32" t="s">
        <v>85</v>
      </c>
      <c r="F49" s="204" t="s">
        <v>152</v>
      </c>
      <c r="G49" s="204" t="s">
        <v>115</v>
      </c>
      <c r="H49" s="204"/>
      <c r="I49" s="32"/>
      <c r="J49" s="32"/>
      <c r="K49" s="32"/>
      <c r="L49" s="32"/>
      <c r="M49" s="32"/>
      <c r="N49" s="378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32" t="s">
        <v>286</v>
      </c>
      <c r="B50" s="344">
        <f>+C50*$G$3</f>
        <v>-16915.579999999998</v>
      </c>
      <c r="C50" s="275">
        <f>+Amoco!D40</f>
        <v>-6686</v>
      </c>
      <c r="D50" s="363">
        <f>+Amoco!A40</f>
        <v>37327</v>
      </c>
      <c r="E50" s="32" t="s">
        <v>84</v>
      </c>
      <c r="F50" s="32" t="s">
        <v>152</v>
      </c>
      <c r="G50" s="32" t="s">
        <v>115</v>
      </c>
      <c r="H50" s="204"/>
      <c r="I50" s="204"/>
      <c r="J50" s="32"/>
      <c r="K50" s="32"/>
      <c r="L50" s="32"/>
      <c r="M50" s="32"/>
      <c r="N50" s="378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51" customFormat="1" ht="13.5" customHeight="1" x14ac:dyDescent="0.2">
      <c r="A51" s="32" t="s">
        <v>275</v>
      </c>
      <c r="B51" s="344">
        <f>+SWGasTrans!$D$41</f>
        <v>-10553.5</v>
      </c>
      <c r="C51" s="275">
        <f>+B51/$G$4</f>
        <v>-4171.343873517787</v>
      </c>
      <c r="D51" s="362">
        <f>+SWGasTrans!A41</f>
        <v>37327</v>
      </c>
      <c r="E51" s="32" t="s">
        <v>85</v>
      </c>
      <c r="F51" s="32" t="s">
        <v>152</v>
      </c>
      <c r="G51" s="32" t="s">
        <v>99</v>
      </c>
      <c r="H51" s="32"/>
      <c r="I51" s="204"/>
      <c r="J51" s="204"/>
      <c r="K51" s="204"/>
      <c r="L51" s="204"/>
      <c r="M51" s="204"/>
      <c r="N51" s="468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1" customFormat="1" ht="13.5" customHeight="1" x14ac:dyDescent="0.2">
      <c r="A52" s="204" t="s">
        <v>95</v>
      </c>
      <c r="B52" s="344">
        <f>+burlington!D42</f>
        <v>-7966.4000000000015</v>
      </c>
      <c r="C52" s="275">
        <f>+B52/$G$3</f>
        <v>-3148.7747035573129</v>
      </c>
      <c r="D52" s="362">
        <f>+burlington!A42</f>
        <v>37327</v>
      </c>
      <c r="E52" s="204" t="s">
        <v>85</v>
      </c>
      <c r="F52" s="32" t="s">
        <v>153</v>
      </c>
      <c r="G52" s="32" t="s">
        <v>113</v>
      </c>
      <c r="H52" s="32"/>
      <c r="I52" s="32"/>
      <c r="J52" s="204"/>
      <c r="K52" s="204"/>
      <c r="L52" s="204"/>
      <c r="M52" s="204"/>
      <c r="N52" s="468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">
      <c r="A53" s="32" t="s">
        <v>97</v>
      </c>
      <c r="B53" s="386">
        <f>SUM(B39:B52)</f>
        <v>-1629534.7700000003</v>
      </c>
      <c r="C53" s="392">
        <f>SUM(C39:C52)</f>
        <v>-644084.88932806358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2">
        <f>+B53+B36</f>
        <v>1665341.8799999987</v>
      </c>
      <c r="C55" s="353">
        <f>+C53+C36</f>
        <v>658376.62450592837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258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256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257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259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260</v>
      </c>
      <c r="B75" s="611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262</v>
      </c>
      <c r="B76" s="611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263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264</v>
      </c>
      <c r="B78" s="611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265</v>
      </c>
      <c r="B79" s="611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266</v>
      </c>
      <c r="B80" s="611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268</v>
      </c>
      <c r="B81" s="617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270</v>
      </c>
      <c r="B82" s="617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271</v>
      </c>
      <c r="B83" s="617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272</v>
      </c>
      <c r="B84" s="620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269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269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269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290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276</v>
      </c>
      <c r="B89" s="617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261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267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291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292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324</v>
      </c>
      <c r="B94" s="610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M318" s="544"/>
      <c r="N318" s="545"/>
      <c r="O318" s="285"/>
    </row>
    <row r="319" spans="1:32" x14ac:dyDescent="0.2">
      <c r="M319" s="544"/>
      <c r="N319" s="545"/>
      <c r="O319" s="285"/>
    </row>
    <row r="320" spans="1:32" x14ac:dyDescent="0.2">
      <c r="M320" s="544"/>
      <c r="N320" s="545"/>
      <c r="O320" s="285"/>
    </row>
    <row r="321" spans="13:15" x14ac:dyDescent="0.2">
      <c r="M321" s="544"/>
      <c r="N321" s="545"/>
      <c r="O321" s="285"/>
    </row>
    <row r="322" spans="13:15" x14ac:dyDescent="0.2">
      <c r="M322" s="544"/>
      <c r="N322" s="545"/>
      <c r="O322" s="285"/>
    </row>
    <row r="323" spans="13:15" x14ac:dyDescent="0.2">
      <c r="M323" s="544"/>
      <c r="N323" s="545"/>
      <c r="O323" s="285"/>
    </row>
    <row r="324" spans="13:15" x14ac:dyDescent="0.2">
      <c r="M324" s="544"/>
      <c r="N324" s="545"/>
      <c r="O324" s="285"/>
    </row>
    <row r="325" spans="13:15" x14ac:dyDescent="0.2">
      <c r="M325" s="544"/>
      <c r="N325" s="545"/>
      <c r="O325" s="285"/>
    </row>
    <row r="326" spans="13:15" x14ac:dyDescent="0.2">
      <c r="M326" s="544"/>
      <c r="N326" s="545"/>
      <c r="O326" s="285"/>
    </row>
    <row r="327" spans="13:15" x14ac:dyDescent="0.2">
      <c r="M327" s="544"/>
      <c r="N327" s="545"/>
      <c r="O327" s="285"/>
    </row>
    <row r="328" spans="13:15" x14ac:dyDescent="0.2">
      <c r="M328" s="544"/>
      <c r="N328" s="545"/>
      <c r="O328" s="285"/>
    </row>
    <row r="329" spans="13:15" x14ac:dyDescent="0.2">
      <c r="M329" s="544"/>
      <c r="N329" s="545"/>
      <c r="O329" s="285"/>
    </row>
    <row r="330" spans="13:15" x14ac:dyDescent="0.2">
      <c r="M330" s="544"/>
      <c r="N330" s="545"/>
      <c r="O330" s="285"/>
    </row>
    <row r="331" spans="13:15" x14ac:dyDescent="0.2">
      <c r="M331" s="544"/>
      <c r="N331" s="545"/>
      <c r="O331" s="285"/>
    </row>
    <row r="332" spans="13:15" x14ac:dyDescent="0.2">
      <c r="M332" s="544"/>
      <c r="N332" s="545"/>
      <c r="O332" s="285"/>
    </row>
    <row r="333" spans="13:15" x14ac:dyDescent="0.2">
      <c r="M333" s="544"/>
      <c r="N333" s="545"/>
      <c r="O333" s="285"/>
    </row>
    <row r="334" spans="13:15" x14ac:dyDescent="0.2">
      <c r="M334" s="544"/>
      <c r="N334" s="545"/>
      <c r="O334" s="285"/>
    </row>
    <row r="335" spans="13:15" x14ac:dyDescent="0.2">
      <c r="M335" s="544"/>
      <c r="N335" s="545"/>
      <c r="O335" s="285"/>
    </row>
    <row r="336" spans="13:15" x14ac:dyDescent="0.2">
      <c r="M336" s="544"/>
      <c r="N336" s="545"/>
      <c r="O336" s="285"/>
    </row>
    <row r="337" spans="13:15" x14ac:dyDescent="0.2">
      <c r="M337" s="544"/>
      <c r="N337" s="545"/>
      <c r="O337" s="285"/>
    </row>
    <row r="338" spans="13:15" x14ac:dyDescent="0.2">
      <c r="M338" s="544"/>
      <c r="N338" s="545"/>
      <c r="O338" s="285"/>
    </row>
    <row r="339" spans="13:15" x14ac:dyDescent="0.2">
      <c r="M339" s="544"/>
      <c r="N339" s="545"/>
      <c r="O339" s="285"/>
    </row>
    <row r="340" spans="13:15" x14ac:dyDescent="0.2">
      <c r="M340" s="544"/>
      <c r="N340" s="545"/>
      <c r="O340" s="285"/>
    </row>
    <row r="341" spans="13:15" x14ac:dyDescent="0.2">
      <c r="M341" s="544"/>
      <c r="N341" s="545"/>
      <c r="O341" s="285"/>
    </row>
    <row r="342" spans="13:15" x14ac:dyDescent="0.2">
      <c r="M342" s="544"/>
      <c r="N342" s="545"/>
      <c r="O342" s="285"/>
    </row>
    <row r="343" spans="13:15" x14ac:dyDescent="0.2">
      <c r="M343" s="544"/>
      <c r="N343" s="545"/>
      <c r="O343" s="285"/>
    </row>
    <row r="344" spans="13:15" x14ac:dyDescent="0.2">
      <c r="M344" s="544"/>
      <c r="N344" s="545"/>
      <c r="O344" s="285"/>
    </row>
    <row r="345" spans="13:15" x14ac:dyDescent="0.2">
      <c r="M345" s="544"/>
      <c r="N345" s="545"/>
      <c r="O345" s="285"/>
    </row>
    <row r="346" spans="13:15" x14ac:dyDescent="0.2">
      <c r="M346" s="544"/>
      <c r="N346" s="545"/>
      <c r="O346" s="285"/>
    </row>
    <row r="347" spans="13:15" x14ac:dyDescent="0.2">
      <c r="M347" s="544"/>
      <c r="N347" s="545"/>
      <c r="O347" s="285"/>
    </row>
    <row r="348" spans="13:15" x14ac:dyDescent="0.2">
      <c r="M348" s="544"/>
      <c r="N348" s="545"/>
      <c r="O348" s="285"/>
    </row>
    <row r="349" spans="13:15" x14ac:dyDescent="0.2">
      <c r="M349" s="544"/>
      <c r="N349" s="545"/>
      <c r="O349" s="285"/>
    </row>
    <row r="350" spans="13:15" x14ac:dyDescent="0.2">
      <c r="M350" s="544"/>
      <c r="N350" s="545"/>
      <c r="O350" s="285"/>
    </row>
    <row r="351" spans="13:15" x14ac:dyDescent="0.2">
      <c r="M351" s="544"/>
      <c r="N351" s="545"/>
      <c r="O351" s="285"/>
    </row>
    <row r="352" spans="13:15" x14ac:dyDescent="0.2">
      <c r="M352" s="544"/>
      <c r="N352" s="545"/>
      <c r="O352" s="285"/>
    </row>
    <row r="353" spans="13:15" x14ac:dyDescent="0.2">
      <c r="M353" s="544"/>
      <c r="N353" s="545"/>
      <c r="O353" s="285"/>
    </row>
    <row r="354" spans="13:15" x14ac:dyDescent="0.2">
      <c r="M354" s="544"/>
      <c r="N354" s="545"/>
      <c r="O354" s="285"/>
    </row>
    <row r="355" spans="13:15" x14ac:dyDescent="0.2">
      <c r="M355" s="544"/>
      <c r="N355" s="545"/>
      <c r="O355" s="285"/>
    </row>
    <row r="356" spans="13:15" x14ac:dyDescent="0.2">
      <c r="M356" s="544"/>
      <c r="N356" s="545"/>
      <c r="O356" s="285"/>
    </row>
    <row r="357" spans="13:15" x14ac:dyDescent="0.2">
      <c r="M357" s="544"/>
      <c r="N357" s="545"/>
      <c r="O357" s="285"/>
    </row>
    <row r="358" spans="13:15" x14ac:dyDescent="0.2">
      <c r="M358" s="544"/>
      <c r="N358" s="545"/>
      <c r="O358" s="285"/>
    </row>
    <row r="359" spans="13:15" x14ac:dyDescent="0.2">
      <c r="M359" s="544"/>
      <c r="N359" s="545"/>
      <c r="O359" s="285"/>
    </row>
    <row r="360" spans="13:15" x14ac:dyDescent="0.2">
      <c r="M360" s="544"/>
      <c r="N360" s="545"/>
      <c r="O360" s="285"/>
    </row>
    <row r="361" spans="13:15" x14ac:dyDescent="0.2">
      <c r="M361" s="544"/>
      <c r="N361" s="545"/>
      <c r="O361" s="285"/>
    </row>
    <row r="362" spans="13:15" x14ac:dyDescent="0.2">
      <c r="M362" s="544"/>
      <c r="N362" s="545"/>
      <c r="O362" s="285"/>
    </row>
    <row r="363" spans="13:15" x14ac:dyDescent="0.2">
      <c r="M363" s="544"/>
      <c r="N363" s="545"/>
      <c r="O363" s="285"/>
    </row>
    <row r="364" spans="13:15" x14ac:dyDescent="0.2">
      <c r="M364" s="544"/>
      <c r="N364" s="545"/>
      <c r="O364" s="285"/>
    </row>
    <row r="365" spans="13:15" x14ac:dyDescent="0.2">
      <c r="M365" s="544"/>
      <c r="N365" s="545"/>
      <c r="O365" s="285"/>
    </row>
    <row r="366" spans="13:15" x14ac:dyDescent="0.2">
      <c r="M366" s="544"/>
      <c r="N366" s="545"/>
      <c r="O366" s="285"/>
    </row>
    <row r="367" spans="13:15" x14ac:dyDescent="0.2">
      <c r="M367" s="544"/>
      <c r="N367" s="545"/>
      <c r="O367" s="285"/>
    </row>
    <row r="368" spans="13:15" x14ac:dyDescent="0.2">
      <c r="M368" s="544"/>
      <c r="N368" s="545"/>
      <c r="O368" s="285"/>
    </row>
    <row r="369" spans="13:15" x14ac:dyDescent="0.2">
      <c r="M369" s="544"/>
      <c r="N369" s="545"/>
      <c r="O369" s="285"/>
    </row>
    <row r="370" spans="13:15" x14ac:dyDescent="0.2">
      <c r="M370" s="544"/>
      <c r="N370" s="545"/>
      <c r="O370" s="285"/>
    </row>
    <row r="371" spans="13:15" x14ac:dyDescent="0.2">
      <c r="M371" s="544"/>
      <c r="N371" s="545"/>
      <c r="O371" s="285"/>
    </row>
    <row r="372" spans="13:15" x14ac:dyDescent="0.2">
      <c r="M372" s="544"/>
      <c r="N372" s="545"/>
      <c r="O372" s="285"/>
    </row>
    <row r="373" spans="13:15" x14ac:dyDescent="0.2">
      <c r="M373" s="544"/>
      <c r="N373" s="545"/>
      <c r="O373" s="285"/>
    </row>
    <row r="374" spans="13:15" x14ac:dyDescent="0.2">
      <c r="M374" s="544"/>
      <c r="N374" s="545"/>
      <c r="O374" s="285"/>
    </row>
    <row r="375" spans="13:15" x14ac:dyDescent="0.2">
      <c r="M375" s="544"/>
      <c r="N375" s="545"/>
      <c r="O375" s="285"/>
    </row>
    <row r="376" spans="13:15" x14ac:dyDescent="0.2">
      <c r="M376" s="544"/>
      <c r="N376" s="545"/>
      <c r="O376" s="285"/>
    </row>
    <row r="377" spans="13:15" x14ac:dyDescent="0.2">
      <c r="M377" s="544"/>
      <c r="N377" s="545"/>
      <c r="O377" s="285"/>
    </row>
    <row r="378" spans="13:15" x14ac:dyDescent="0.2">
      <c r="M378" s="544"/>
      <c r="N378" s="545"/>
      <c r="O378" s="285"/>
    </row>
    <row r="379" spans="13:15" x14ac:dyDescent="0.2">
      <c r="M379" s="544"/>
      <c r="N379" s="545"/>
      <c r="O379" s="285"/>
    </row>
    <row r="380" spans="13:15" x14ac:dyDescent="0.2">
      <c r="M380" s="544"/>
      <c r="N380" s="545"/>
      <c r="O380" s="285"/>
    </row>
    <row r="381" spans="13:15" x14ac:dyDescent="0.2">
      <c r="M381" s="544"/>
      <c r="N381" s="545"/>
      <c r="O381" s="285"/>
    </row>
    <row r="382" spans="13:15" x14ac:dyDescent="0.2">
      <c r="M382" s="544"/>
      <c r="N382" s="545"/>
      <c r="O382" s="285"/>
    </row>
    <row r="383" spans="13:15" x14ac:dyDescent="0.2">
      <c r="M383" s="544"/>
      <c r="N383" s="545"/>
      <c r="O383" s="285"/>
    </row>
    <row r="384" spans="13:15" x14ac:dyDescent="0.2">
      <c r="M384" s="544"/>
      <c r="N384" s="545"/>
      <c r="O384" s="285"/>
    </row>
    <row r="385" spans="13:15" x14ac:dyDescent="0.2">
      <c r="M385" s="544"/>
      <c r="N385" s="545"/>
      <c r="O385" s="285"/>
    </row>
    <row r="386" spans="13:15" x14ac:dyDescent="0.2">
      <c r="M386" s="544"/>
      <c r="N386" s="545"/>
      <c r="O386" s="285"/>
    </row>
    <row r="387" spans="13:15" x14ac:dyDescent="0.2">
      <c r="M387" s="544"/>
      <c r="N387" s="545"/>
      <c r="O387" s="285"/>
    </row>
    <row r="388" spans="13:15" x14ac:dyDescent="0.2">
      <c r="M388" s="544"/>
      <c r="N388" s="545"/>
      <c r="O388" s="285"/>
    </row>
    <row r="389" spans="13:15" x14ac:dyDescent="0.2">
      <c r="M389" s="544"/>
      <c r="N389" s="545"/>
      <c r="O389" s="285"/>
    </row>
    <row r="390" spans="13:15" x14ac:dyDescent="0.2">
      <c r="M390" s="544"/>
      <c r="N390" s="545"/>
      <c r="O390" s="285"/>
    </row>
    <row r="391" spans="13:15" x14ac:dyDescent="0.2">
      <c r="M391" s="544"/>
      <c r="N391" s="545"/>
      <c r="O391" s="285"/>
    </row>
    <row r="392" spans="13:15" x14ac:dyDescent="0.2">
      <c r="M392" s="544"/>
      <c r="N392" s="545"/>
      <c r="O392" s="285"/>
    </row>
    <row r="393" spans="13:15" x14ac:dyDescent="0.2">
      <c r="M393" s="544"/>
      <c r="N393" s="545"/>
      <c r="O393" s="285"/>
    </row>
    <row r="394" spans="13:15" x14ac:dyDescent="0.2">
      <c r="M394" s="544"/>
      <c r="N394" s="545"/>
      <c r="O394" s="285"/>
    </row>
    <row r="395" spans="13:15" x14ac:dyDescent="0.2">
      <c r="M395" s="544"/>
      <c r="N395" s="545"/>
      <c r="O395" s="285"/>
    </row>
    <row r="396" spans="13:15" x14ac:dyDescent="0.2">
      <c r="M396" s="544"/>
      <c r="N396" s="545"/>
      <c r="O396" s="285"/>
    </row>
    <row r="397" spans="13:15" x14ac:dyDescent="0.2">
      <c r="M397" s="544"/>
      <c r="N397" s="545"/>
      <c r="O397" s="285"/>
    </row>
    <row r="398" spans="13:15" x14ac:dyDescent="0.2">
      <c r="M398" s="544"/>
      <c r="N398" s="545"/>
      <c r="O398" s="285"/>
    </row>
    <row r="399" spans="13:15" x14ac:dyDescent="0.2">
      <c r="M399" s="544"/>
      <c r="N399" s="545"/>
      <c r="O399" s="285"/>
    </row>
    <row r="400" spans="13:15" x14ac:dyDescent="0.2">
      <c r="M400" s="544"/>
      <c r="N400" s="545"/>
      <c r="O400" s="285"/>
    </row>
    <row r="401" spans="13:15" x14ac:dyDescent="0.2">
      <c r="M401" s="544"/>
      <c r="N401" s="545"/>
      <c r="O401" s="285"/>
    </row>
    <row r="402" spans="13:15" x14ac:dyDescent="0.2">
      <c r="M402" s="544"/>
      <c r="N402" s="545"/>
      <c r="O402" s="285"/>
    </row>
    <row r="403" spans="13:15" x14ac:dyDescent="0.2">
      <c r="M403" s="544"/>
      <c r="N403" s="545"/>
      <c r="O403" s="285"/>
    </row>
    <row r="404" spans="13:15" x14ac:dyDescent="0.2">
      <c r="M404" s="544"/>
      <c r="N404" s="545"/>
      <c r="O404" s="285"/>
    </row>
    <row r="405" spans="13:15" x14ac:dyDescent="0.2">
      <c r="M405" s="544"/>
      <c r="N405" s="545"/>
      <c r="O405" s="285"/>
    </row>
    <row r="406" spans="13:15" x14ac:dyDescent="0.2">
      <c r="M406" s="544"/>
      <c r="N406" s="545"/>
      <c r="O406" s="285"/>
    </row>
    <row r="407" spans="13:15" x14ac:dyDescent="0.2">
      <c r="M407" s="544"/>
      <c r="N407" s="545"/>
      <c r="O407" s="285"/>
    </row>
    <row r="408" spans="13:15" x14ac:dyDescent="0.2">
      <c r="M408" s="544"/>
      <c r="N408" s="545"/>
      <c r="O408" s="285"/>
    </row>
    <row r="409" spans="13:15" x14ac:dyDescent="0.2">
      <c r="M409" s="544"/>
      <c r="N409" s="545"/>
      <c r="O409" s="285"/>
    </row>
    <row r="410" spans="13:15" x14ac:dyDescent="0.2">
      <c r="M410" s="544"/>
      <c r="N410" s="545"/>
      <c r="O410" s="285"/>
    </row>
    <row r="411" spans="13:15" x14ac:dyDescent="0.2">
      <c r="M411" s="544"/>
      <c r="N411" s="545"/>
      <c r="O411" s="285"/>
    </row>
    <row r="412" spans="13:15" x14ac:dyDescent="0.2">
      <c r="M412" s="544"/>
      <c r="N412" s="545"/>
      <c r="O412" s="285"/>
    </row>
    <row r="413" spans="13:15" x14ac:dyDescent="0.2">
      <c r="M413" s="544"/>
      <c r="N413" s="545"/>
      <c r="O413" s="285"/>
    </row>
    <row r="414" spans="13:15" x14ac:dyDescent="0.2">
      <c r="M414" s="544"/>
      <c r="N414" s="545"/>
      <c r="O414" s="285"/>
    </row>
    <row r="415" spans="13:15" x14ac:dyDescent="0.2">
      <c r="M415" s="544"/>
      <c r="N415" s="545"/>
      <c r="O415" s="285"/>
    </row>
    <row r="416" spans="13:15" x14ac:dyDescent="0.2">
      <c r="M416" s="544"/>
      <c r="N416" s="545"/>
      <c r="O416" s="285"/>
    </row>
    <row r="417" spans="13:15" x14ac:dyDescent="0.2">
      <c r="M417" s="544"/>
      <c r="N417" s="545"/>
      <c r="O417" s="285"/>
    </row>
    <row r="418" spans="13:15" x14ac:dyDescent="0.2">
      <c r="M418" s="544"/>
      <c r="N418" s="545"/>
      <c r="O418" s="285"/>
    </row>
    <row r="419" spans="13:15" x14ac:dyDescent="0.2">
      <c r="M419" s="544"/>
      <c r="N419" s="545"/>
      <c r="O419" s="285"/>
    </row>
    <row r="420" spans="13:15" x14ac:dyDescent="0.2">
      <c r="M420" s="544"/>
      <c r="N420" s="545"/>
      <c r="O420" s="285"/>
    </row>
    <row r="421" spans="13:15" x14ac:dyDescent="0.2">
      <c r="M421" s="544"/>
      <c r="N421" s="545"/>
      <c r="O421" s="285"/>
    </row>
    <row r="422" spans="13:15" x14ac:dyDescent="0.2">
      <c r="M422" s="544"/>
      <c r="N422" s="545"/>
      <c r="O422" s="285"/>
    </row>
    <row r="423" spans="13:15" x14ac:dyDescent="0.2">
      <c r="M423" s="544"/>
      <c r="N423" s="545"/>
      <c r="O423" s="285"/>
    </row>
    <row r="424" spans="13:15" x14ac:dyDescent="0.2">
      <c r="M424" s="544"/>
      <c r="N424" s="545"/>
      <c r="O424" s="285"/>
    </row>
    <row r="425" spans="13:15" x14ac:dyDescent="0.2">
      <c r="M425" s="544"/>
      <c r="N425" s="545"/>
      <c r="O425" s="285"/>
    </row>
    <row r="426" spans="13:15" x14ac:dyDescent="0.2">
      <c r="M426" s="544"/>
      <c r="N426" s="545"/>
      <c r="O426" s="285"/>
    </row>
    <row r="427" spans="13:15" x14ac:dyDescent="0.2">
      <c r="M427" s="544"/>
      <c r="N427" s="545"/>
      <c r="O427" s="285"/>
    </row>
    <row r="428" spans="13:15" x14ac:dyDescent="0.2">
      <c r="M428" s="544"/>
      <c r="N428" s="545"/>
      <c r="O428" s="285"/>
    </row>
    <row r="429" spans="13:15" x14ac:dyDescent="0.2">
      <c r="M429" s="544"/>
      <c r="N429" s="545"/>
      <c r="O429" s="285"/>
    </row>
    <row r="430" spans="13:15" x14ac:dyDescent="0.2">
      <c r="M430" s="544"/>
      <c r="N430" s="545"/>
      <c r="O430" s="285"/>
    </row>
    <row r="431" spans="13:15" x14ac:dyDescent="0.2">
      <c r="M431" s="544"/>
      <c r="N431" s="545"/>
      <c r="O431" s="285"/>
    </row>
    <row r="432" spans="13:15" x14ac:dyDescent="0.2">
      <c r="M432" s="544"/>
      <c r="N432" s="545"/>
      <c r="O432" s="285"/>
    </row>
    <row r="433" spans="13:15" x14ac:dyDescent="0.2">
      <c r="M433" s="544"/>
      <c r="N433" s="545"/>
      <c r="O433" s="285"/>
    </row>
    <row r="434" spans="13:15" x14ac:dyDescent="0.2">
      <c r="M434" s="544"/>
      <c r="N434" s="545"/>
      <c r="O434" s="285"/>
    </row>
    <row r="435" spans="13:15" x14ac:dyDescent="0.2">
      <c r="M435" s="544"/>
      <c r="N435" s="545"/>
      <c r="O435" s="285"/>
    </row>
    <row r="436" spans="13:15" x14ac:dyDescent="0.2">
      <c r="M436" s="544"/>
      <c r="N436" s="545"/>
      <c r="O436" s="285"/>
    </row>
    <row r="437" spans="13:15" x14ac:dyDescent="0.2">
      <c r="M437" s="544"/>
      <c r="N437" s="545"/>
      <c r="O437" s="285"/>
    </row>
    <row r="438" spans="13:15" x14ac:dyDescent="0.2">
      <c r="M438" s="544"/>
      <c r="N438" s="545"/>
      <c r="O438" s="285"/>
    </row>
    <row r="439" spans="13:15" x14ac:dyDescent="0.2">
      <c r="M439" s="544"/>
      <c r="N439" s="545"/>
      <c r="O439" s="285"/>
    </row>
    <row r="440" spans="13:15" x14ac:dyDescent="0.2">
      <c r="M440" s="544"/>
      <c r="N440" s="545"/>
      <c r="O440" s="285"/>
    </row>
    <row r="441" spans="13:15" x14ac:dyDescent="0.2">
      <c r="M441" s="544"/>
      <c r="N441" s="545"/>
      <c r="O441" s="285"/>
    </row>
    <row r="442" spans="13:15" x14ac:dyDescent="0.2">
      <c r="M442" s="544"/>
      <c r="N442" s="545"/>
      <c r="O442" s="285"/>
    </row>
    <row r="443" spans="13:15" x14ac:dyDescent="0.2">
      <c r="M443" s="544"/>
      <c r="N443" s="545"/>
      <c r="O443" s="285"/>
    </row>
    <row r="444" spans="13:15" x14ac:dyDescent="0.2">
      <c r="M444" s="544"/>
      <c r="N444" s="545"/>
      <c r="O444" s="285"/>
    </row>
    <row r="445" spans="13:15" x14ac:dyDescent="0.2">
      <c r="M445" s="544"/>
      <c r="N445" s="545"/>
      <c r="O445" s="285"/>
    </row>
    <row r="446" spans="13:15" x14ac:dyDescent="0.2">
      <c r="M446" s="544"/>
      <c r="N446" s="545"/>
      <c r="O446" s="285"/>
    </row>
    <row r="447" spans="13:15" x14ac:dyDescent="0.2">
      <c r="M447" s="544"/>
      <c r="N447" s="545"/>
      <c r="O447" s="285"/>
    </row>
    <row r="448" spans="13:15" x14ac:dyDescent="0.2">
      <c r="M448" s="544"/>
      <c r="N448" s="545"/>
      <c r="O448" s="285"/>
    </row>
    <row r="449" spans="13:15" x14ac:dyDescent="0.2">
      <c r="M449" s="544"/>
      <c r="N449" s="545"/>
      <c r="O449" s="285"/>
    </row>
    <row r="450" spans="13:15" x14ac:dyDescent="0.2">
      <c r="M450" s="544"/>
      <c r="N450" s="545"/>
      <c r="O450" s="285"/>
    </row>
    <row r="451" spans="13:15" x14ac:dyDescent="0.2">
      <c r="M451" s="544"/>
      <c r="N451" s="545"/>
      <c r="O451" s="285"/>
    </row>
    <row r="452" spans="13:15" x14ac:dyDescent="0.2">
      <c r="M452" s="544"/>
      <c r="N452" s="545"/>
      <c r="O452" s="285"/>
    </row>
    <row r="453" spans="13:15" x14ac:dyDescent="0.2">
      <c r="M453" s="544"/>
      <c r="N453" s="545"/>
      <c r="O453" s="285"/>
    </row>
    <row r="454" spans="13:15" x14ac:dyDescent="0.2">
      <c r="M454" s="544"/>
      <c r="N454" s="545"/>
      <c r="O454" s="285"/>
    </row>
    <row r="455" spans="13:15" x14ac:dyDescent="0.2">
      <c r="M455" s="544"/>
      <c r="N455" s="545"/>
      <c r="O455" s="285"/>
    </row>
    <row r="456" spans="13:15" x14ac:dyDescent="0.2">
      <c r="M456" s="544"/>
      <c r="N456" s="545"/>
      <c r="O456" s="285"/>
    </row>
    <row r="457" spans="13:15" x14ac:dyDescent="0.2">
      <c r="M457" s="544"/>
      <c r="N457" s="545"/>
      <c r="O457" s="285"/>
    </row>
    <row r="458" spans="13:15" x14ac:dyDescent="0.2">
      <c r="M458" s="544"/>
      <c r="N458" s="545"/>
      <c r="O458" s="285"/>
    </row>
    <row r="459" spans="13:15" x14ac:dyDescent="0.2">
      <c r="M459" s="544"/>
      <c r="N459" s="545"/>
      <c r="O459" s="285"/>
    </row>
    <row r="460" spans="13:15" x14ac:dyDescent="0.2">
      <c r="M460" s="544"/>
      <c r="N460" s="545"/>
      <c r="O460" s="285"/>
    </row>
    <row r="461" spans="13:15" x14ac:dyDescent="0.2">
      <c r="M461" s="544"/>
      <c r="N461" s="545"/>
      <c r="O461" s="285"/>
    </row>
    <row r="462" spans="13:15" x14ac:dyDescent="0.2">
      <c r="M462" s="544"/>
      <c r="N462" s="545"/>
      <c r="O462" s="285"/>
    </row>
    <row r="463" spans="13:15" x14ac:dyDescent="0.2">
      <c r="M463" s="544"/>
      <c r="N463" s="545"/>
      <c r="O463" s="285"/>
    </row>
    <row r="464" spans="13:15" x14ac:dyDescent="0.2">
      <c r="M464" s="544"/>
      <c r="N464" s="545"/>
      <c r="O464" s="285"/>
    </row>
    <row r="465" spans="13:15" x14ac:dyDescent="0.2">
      <c r="M465" s="544"/>
      <c r="N465" s="545"/>
      <c r="O465" s="285"/>
    </row>
    <row r="466" spans="13:15" x14ac:dyDescent="0.2">
      <c r="M466" s="544"/>
      <c r="N466" s="545"/>
      <c r="O466" s="285"/>
    </row>
    <row r="467" spans="13:15" x14ac:dyDescent="0.2">
      <c r="M467" s="544"/>
      <c r="N467" s="545"/>
      <c r="O467" s="285"/>
    </row>
    <row r="468" spans="13:15" x14ac:dyDescent="0.2">
      <c r="M468" s="544"/>
      <c r="N468" s="545"/>
      <c r="O468" s="285"/>
    </row>
    <row r="469" spans="13:15" x14ac:dyDescent="0.2">
      <c r="M469" s="544"/>
      <c r="N469" s="545"/>
      <c r="O469" s="285"/>
    </row>
    <row r="470" spans="13:15" x14ac:dyDescent="0.2">
      <c r="M470" s="544"/>
      <c r="N470" s="545"/>
      <c r="O470" s="285"/>
    </row>
    <row r="471" spans="13:15" x14ac:dyDescent="0.2">
      <c r="M471" s="544"/>
      <c r="N471" s="545"/>
      <c r="O471" s="285"/>
    </row>
    <row r="472" spans="13:15" x14ac:dyDescent="0.2">
      <c r="M472" s="544"/>
      <c r="N472" s="545"/>
      <c r="O472" s="285"/>
    </row>
    <row r="473" spans="13:15" x14ac:dyDescent="0.2">
      <c r="M473" s="544"/>
      <c r="N473" s="545"/>
      <c r="O473" s="285"/>
    </row>
    <row r="474" spans="13:15" x14ac:dyDescent="0.2">
      <c r="M474" s="544"/>
      <c r="N474" s="545"/>
      <c r="O474" s="285"/>
    </row>
    <row r="475" spans="13:15" x14ac:dyDescent="0.2">
      <c r="M475" s="544"/>
      <c r="N475" s="545"/>
      <c r="O475" s="285"/>
    </row>
    <row r="476" spans="13:15" x14ac:dyDescent="0.2">
      <c r="M476" s="544"/>
      <c r="N476" s="545"/>
      <c r="O476" s="285"/>
    </row>
    <row r="477" spans="13:15" x14ac:dyDescent="0.2">
      <c r="M477" s="544"/>
      <c r="N477" s="545"/>
      <c r="O477" s="285"/>
    </row>
    <row r="478" spans="13:15" x14ac:dyDescent="0.2">
      <c r="M478" s="544"/>
      <c r="N478" s="545"/>
      <c r="O478" s="285"/>
    </row>
    <row r="479" spans="13:15" x14ac:dyDescent="0.2">
      <c r="M479" s="544"/>
      <c r="N479" s="545"/>
      <c r="O479" s="285"/>
    </row>
    <row r="480" spans="13:15" x14ac:dyDescent="0.2">
      <c r="M480" s="544"/>
      <c r="N480" s="545"/>
      <c r="O480" s="285"/>
    </row>
    <row r="481" spans="13:15" x14ac:dyDescent="0.2">
      <c r="M481" s="544"/>
      <c r="N481" s="545"/>
      <c r="O481" s="285"/>
    </row>
    <row r="482" spans="13:15" x14ac:dyDescent="0.2">
      <c r="M482" s="544"/>
      <c r="N482" s="545"/>
      <c r="O482" s="285"/>
    </row>
    <row r="483" spans="13:15" x14ac:dyDescent="0.2">
      <c r="M483" s="544"/>
      <c r="N483" s="545"/>
      <c r="O483" s="285"/>
    </row>
    <row r="484" spans="13:15" x14ac:dyDescent="0.2">
      <c r="M484" s="544"/>
      <c r="N484" s="545"/>
      <c r="O484" s="285"/>
    </row>
    <row r="485" spans="13:15" x14ac:dyDescent="0.2">
      <c r="M485" s="544"/>
      <c r="N485" s="545"/>
      <c r="O485" s="285"/>
    </row>
    <row r="486" spans="13:15" x14ac:dyDescent="0.2">
      <c r="M486" s="544"/>
      <c r="N486" s="545"/>
      <c r="O486" s="285"/>
    </row>
    <row r="487" spans="13:15" x14ac:dyDescent="0.2">
      <c r="M487" s="544"/>
      <c r="N487" s="545"/>
      <c r="O487" s="285"/>
    </row>
    <row r="488" spans="13:15" x14ac:dyDescent="0.2">
      <c r="M488" s="544"/>
      <c r="N488" s="545"/>
      <c r="O488" s="285"/>
    </row>
    <row r="489" spans="13:15" x14ac:dyDescent="0.2">
      <c r="M489" s="544"/>
      <c r="N489" s="545"/>
      <c r="O489" s="285"/>
    </row>
    <row r="490" spans="13:15" x14ac:dyDescent="0.2">
      <c r="M490" s="544"/>
      <c r="N490" s="545"/>
      <c r="O490" s="285"/>
    </row>
    <row r="491" spans="13:15" x14ac:dyDescent="0.2">
      <c r="M491" s="544"/>
      <c r="N491" s="545"/>
      <c r="O491" s="285"/>
    </row>
    <row r="492" spans="13:15" x14ac:dyDescent="0.2">
      <c r="M492" s="544"/>
      <c r="N492" s="545"/>
      <c r="O492" s="285"/>
    </row>
    <row r="493" spans="13:15" x14ac:dyDescent="0.2">
      <c r="M493" s="544"/>
      <c r="N493" s="545"/>
      <c r="O493" s="285"/>
    </row>
    <row r="494" spans="13:15" x14ac:dyDescent="0.2">
      <c r="M494" s="544"/>
      <c r="N494" s="545"/>
      <c r="O494" s="285"/>
    </row>
    <row r="495" spans="13:15" x14ac:dyDescent="0.2">
      <c r="M495" s="544"/>
      <c r="N495" s="545"/>
      <c r="O495" s="285"/>
    </row>
    <row r="496" spans="13:15" x14ac:dyDescent="0.2">
      <c r="M496" s="544"/>
      <c r="N496" s="545"/>
      <c r="O496" s="285"/>
    </row>
    <row r="497" spans="13:15" x14ac:dyDescent="0.2">
      <c r="M497" s="544"/>
      <c r="N497" s="545"/>
      <c r="O497" s="285"/>
    </row>
    <row r="498" spans="13:15" x14ac:dyDescent="0.2">
      <c r="M498" s="544"/>
      <c r="N498" s="545"/>
      <c r="O498" s="285"/>
    </row>
    <row r="499" spans="13:15" x14ac:dyDescent="0.2">
      <c r="M499" s="544"/>
      <c r="N499" s="545"/>
      <c r="O499" s="285"/>
    </row>
    <row r="500" spans="13:15" x14ac:dyDescent="0.2">
      <c r="M500" s="544"/>
      <c r="N500" s="545"/>
      <c r="O500" s="285"/>
    </row>
    <row r="501" spans="13:15" x14ac:dyDescent="0.2">
      <c r="M501" s="544"/>
      <c r="N501" s="545"/>
      <c r="O501" s="285"/>
    </row>
    <row r="502" spans="13:15" x14ac:dyDescent="0.2">
      <c r="M502" s="544"/>
      <c r="N502" s="545"/>
      <c r="O502" s="285"/>
    </row>
    <row r="503" spans="13:15" x14ac:dyDescent="0.2">
      <c r="M503" s="544"/>
      <c r="N503" s="545"/>
      <c r="O503" s="285"/>
    </row>
    <row r="504" spans="13:15" x14ac:dyDescent="0.2">
      <c r="M504" s="544"/>
      <c r="N504" s="545"/>
      <c r="O504" s="285"/>
    </row>
    <row r="505" spans="13:15" x14ac:dyDescent="0.2">
      <c r="M505" s="544"/>
      <c r="N505" s="545"/>
      <c r="O505" s="285"/>
    </row>
    <row r="506" spans="13:15" x14ac:dyDescent="0.2">
      <c r="M506" s="544"/>
      <c r="N506" s="545"/>
      <c r="O506" s="285"/>
    </row>
    <row r="507" spans="13:15" x14ac:dyDescent="0.2">
      <c r="M507" s="544"/>
      <c r="N507" s="545"/>
      <c r="O507" s="285"/>
    </row>
    <row r="508" spans="13:15" x14ac:dyDescent="0.2">
      <c r="M508" s="544"/>
      <c r="N508" s="545"/>
      <c r="O508" s="285"/>
    </row>
    <row r="509" spans="13:15" x14ac:dyDescent="0.2">
      <c r="M509" s="544"/>
      <c r="N509" s="545"/>
      <c r="O509" s="285"/>
    </row>
    <row r="510" spans="13:15" x14ac:dyDescent="0.2">
      <c r="M510" s="544"/>
      <c r="N510" s="545"/>
      <c r="O510" s="285"/>
    </row>
    <row r="511" spans="13:15" x14ac:dyDescent="0.2">
      <c r="M511" s="544"/>
      <c r="N511" s="545"/>
      <c r="O511" s="285"/>
    </row>
    <row r="512" spans="13:15" x14ac:dyDescent="0.2">
      <c r="M512" s="544"/>
      <c r="N512" s="545"/>
      <c r="O512" s="285"/>
    </row>
    <row r="513" spans="13:15" x14ac:dyDescent="0.2">
      <c r="M513" s="544"/>
      <c r="N513" s="545"/>
      <c r="O513" s="285"/>
    </row>
    <row r="514" spans="13:15" x14ac:dyDescent="0.2">
      <c r="M514" s="544"/>
      <c r="N514" s="545"/>
      <c r="O514" s="285"/>
    </row>
    <row r="515" spans="13:15" x14ac:dyDescent="0.2">
      <c r="M515" s="544"/>
      <c r="N515" s="545"/>
      <c r="O515" s="285"/>
    </row>
    <row r="516" spans="13:15" x14ac:dyDescent="0.2">
      <c r="M516" s="544"/>
      <c r="N516" s="545"/>
      <c r="O516" s="285"/>
    </row>
    <row r="517" spans="13:15" x14ac:dyDescent="0.2">
      <c r="M517" s="544"/>
      <c r="N517" s="545"/>
      <c r="O517" s="285"/>
    </row>
    <row r="518" spans="13:15" x14ac:dyDescent="0.2">
      <c r="M518" s="544"/>
      <c r="N518" s="545"/>
      <c r="O518" s="285"/>
    </row>
    <row r="519" spans="13:15" x14ac:dyDescent="0.2">
      <c r="M519" s="544"/>
      <c r="N519" s="545"/>
      <c r="O519" s="285"/>
    </row>
    <row r="520" spans="13:15" x14ac:dyDescent="0.2">
      <c r="M520" s="544"/>
      <c r="N520" s="545"/>
      <c r="O520" s="285"/>
    </row>
    <row r="521" spans="13:15" x14ac:dyDescent="0.2">
      <c r="M521" s="544"/>
      <c r="N521" s="545"/>
      <c r="O521" s="285"/>
    </row>
    <row r="522" spans="13:15" x14ac:dyDescent="0.2">
      <c r="M522" s="544"/>
      <c r="N522" s="545"/>
      <c r="O522" s="285"/>
    </row>
    <row r="523" spans="13:15" x14ac:dyDescent="0.2">
      <c r="M523" s="544"/>
      <c r="N523" s="545"/>
      <c r="O523" s="285"/>
    </row>
    <row r="524" spans="13:15" x14ac:dyDescent="0.2">
      <c r="M524" s="544"/>
      <c r="N524" s="545"/>
      <c r="O524" s="285"/>
    </row>
    <row r="525" spans="13:15" x14ac:dyDescent="0.2">
      <c r="M525" s="544"/>
      <c r="N525" s="545"/>
      <c r="O525" s="285"/>
    </row>
    <row r="526" spans="13:15" x14ac:dyDescent="0.2">
      <c r="M526" s="544"/>
      <c r="N526" s="545"/>
      <c r="O526" s="285"/>
    </row>
    <row r="527" spans="13:15" x14ac:dyDescent="0.2">
      <c r="M527" s="544"/>
      <c r="N527" s="545"/>
      <c r="O527" s="285"/>
    </row>
    <row r="528" spans="13:15" x14ac:dyDescent="0.2">
      <c r="M528" s="544"/>
      <c r="N528" s="545"/>
      <c r="O528" s="285"/>
    </row>
    <row r="529" spans="13:15" x14ac:dyDescent="0.2">
      <c r="M529" s="544"/>
      <c r="N529" s="545"/>
      <c r="O529" s="285"/>
    </row>
    <row r="530" spans="13:15" x14ac:dyDescent="0.2">
      <c r="M530" s="544"/>
      <c r="N530" s="545"/>
      <c r="O530" s="285"/>
    </row>
    <row r="531" spans="13:15" x14ac:dyDescent="0.2">
      <c r="M531" s="544"/>
      <c r="N531" s="545"/>
      <c r="O531" s="285"/>
    </row>
    <row r="532" spans="13:15" x14ac:dyDescent="0.2">
      <c r="M532" s="544"/>
      <c r="N532" s="545"/>
      <c r="O532" s="285"/>
    </row>
    <row r="533" spans="13:15" x14ac:dyDescent="0.2">
      <c r="M533" s="544"/>
      <c r="N533" s="545"/>
      <c r="O533" s="285"/>
    </row>
    <row r="534" spans="13:15" x14ac:dyDescent="0.2">
      <c r="M534" s="544"/>
      <c r="N534" s="545"/>
      <c r="O534" s="285"/>
    </row>
    <row r="535" spans="13:15" x14ac:dyDescent="0.2">
      <c r="M535" s="544"/>
      <c r="N535" s="545"/>
      <c r="O535" s="285"/>
    </row>
    <row r="536" spans="13:15" x14ac:dyDescent="0.2">
      <c r="M536" s="544"/>
      <c r="N536" s="545"/>
      <c r="O536" s="285"/>
    </row>
    <row r="537" spans="13:15" x14ac:dyDescent="0.2">
      <c r="M537" s="544"/>
      <c r="N537" s="545"/>
      <c r="O537" s="285"/>
    </row>
    <row r="538" spans="13:15" x14ac:dyDescent="0.2">
      <c r="M538" s="544"/>
      <c r="N538" s="545"/>
      <c r="O538" s="285"/>
    </row>
    <row r="539" spans="13:15" x14ac:dyDescent="0.2">
      <c r="M539" s="544"/>
      <c r="N539" s="545"/>
      <c r="O539" s="285"/>
    </row>
    <row r="540" spans="13:15" x14ac:dyDescent="0.2">
      <c r="M540" s="544"/>
      <c r="N540" s="545"/>
      <c r="O540" s="285"/>
    </row>
    <row r="541" spans="13:15" x14ac:dyDescent="0.2">
      <c r="M541" s="544"/>
      <c r="N541" s="545"/>
      <c r="O541" s="285"/>
    </row>
    <row r="542" spans="13:15" x14ac:dyDescent="0.2">
      <c r="M542" s="544"/>
      <c r="N542" s="545"/>
      <c r="O542" s="285"/>
    </row>
    <row r="543" spans="13:15" x14ac:dyDescent="0.2">
      <c r="M543" s="544"/>
      <c r="N543" s="545"/>
      <c r="O543" s="285"/>
    </row>
    <row r="544" spans="13:15" x14ac:dyDescent="0.2">
      <c r="M544" s="544"/>
      <c r="N544" s="545"/>
      <c r="O544" s="285"/>
    </row>
    <row r="545" spans="13:15" x14ac:dyDescent="0.2">
      <c r="M545" s="544"/>
      <c r="N545" s="545"/>
      <c r="O545" s="285"/>
    </row>
    <row r="546" spans="13:15" x14ac:dyDescent="0.2">
      <c r="M546" s="544"/>
      <c r="N546" s="545"/>
      <c r="O546" s="285"/>
    </row>
    <row r="547" spans="13:15" x14ac:dyDescent="0.2">
      <c r="M547" s="544"/>
      <c r="N547" s="545"/>
      <c r="O547" s="285"/>
    </row>
    <row r="548" spans="13:15" x14ac:dyDescent="0.2">
      <c r="M548" s="544"/>
      <c r="N548" s="545"/>
      <c r="O548" s="285"/>
    </row>
    <row r="549" spans="13:15" x14ac:dyDescent="0.2">
      <c r="M549" s="544"/>
      <c r="N549" s="545"/>
      <c r="O549" s="285"/>
    </row>
    <row r="550" spans="13:15" x14ac:dyDescent="0.2">
      <c r="M550" s="544"/>
      <c r="N550" s="545"/>
      <c r="O550" s="285"/>
    </row>
    <row r="551" spans="13:15" x14ac:dyDescent="0.2">
      <c r="M551" s="544"/>
      <c r="N551" s="545"/>
      <c r="O551" s="285"/>
    </row>
    <row r="552" spans="13:15" x14ac:dyDescent="0.2">
      <c r="M552" s="544"/>
      <c r="N552" s="545"/>
      <c r="O552" s="285"/>
    </row>
    <row r="553" spans="13:15" x14ac:dyDescent="0.2">
      <c r="M553" s="544"/>
      <c r="N553" s="545"/>
      <c r="O553" s="285"/>
    </row>
    <row r="554" spans="13:15" x14ac:dyDescent="0.2">
      <c r="M554" s="544"/>
      <c r="N554" s="545"/>
      <c r="O554" s="285"/>
    </row>
    <row r="555" spans="13:15" x14ac:dyDescent="0.2">
      <c r="M555" s="544"/>
      <c r="N555" s="545"/>
      <c r="O555" s="285"/>
    </row>
    <row r="556" spans="13:15" x14ac:dyDescent="0.2">
      <c r="M556" s="544"/>
      <c r="N556" s="545"/>
      <c r="O556" s="285"/>
    </row>
    <row r="557" spans="13:15" x14ac:dyDescent="0.2">
      <c r="M557" s="544"/>
      <c r="N557" s="545"/>
      <c r="O557" s="285"/>
    </row>
    <row r="558" spans="13:15" x14ac:dyDescent="0.2">
      <c r="M558" s="544"/>
      <c r="N558" s="545"/>
      <c r="O558" s="285"/>
    </row>
    <row r="559" spans="13:15" x14ac:dyDescent="0.2">
      <c r="M559" s="544"/>
      <c r="N559" s="545"/>
      <c r="O559" s="285"/>
    </row>
    <row r="560" spans="13:15" x14ac:dyDescent="0.2">
      <c r="M560" s="544"/>
      <c r="N560" s="545"/>
      <c r="O560" s="285"/>
    </row>
    <row r="561" spans="13:15" x14ac:dyDescent="0.2">
      <c r="M561" s="544"/>
      <c r="N561" s="545"/>
      <c r="O561" s="285"/>
    </row>
    <row r="562" spans="13:15" x14ac:dyDescent="0.2">
      <c r="M562" s="544"/>
      <c r="N562" s="545"/>
      <c r="O562" s="285"/>
    </row>
    <row r="563" spans="13:15" x14ac:dyDescent="0.2">
      <c r="M563" s="544"/>
      <c r="N563" s="545"/>
      <c r="O563" s="285"/>
    </row>
    <row r="564" spans="13:15" x14ac:dyDescent="0.2">
      <c r="M564" s="544"/>
      <c r="N564" s="545"/>
      <c r="O564" s="285"/>
    </row>
    <row r="565" spans="13:15" x14ac:dyDescent="0.2">
      <c r="M565" s="544"/>
      <c r="N565" s="545"/>
      <c r="O565" s="285"/>
    </row>
    <row r="566" spans="13:15" x14ac:dyDescent="0.2">
      <c r="M566" s="544"/>
      <c r="N566" s="545"/>
      <c r="O566" s="285"/>
    </row>
    <row r="567" spans="13:15" x14ac:dyDescent="0.2">
      <c r="M567" s="544"/>
      <c r="N567" s="545"/>
      <c r="O567" s="285"/>
    </row>
    <row r="568" spans="13:15" x14ac:dyDescent="0.2">
      <c r="M568" s="544"/>
      <c r="N568" s="545"/>
      <c r="O568" s="285"/>
    </row>
    <row r="569" spans="13:15" x14ac:dyDescent="0.2">
      <c r="M569" s="544"/>
      <c r="N569" s="545"/>
      <c r="O569" s="285"/>
    </row>
    <row r="570" spans="13:15" x14ac:dyDescent="0.2">
      <c r="M570" s="544"/>
      <c r="N570" s="545"/>
      <c r="O570" s="285"/>
    </row>
    <row r="571" spans="13:15" x14ac:dyDescent="0.2">
      <c r="M571" s="544"/>
      <c r="N571" s="545"/>
      <c r="O571" s="285"/>
    </row>
    <row r="572" spans="13:15" x14ac:dyDescent="0.2">
      <c r="M572" s="544"/>
      <c r="N572" s="545"/>
      <c r="O572" s="285"/>
    </row>
    <row r="573" spans="13:15" x14ac:dyDescent="0.2">
      <c r="M573" s="544"/>
      <c r="N573" s="545"/>
      <c r="O573" s="285"/>
    </row>
    <row r="574" spans="13:15" x14ac:dyDescent="0.2">
      <c r="M574" s="544"/>
      <c r="N574" s="545"/>
      <c r="O574" s="285"/>
    </row>
    <row r="575" spans="13:15" x14ac:dyDescent="0.2">
      <c r="M575" s="544"/>
      <c r="N575" s="545"/>
      <c r="O575" s="285"/>
    </row>
    <row r="576" spans="13:15" x14ac:dyDescent="0.2">
      <c r="M576" s="544"/>
      <c r="N576" s="545"/>
      <c r="O576" s="285"/>
    </row>
    <row r="577" spans="13:15" x14ac:dyDescent="0.2">
      <c r="M577" s="544"/>
      <c r="N577" s="545"/>
      <c r="O577" s="285"/>
    </row>
    <row r="578" spans="13:15" x14ac:dyDescent="0.2">
      <c r="M578" s="544"/>
      <c r="N578" s="545"/>
      <c r="O578" s="285"/>
    </row>
    <row r="579" spans="13:15" x14ac:dyDescent="0.2">
      <c r="M579" s="544"/>
      <c r="N579" s="545"/>
      <c r="O579" s="285"/>
    </row>
    <row r="580" spans="13:15" x14ac:dyDescent="0.2">
      <c r="M580" s="544"/>
      <c r="N580" s="545"/>
      <c r="O580" s="285"/>
    </row>
    <row r="581" spans="13:15" x14ac:dyDescent="0.2">
      <c r="M581" s="544"/>
      <c r="N581" s="545"/>
      <c r="O581" s="285"/>
    </row>
    <row r="582" spans="13:15" x14ac:dyDescent="0.2">
      <c r="M582" s="544"/>
      <c r="N582" s="545"/>
      <c r="O582" s="285"/>
    </row>
    <row r="583" spans="13:15" x14ac:dyDescent="0.2">
      <c r="M583" s="544"/>
      <c r="N583" s="545"/>
      <c r="O583" s="285"/>
    </row>
    <row r="584" spans="13:15" x14ac:dyDescent="0.2">
      <c r="M584" s="544"/>
      <c r="N584" s="545"/>
      <c r="O584" s="285"/>
    </row>
    <row r="585" spans="13:15" x14ac:dyDescent="0.2">
      <c r="M585" s="544"/>
      <c r="N585" s="545"/>
      <c r="O585" s="285"/>
    </row>
    <row r="586" spans="13:15" x14ac:dyDescent="0.2">
      <c r="M586" s="544"/>
      <c r="N586" s="545"/>
      <c r="O586" s="285"/>
    </row>
    <row r="587" spans="13:15" x14ac:dyDescent="0.2">
      <c r="M587" s="544"/>
      <c r="N587" s="545"/>
      <c r="O587" s="285"/>
    </row>
    <row r="588" spans="13:15" x14ac:dyDescent="0.2">
      <c r="M588" s="544"/>
      <c r="N588" s="545"/>
      <c r="O588" s="285"/>
    </row>
    <row r="589" spans="13:15" x14ac:dyDescent="0.2">
      <c r="M589" s="544"/>
      <c r="N589" s="545"/>
      <c r="O589" s="285"/>
    </row>
    <row r="590" spans="13:15" x14ac:dyDescent="0.2">
      <c r="M590" s="544"/>
      <c r="N590" s="545"/>
      <c r="O590" s="285"/>
    </row>
    <row r="591" spans="13:15" x14ac:dyDescent="0.2">
      <c r="M591" s="544"/>
      <c r="N591" s="545"/>
      <c r="O591" s="285"/>
    </row>
    <row r="592" spans="13:15" x14ac:dyDescent="0.2">
      <c r="M592" s="544"/>
      <c r="N592" s="545"/>
      <c r="O592" s="285"/>
    </row>
    <row r="593" spans="13:15" x14ac:dyDescent="0.2">
      <c r="M593" s="544"/>
      <c r="N593" s="545"/>
      <c r="O593" s="285"/>
    </row>
    <row r="594" spans="13:15" x14ac:dyDescent="0.2">
      <c r="M594" s="544"/>
      <c r="N594" s="545"/>
      <c r="O594" s="285"/>
    </row>
    <row r="595" spans="13:15" x14ac:dyDescent="0.2">
      <c r="M595" s="544"/>
      <c r="N595" s="545"/>
      <c r="O595" s="285"/>
    </row>
    <row r="596" spans="13:15" x14ac:dyDescent="0.2">
      <c r="M596" s="544"/>
      <c r="N596" s="545"/>
      <c r="O596" s="285"/>
    </row>
    <row r="597" spans="13:15" x14ac:dyDescent="0.2">
      <c r="M597" s="544"/>
      <c r="N597" s="545"/>
      <c r="O597" s="285"/>
    </row>
    <row r="598" spans="13:15" x14ac:dyDescent="0.2">
      <c r="M598" s="544"/>
      <c r="N598" s="545"/>
      <c r="O598" s="285"/>
    </row>
    <row r="599" spans="13:15" x14ac:dyDescent="0.2">
      <c r="M599" s="544"/>
      <c r="N599" s="545"/>
      <c r="O599" s="285"/>
    </row>
    <row r="600" spans="13:15" x14ac:dyDescent="0.2">
      <c r="M600" s="544"/>
      <c r="N600" s="545"/>
      <c r="O600" s="285"/>
    </row>
    <row r="601" spans="13:15" x14ac:dyDescent="0.2">
      <c r="M601" s="544"/>
      <c r="N601" s="545"/>
      <c r="O601" s="285"/>
    </row>
    <row r="602" spans="13:15" x14ac:dyDescent="0.2">
      <c r="M602" s="544"/>
      <c r="N602" s="545"/>
      <c r="O602" s="285"/>
    </row>
    <row r="603" spans="13:15" x14ac:dyDescent="0.2">
      <c r="M603" s="544"/>
      <c r="N603" s="545"/>
      <c r="O603" s="285"/>
    </row>
    <row r="604" spans="13:15" x14ac:dyDescent="0.2">
      <c r="M604" s="544"/>
      <c r="N604" s="545"/>
      <c r="O604" s="285"/>
    </row>
    <row r="605" spans="13:15" x14ac:dyDescent="0.2">
      <c r="M605" s="544"/>
      <c r="N605" s="545"/>
      <c r="O605" s="285"/>
    </row>
    <row r="606" spans="13:15" x14ac:dyDescent="0.2">
      <c r="M606" s="544"/>
      <c r="N606" s="545"/>
      <c r="O606" s="285"/>
    </row>
    <row r="607" spans="13:15" x14ac:dyDescent="0.2">
      <c r="M607" s="544"/>
      <c r="N607" s="545"/>
      <c r="O607" s="285"/>
    </row>
    <row r="608" spans="13:15" x14ac:dyDescent="0.2">
      <c r="M608" s="544"/>
      <c r="N608" s="545"/>
      <c r="O608" s="285"/>
    </row>
    <row r="609" spans="13:15" x14ac:dyDescent="0.2">
      <c r="M609" s="544"/>
      <c r="N609" s="545"/>
      <c r="O609" s="285"/>
    </row>
    <row r="610" spans="13:15" x14ac:dyDescent="0.2">
      <c r="M610" s="544"/>
      <c r="N610" s="545"/>
      <c r="O610" s="285"/>
    </row>
    <row r="611" spans="13:15" x14ac:dyDescent="0.2">
      <c r="M611" s="544"/>
      <c r="N611" s="545"/>
      <c r="O611" s="285"/>
    </row>
    <row r="612" spans="13:15" x14ac:dyDescent="0.2">
      <c r="M612" s="544"/>
      <c r="N612" s="545"/>
      <c r="O612" s="285"/>
    </row>
    <row r="613" spans="13:15" x14ac:dyDescent="0.2">
      <c r="M613" s="544"/>
      <c r="N613" s="545"/>
      <c r="O613" s="285"/>
    </row>
    <row r="614" spans="13:15" x14ac:dyDescent="0.2">
      <c r="M614" s="544"/>
      <c r="N614" s="545"/>
      <c r="O614" s="285"/>
    </row>
    <row r="615" spans="13:15" x14ac:dyDescent="0.2">
      <c r="M615" s="544"/>
      <c r="N615" s="545"/>
      <c r="O615" s="285"/>
    </row>
    <row r="616" spans="13:15" x14ac:dyDescent="0.2">
      <c r="M616" s="544"/>
      <c r="N616" s="545"/>
      <c r="O616" s="285"/>
    </row>
    <row r="617" spans="13:15" x14ac:dyDescent="0.2">
      <c r="M617" s="544"/>
      <c r="N617" s="545"/>
      <c r="O617" s="285"/>
    </row>
    <row r="618" spans="13:15" x14ac:dyDescent="0.2">
      <c r="M618" s="544"/>
      <c r="N618" s="545"/>
      <c r="O618" s="285"/>
    </row>
    <row r="619" spans="13:15" x14ac:dyDescent="0.2">
      <c r="M619" s="544"/>
      <c r="N619" s="545"/>
      <c r="O619" s="285"/>
    </row>
    <row r="620" spans="13:15" x14ac:dyDescent="0.2">
      <c r="M620" s="544"/>
      <c r="N620" s="545"/>
      <c r="O620" s="285"/>
    </row>
    <row r="621" spans="13:15" x14ac:dyDescent="0.2">
      <c r="M621" s="544"/>
      <c r="N621" s="545"/>
      <c r="O621" s="285"/>
    </row>
    <row r="622" spans="13:15" x14ac:dyDescent="0.2">
      <c r="M622" s="544"/>
      <c r="N622" s="545"/>
      <c r="O622" s="285"/>
    </row>
    <row r="623" spans="13:15" x14ac:dyDescent="0.2">
      <c r="M623" s="544"/>
      <c r="N623" s="545"/>
      <c r="O623" s="285"/>
    </row>
    <row r="624" spans="13:15" x14ac:dyDescent="0.2">
      <c r="M624" s="544"/>
      <c r="N624" s="545"/>
      <c r="O624" s="285"/>
    </row>
    <row r="625" spans="13:15" x14ac:dyDescent="0.2">
      <c r="M625" s="544"/>
      <c r="N625" s="545"/>
      <c r="O625" s="285"/>
    </row>
    <row r="626" spans="13:15" x14ac:dyDescent="0.2">
      <c r="M626" s="544"/>
      <c r="N626" s="545"/>
      <c r="O626" s="285"/>
    </row>
    <row r="627" spans="13:15" x14ac:dyDescent="0.2">
      <c r="M627" s="544"/>
      <c r="N627" s="545"/>
      <c r="O627" s="285"/>
    </row>
    <row r="628" spans="13:15" x14ac:dyDescent="0.2">
      <c r="M628" s="544"/>
      <c r="N628" s="545"/>
      <c r="O628" s="285"/>
    </row>
    <row r="629" spans="13:15" x14ac:dyDescent="0.2">
      <c r="M629" s="544"/>
      <c r="N629" s="545"/>
      <c r="O629" s="285"/>
    </row>
    <row r="630" spans="13:15" x14ac:dyDescent="0.2">
      <c r="M630" s="544"/>
      <c r="N630" s="545"/>
      <c r="O630" s="285"/>
    </row>
    <row r="631" spans="13:15" x14ac:dyDescent="0.2">
      <c r="M631" s="544"/>
      <c r="N631" s="545"/>
      <c r="O631" s="285"/>
    </row>
    <row r="632" spans="13:15" x14ac:dyDescent="0.2">
      <c r="M632" s="544"/>
      <c r="N632" s="545"/>
      <c r="O632" s="285"/>
    </row>
    <row r="633" spans="13:15" x14ac:dyDescent="0.2">
      <c r="M633" s="544"/>
      <c r="N633" s="545"/>
      <c r="O633" s="285"/>
    </row>
    <row r="634" spans="13:15" x14ac:dyDescent="0.2">
      <c r="M634" s="544"/>
      <c r="N634" s="545"/>
      <c r="O634" s="285"/>
    </row>
    <row r="635" spans="13:15" x14ac:dyDescent="0.2">
      <c r="M635" s="544"/>
      <c r="N635" s="545"/>
      <c r="O635" s="285"/>
    </row>
    <row r="636" spans="13:15" x14ac:dyDescent="0.2">
      <c r="M636" s="544"/>
      <c r="N636" s="545"/>
      <c r="O636" s="285"/>
    </row>
    <row r="637" spans="13:15" x14ac:dyDescent="0.2">
      <c r="M637" s="544"/>
      <c r="N637" s="545"/>
      <c r="O637" s="285"/>
    </row>
    <row r="638" spans="13:15" x14ac:dyDescent="0.2">
      <c r="M638" s="544"/>
      <c r="N638" s="545"/>
      <c r="O638" s="285"/>
    </row>
    <row r="639" spans="13:15" x14ac:dyDescent="0.2">
      <c r="M639" s="544"/>
      <c r="N639" s="545"/>
      <c r="O639" s="285"/>
    </row>
    <row r="640" spans="13:15" x14ac:dyDescent="0.2">
      <c r="M640" s="544"/>
      <c r="N640" s="545"/>
      <c r="O640" s="285"/>
    </row>
    <row r="641" spans="13:15" x14ac:dyDescent="0.2">
      <c r="M641" s="544"/>
      <c r="N641" s="545"/>
      <c r="O641" s="285"/>
    </row>
    <row r="642" spans="13:15" x14ac:dyDescent="0.2">
      <c r="M642" s="544"/>
      <c r="N642" s="545"/>
      <c r="O642" s="285"/>
    </row>
    <row r="643" spans="13:15" x14ac:dyDescent="0.2">
      <c r="M643" s="544"/>
      <c r="N643" s="545"/>
      <c r="O643" s="285"/>
    </row>
    <row r="644" spans="13:15" x14ac:dyDescent="0.2">
      <c r="M644" s="544"/>
      <c r="N644" s="545"/>
      <c r="O644" s="285"/>
    </row>
    <row r="645" spans="13:15" x14ac:dyDescent="0.2">
      <c r="M645" s="544"/>
      <c r="N645" s="545"/>
      <c r="O645" s="285"/>
    </row>
    <row r="646" spans="13:15" x14ac:dyDescent="0.2">
      <c r="M646" s="544"/>
      <c r="N646" s="545"/>
      <c r="O646" s="285"/>
    </row>
    <row r="647" spans="13:15" x14ac:dyDescent="0.2">
      <c r="M647" s="544"/>
      <c r="N647" s="545"/>
      <c r="O647" s="285"/>
    </row>
    <row r="648" spans="13:15" x14ac:dyDescent="0.2">
      <c r="M648" s="544"/>
      <c r="N648" s="545"/>
      <c r="O648" s="285"/>
    </row>
    <row r="649" spans="13:15" x14ac:dyDescent="0.2">
      <c r="M649" s="544"/>
      <c r="N649" s="545"/>
      <c r="O649" s="285"/>
    </row>
    <row r="650" spans="13:15" x14ac:dyDescent="0.2">
      <c r="M650" s="544"/>
      <c r="N650" s="545"/>
      <c r="O650" s="285"/>
    </row>
    <row r="651" spans="13:15" x14ac:dyDescent="0.2">
      <c r="M651" s="544"/>
      <c r="N651" s="545"/>
      <c r="O651" s="285"/>
    </row>
    <row r="652" spans="13:15" x14ac:dyDescent="0.2">
      <c r="M652" s="544"/>
      <c r="N652" s="545"/>
      <c r="O652" s="285"/>
    </row>
    <row r="653" spans="13:15" x14ac:dyDescent="0.2">
      <c r="M653" s="544"/>
      <c r="N653" s="545"/>
      <c r="O653" s="285"/>
    </row>
    <row r="654" spans="13:15" x14ac:dyDescent="0.2">
      <c r="M654" s="544"/>
      <c r="N654" s="545"/>
      <c r="O654" s="285"/>
    </row>
    <row r="655" spans="13:15" x14ac:dyDescent="0.2">
      <c r="M655" s="544"/>
      <c r="N655" s="545"/>
      <c r="O655" s="285"/>
    </row>
    <row r="656" spans="13:15" x14ac:dyDescent="0.2">
      <c r="M656" s="544"/>
      <c r="N656" s="545"/>
      <c r="O656" s="285"/>
    </row>
    <row r="657" spans="13:15" x14ac:dyDescent="0.2">
      <c r="M657" s="544"/>
      <c r="N657" s="545"/>
      <c r="O657" s="285"/>
    </row>
    <row r="658" spans="13:15" x14ac:dyDescent="0.2">
      <c r="M658" s="544"/>
      <c r="N658" s="545"/>
      <c r="O658" s="285"/>
    </row>
    <row r="659" spans="13:15" x14ac:dyDescent="0.2">
      <c r="M659" s="544"/>
      <c r="N659" s="545"/>
      <c r="O659" s="285"/>
    </row>
    <row r="660" spans="13:15" x14ac:dyDescent="0.2">
      <c r="M660" s="544"/>
      <c r="N660" s="545"/>
      <c r="O660" s="285"/>
    </row>
    <row r="661" spans="13:15" x14ac:dyDescent="0.2">
      <c r="M661" s="544"/>
      <c r="N661" s="545"/>
      <c r="O661" s="285"/>
    </row>
    <row r="662" spans="13:15" x14ac:dyDescent="0.2">
      <c r="M662" s="544"/>
      <c r="N662" s="545"/>
      <c r="O662" s="285"/>
    </row>
    <row r="663" spans="13:15" x14ac:dyDescent="0.2">
      <c r="M663" s="544"/>
      <c r="N663" s="545"/>
      <c r="O663" s="285"/>
    </row>
    <row r="664" spans="13:15" x14ac:dyDescent="0.2">
      <c r="M664" s="544"/>
      <c r="N664" s="545"/>
      <c r="O664" s="285"/>
    </row>
    <row r="665" spans="13:15" x14ac:dyDescent="0.2">
      <c r="M665" s="544"/>
      <c r="N665" s="545"/>
      <c r="O665" s="285"/>
    </row>
    <row r="666" spans="13:15" x14ac:dyDescent="0.2">
      <c r="M666" s="544"/>
      <c r="N666" s="545"/>
      <c r="O666" s="285"/>
    </row>
    <row r="667" spans="13:15" x14ac:dyDescent="0.2">
      <c r="M667" s="544"/>
      <c r="N667" s="545"/>
      <c r="O667" s="285"/>
    </row>
    <row r="668" spans="13:15" x14ac:dyDescent="0.2">
      <c r="M668" s="544"/>
      <c r="N668" s="545"/>
      <c r="O668" s="285"/>
    </row>
    <row r="669" spans="13:15" x14ac:dyDescent="0.2">
      <c r="M669" s="544"/>
      <c r="N669" s="545"/>
      <c r="O669" s="285"/>
    </row>
    <row r="670" spans="13:15" x14ac:dyDescent="0.2">
      <c r="M670" s="544"/>
      <c r="N670" s="545"/>
      <c r="O670" s="285"/>
    </row>
    <row r="671" spans="13:15" x14ac:dyDescent="0.2">
      <c r="M671" s="544"/>
      <c r="N671" s="545"/>
      <c r="O671" s="285"/>
    </row>
    <row r="672" spans="13:15" x14ac:dyDescent="0.2">
      <c r="M672" s="544"/>
      <c r="N672" s="545"/>
      <c r="O672" s="285"/>
    </row>
    <row r="673" spans="13:15" x14ac:dyDescent="0.2">
      <c r="M673" s="544"/>
      <c r="N673" s="545"/>
      <c r="O673" s="285"/>
    </row>
    <row r="674" spans="13:15" x14ac:dyDescent="0.2">
      <c r="M674" s="544"/>
      <c r="N674" s="545"/>
      <c r="O674" s="285"/>
    </row>
    <row r="675" spans="13:15" x14ac:dyDescent="0.2">
      <c r="M675" s="544"/>
      <c r="N675" s="545"/>
      <c r="O675" s="285"/>
    </row>
    <row r="676" spans="13:15" x14ac:dyDescent="0.2">
      <c r="M676" s="544"/>
      <c r="N676" s="545"/>
      <c r="O676" s="285"/>
    </row>
    <row r="677" spans="13:15" x14ac:dyDescent="0.2">
      <c r="M677" s="544"/>
      <c r="N677" s="545"/>
      <c r="O677" s="285"/>
    </row>
    <row r="678" spans="13:15" x14ac:dyDescent="0.2">
      <c r="M678" s="544"/>
      <c r="N678" s="545"/>
      <c r="O678" s="285"/>
    </row>
    <row r="679" spans="13:15" x14ac:dyDescent="0.2">
      <c r="M679" s="544"/>
      <c r="N679" s="545"/>
      <c r="O679" s="285"/>
    </row>
    <row r="680" spans="13:15" x14ac:dyDescent="0.2">
      <c r="M680" s="544"/>
      <c r="N680" s="545"/>
      <c r="O680" s="285"/>
    </row>
    <row r="681" spans="13:15" x14ac:dyDescent="0.2">
      <c r="M681" s="544"/>
      <c r="N681" s="545"/>
      <c r="O681" s="285"/>
    </row>
    <row r="682" spans="13:15" x14ac:dyDescent="0.2">
      <c r="M682" s="544"/>
      <c r="N682" s="545"/>
      <c r="O682" s="285"/>
    </row>
    <row r="683" spans="13:15" x14ac:dyDescent="0.2">
      <c r="M683" s="544"/>
      <c r="N683" s="545"/>
      <c r="O683" s="285"/>
    </row>
    <row r="684" spans="13:15" x14ac:dyDescent="0.2">
      <c r="M684" s="544"/>
      <c r="N684" s="545"/>
      <c r="O684" s="285"/>
    </row>
    <row r="685" spans="13:15" x14ac:dyDescent="0.2">
      <c r="M685" s="544"/>
      <c r="N685" s="545"/>
      <c r="O685" s="285"/>
    </row>
    <row r="686" spans="13:15" x14ac:dyDescent="0.2">
      <c r="M686" s="544"/>
      <c r="N686" s="545"/>
      <c r="O686" s="285"/>
    </row>
    <row r="687" spans="13:15" x14ac:dyDescent="0.2">
      <c r="M687" s="544"/>
      <c r="N687" s="545"/>
      <c r="O687" s="285"/>
    </row>
    <row r="688" spans="13:15" x14ac:dyDescent="0.2">
      <c r="M688" s="544"/>
      <c r="N688" s="545"/>
      <c r="O688" s="285"/>
    </row>
    <row r="689" spans="13:15" x14ac:dyDescent="0.2">
      <c r="M689" s="544"/>
      <c r="N689" s="545"/>
      <c r="O689" s="285"/>
    </row>
    <row r="690" spans="13:15" x14ac:dyDescent="0.2">
      <c r="M690" s="544"/>
      <c r="N690" s="545"/>
      <c r="O690" s="285"/>
    </row>
    <row r="691" spans="13:15" x14ac:dyDescent="0.2">
      <c r="M691" s="544"/>
      <c r="N691" s="545"/>
      <c r="O691" s="285"/>
    </row>
    <row r="692" spans="13:15" x14ac:dyDescent="0.2">
      <c r="M692" s="544"/>
      <c r="N692" s="545"/>
      <c r="O692" s="285"/>
    </row>
    <row r="693" spans="13:15" x14ac:dyDescent="0.2">
      <c r="M693" s="544"/>
      <c r="N693" s="545"/>
      <c r="O693" s="285"/>
    </row>
    <row r="694" spans="13:15" x14ac:dyDescent="0.2">
      <c r="M694" s="544"/>
      <c r="N694" s="545"/>
      <c r="O694" s="285"/>
    </row>
    <row r="695" spans="13:15" x14ac:dyDescent="0.2">
      <c r="M695" s="544"/>
      <c r="N695" s="545"/>
      <c r="O695" s="285"/>
    </row>
    <row r="696" spans="13:15" x14ac:dyDescent="0.2">
      <c r="M696" s="544"/>
      <c r="N696" s="545"/>
      <c r="O696" s="285"/>
    </row>
    <row r="697" spans="13:15" x14ac:dyDescent="0.2">
      <c r="M697" s="544"/>
      <c r="N697" s="545"/>
      <c r="O697" s="285"/>
    </row>
    <row r="698" spans="13:15" x14ac:dyDescent="0.2">
      <c r="M698" s="544"/>
      <c r="N698" s="545"/>
      <c r="O698" s="285"/>
    </row>
    <row r="699" spans="13:15" x14ac:dyDescent="0.2">
      <c r="M699" s="544"/>
      <c r="N699" s="545"/>
      <c r="O699" s="285"/>
    </row>
    <row r="700" spans="13:15" x14ac:dyDescent="0.2">
      <c r="M700" s="544"/>
      <c r="N700" s="545"/>
      <c r="O700" s="285"/>
    </row>
    <row r="701" spans="13:15" x14ac:dyDescent="0.2">
      <c r="M701" s="544"/>
      <c r="N701" s="545"/>
      <c r="O701" s="285"/>
    </row>
    <row r="702" spans="13:15" x14ac:dyDescent="0.2">
      <c r="M702" s="544"/>
      <c r="N702" s="545"/>
      <c r="O702" s="285"/>
    </row>
    <row r="703" spans="13:15" x14ac:dyDescent="0.2">
      <c r="M703" s="544"/>
      <c r="N703" s="545"/>
      <c r="O703" s="285"/>
    </row>
    <row r="704" spans="13:15" x14ac:dyDescent="0.2">
      <c r="M704" s="544"/>
      <c r="N704" s="545"/>
      <c r="O704" s="285"/>
    </row>
    <row r="705" spans="13:15" x14ac:dyDescent="0.2">
      <c r="M705" s="544"/>
      <c r="N705" s="545"/>
      <c r="O705" s="285"/>
    </row>
    <row r="706" spans="13:15" x14ac:dyDescent="0.2">
      <c r="M706" s="544"/>
      <c r="N706" s="545"/>
      <c r="O706" s="285"/>
    </row>
    <row r="707" spans="13:15" x14ac:dyDescent="0.2">
      <c r="M707" s="544"/>
      <c r="N707" s="545"/>
      <c r="O707" s="285"/>
    </row>
    <row r="708" spans="13:15" x14ac:dyDescent="0.2">
      <c r="M708" s="544"/>
      <c r="N708" s="545"/>
      <c r="O708" s="285"/>
    </row>
    <row r="709" spans="13:15" x14ac:dyDescent="0.2">
      <c r="M709" s="544"/>
      <c r="N709" s="545"/>
      <c r="O709" s="285"/>
    </row>
    <row r="710" spans="13:15" x14ac:dyDescent="0.2">
      <c r="M710" s="544"/>
      <c r="N710" s="545"/>
      <c r="O710" s="285"/>
    </row>
    <row r="711" spans="13:15" x14ac:dyDescent="0.2">
      <c r="M711" s="544"/>
      <c r="N711" s="545"/>
      <c r="O711" s="285"/>
    </row>
    <row r="712" spans="13:15" x14ac:dyDescent="0.2">
      <c r="M712" s="544"/>
      <c r="N712" s="545"/>
      <c r="O712" s="285"/>
    </row>
    <row r="713" spans="13:15" x14ac:dyDescent="0.2">
      <c r="M713" s="544"/>
      <c r="N713" s="545"/>
      <c r="O713" s="285"/>
    </row>
    <row r="714" spans="13:15" x14ac:dyDescent="0.2">
      <c r="M714" s="544"/>
      <c r="N714" s="545"/>
      <c r="O714" s="285"/>
    </row>
    <row r="715" spans="13:15" x14ac:dyDescent="0.2">
      <c r="M715" s="544"/>
      <c r="N715" s="545"/>
      <c r="O715" s="285"/>
    </row>
    <row r="716" spans="13:15" x14ac:dyDescent="0.2">
      <c r="M716" s="544"/>
      <c r="N716" s="545"/>
      <c r="O716" s="285"/>
    </row>
    <row r="717" spans="13:15" x14ac:dyDescent="0.2">
      <c r="M717" s="544"/>
      <c r="N717" s="545"/>
      <c r="O717" s="285"/>
    </row>
    <row r="718" spans="13:15" x14ac:dyDescent="0.2">
      <c r="M718" s="544"/>
      <c r="N718" s="545"/>
      <c r="O718" s="285"/>
    </row>
    <row r="719" spans="13:15" x14ac:dyDescent="0.2">
      <c r="M719" s="544"/>
      <c r="N719" s="545"/>
      <c r="O719" s="285"/>
    </row>
    <row r="720" spans="13:15" x14ac:dyDescent="0.2">
      <c r="M720" s="544"/>
      <c r="N720" s="545"/>
      <c r="O720" s="285"/>
    </row>
    <row r="721" spans="13:15" x14ac:dyDescent="0.2">
      <c r="M721" s="544"/>
      <c r="N721" s="545"/>
      <c r="O721" s="285"/>
    </row>
    <row r="722" spans="13:15" x14ac:dyDescent="0.2">
      <c r="M722" s="544"/>
      <c r="N722" s="545"/>
      <c r="O722" s="285"/>
    </row>
    <row r="723" spans="13:15" x14ac:dyDescent="0.2">
      <c r="M723" s="544"/>
      <c r="N723" s="545"/>
      <c r="O723" s="285"/>
    </row>
    <row r="724" spans="13:15" x14ac:dyDescent="0.2">
      <c r="M724" s="544"/>
      <c r="N724" s="545"/>
      <c r="O724" s="285"/>
    </row>
    <row r="725" spans="13:15" x14ac:dyDescent="0.2">
      <c r="M725" s="544"/>
      <c r="N725" s="545"/>
      <c r="O725" s="285"/>
    </row>
    <row r="726" spans="13:15" x14ac:dyDescent="0.2">
      <c r="M726" s="544"/>
      <c r="N726" s="545"/>
      <c r="O726" s="285"/>
    </row>
    <row r="727" spans="13:15" x14ac:dyDescent="0.2">
      <c r="M727" s="544"/>
      <c r="N727" s="545"/>
      <c r="O727" s="285"/>
    </row>
    <row r="728" spans="13:15" x14ac:dyDescent="0.2">
      <c r="M728" s="544"/>
      <c r="N728" s="545"/>
      <c r="O728" s="285"/>
    </row>
    <row r="729" spans="13:15" x14ac:dyDescent="0.2">
      <c r="M729" s="544"/>
      <c r="N729" s="545"/>
      <c r="O729" s="285"/>
    </row>
    <row r="730" spans="13:15" x14ac:dyDescent="0.2">
      <c r="M730" s="544"/>
      <c r="N730" s="545"/>
      <c r="O730" s="285"/>
    </row>
    <row r="731" spans="13:15" x14ac:dyDescent="0.2">
      <c r="M731" s="544"/>
      <c r="N731" s="545"/>
      <c r="O731" s="285"/>
    </row>
    <row r="732" spans="13:15" x14ac:dyDescent="0.2">
      <c r="M732" s="544"/>
      <c r="N732" s="545"/>
      <c r="O732" s="285"/>
    </row>
    <row r="733" spans="13:15" x14ac:dyDescent="0.2">
      <c r="M733" s="544"/>
      <c r="N733" s="545"/>
      <c r="O733" s="285"/>
    </row>
    <row r="734" spans="13:15" x14ac:dyDescent="0.2">
      <c r="M734" s="544"/>
      <c r="N734" s="545"/>
      <c r="O734" s="285"/>
    </row>
    <row r="735" spans="13:15" x14ac:dyDescent="0.2">
      <c r="M735" s="544"/>
      <c r="N735" s="545"/>
      <c r="O735" s="285"/>
    </row>
    <row r="736" spans="13:15" x14ac:dyDescent="0.2">
      <c r="M736" s="544"/>
      <c r="N736" s="545"/>
      <c r="O736" s="285"/>
    </row>
    <row r="737" spans="13:15" x14ac:dyDescent="0.2">
      <c r="M737" s="544"/>
      <c r="N737" s="545"/>
      <c r="O737" s="285"/>
    </row>
    <row r="738" spans="13:15" x14ac:dyDescent="0.2">
      <c r="M738" s="544"/>
      <c r="N738" s="545"/>
      <c r="O738" s="285"/>
    </row>
    <row r="739" spans="13:15" x14ac:dyDescent="0.2">
      <c r="M739" s="544"/>
      <c r="N739" s="545"/>
      <c r="O739" s="285"/>
    </row>
    <row r="740" spans="13:15" x14ac:dyDescent="0.2">
      <c r="M740" s="544"/>
      <c r="N740" s="545"/>
      <c r="O740" s="285"/>
    </row>
    <row r="741" spans="13:15" x14ac:dyDescent="0.2">
      <c r="M741" s="544"/>
      <c r="N741" s="545"/>
      <c r="O741" s="285"/>
    </row>
    <row r="742" spans="13:15" x14ac:dyDescent="0.2">
      <c r="M742" s="544"/>
      <c r="N742" s="545"/>
      <c r="O742" s="285"/>
    </row>
    <row r="743" spans="13:15" x14ac:dyDescent="0.2">
      <c r="M743" s="544"/>
      <c r="N743" s="545"/>
      <c r="O743" s="285"/>
    </row>
    <row r="744" spans="13:15" x14ac:dyDescent="0.2">
      <c r="M744" s="544"/>
      <c r="N744" s="545"/>
      <c r="O744" s="285"/>
    </row>
    <row r="745" spans="13:15" x14ac:dyDescent="0.2">
      <c r="M745" s="544"/>
      <c r="N745" s="545"/>
      <c r="O745" s="285"/>
    </row>
    <row r="746" spans="13:15" x14ac:dyDescent="0.2">
      <c r="M746" s="544"/>
      <c r="N746" s="545"/>
      <c r="O746" s="285"/>
    </row>
    <row r="747" spans="13:15" x14ac:dyDescent="0.2">
      <c r="M747" s="544"/>
      <c r="N747" s="545"/>
      <c r="O747" s="285"/>
    </row>
    <row r="748" spans="13:15" x14ac:dyDescent="0.2">
      <c r="M748" s="544"/>
      <c r="N748" s="545"/>
      <c r="O748" s="285"/>
    </row>
    <row r="749" spans="13:15" x14ac:dyDescent="0.2">
      <c r="M749" s="544"/>
      <c r="N749" s="545"/>
      <c r="O749" s="285"/>
    </row>
    <row r="750" spans="13:15" x14ac:dyDescent="0.2">
      <c r="M750" s="544"/>
      <c r="N750" s="545"/>
      <c r="O750" s="285"/>
    </row>
    <row r="751" spans="13:15" x14ac:dyDescent="0.2">
      <c r="M751" s="544"/>
      <c r="N751" s="545"/>
      <c r="O751" s="285"/>
    </row>
    <row r="752" spans="13:15" x14ac:dyDescent="0.2">
      <c r="M752" s="544"/>
      <c r="N752" s="545"/>
      <c r="O752" s="285"/>
    </row>
    <row r="753" spans="13:15" x14ac:dyDescent="0.2">
      <c r="M753" s="544"/>
      <c r="N753" s="545"/>
      <c r="O753" s="285"/>
    </row>
    <row r="754" spans="13:15" x14ac:dyDescent="0.2">
      <c r="M754" s="544"/>
      <c r="N754" s="545"/>
      <c r="O754" s="285"/>
    </row>
    <row r="755" spans="13:15" x14ac:dyDescent="0.2">
      <c r="M755" s="544"/>
      <c r="N755" s="545"/>
      <c r="O755" s="285"/>
    </row>
    <row r="756" spans="13:15" x14ac:dyDescent="0.2">
      <c r="M756" s="544"/>
      <c r="N756" s="545"/>
      <c r="O756" s="285"/>
    </row>
    <row r="757" spans="13:15" x14ac:dyDescent="0.2">
      <c r="M757" s="544"/>
      <c r="N757" s="545"/>
      <c r="O757" s="285"/>
    </row>
    <row r="758" spans="13:15" x14ac:dyDescent="0.2">
      <c r="M758" s="544"/>
      <c r="N758" s="545"/>
      <c r="O758" s="285"/>
    </row>
    <row r="759" spans="13:15" x14ac:dyDescent="0.2">
      <c r="M759" s="544"/>
      <c r="N759" s="545"/>
      <c r="O759" s="285"/>
    </row>
    <row r="760" spans="13:15" x14ac:dyDescent="0.2">
      <c r="M760" s="544"/>
      <c r="N760" s="545"/>
      <c r="O760" s="285"/>
    </row>
    <row r="761" spans="13:15" x14ac:dyDescent="0.2">
      <c r="M761" s="544"/>
      <c r="N761" s="545"/>
      <c r="O761" s="285"/>
    </row>
    <row r="762" spans="13:15" x14ac:dyDescent="0.2">
      <c r="M762" s="544"/>
      <c r="N762" s="545"/>
      <c r="O762" s="285"/>
    </row>
    <row r="763" spans="13:15" x14ac:dyDescent="0.2">
      <c r="M763" s="544"/>
      <c r="N763" s="545"/>
      <c r="O763" s="285"/>
    </row>
    <row r="764" spans="13:15" x14ac:dyDescent="0.2">
      <c r="M764" s="544"/>
      <c r="N764" s="545"/>
      <c r="O764" s="285"/>
    </row>
    <row r="765" spans="13:15" x14ac:dyDescent="0.2">
      <c r="M765" s="544"/>
      <c r="N765" s="545"/>
      <c r="O765" s="285"/>
    </row>
    <row r="766" spans="13:15" x14ac:dyDescent="0.2">
      <c r="M766" s="544"/>
      <c r="N766" s="545"/>
      <c r="O766" s="285"/>
    </row>
    <row r="767" spans="13:15" x14ac:dyDescent="0.2">
      <c r="M767" s="544"/>
      <c r="N767" s="545"/>
      <c r="O767" s="285"/>
    </row>
    <row r="768" spans="13:15" x14ac:dyDescent="0.2">
      <c r="M768" s="544"/>
      <c r="N768" s="545"/>
      <c r="O768" s="285"/>
    </row>
    <row r="769" spans="13:15" x14ac:dyDescent="0.2">
      <c r="M769" s="544"/>
      <c r="N769" s="545"/>
      <c r="O769" s="285"/>
    </row>
    <row r="770" spans="13:15" x14ac:dyDescent="0.2">
      <c r="M770" s="544"/>
      <c r="N770" s="545"/>
      <c r="O770" s="285"/>
    </row>
    <row r="771" spans="13:15" x14ac:dyDescent="0.2">
      <c r="M771" s="544"/>
      <c r="N771" s="545"/>
      <c r="O771" s="285"/>
    </row>
    <row r="772" spans="13:15" x14ac:dyDescent="0.2">
      <c r="M772" s="544"/>
      <c r="N772" s="545"/>
      <c r="O772" s="285"/>
    </row>
    <row r="773" spans="13:15" x14ac:dyDescent="0.2">
      <c r="M773" s="544"/>
      <c r="N773" s="545"/>
      <c r="O773" s="285"/>
    </row>
    <row r="774" spans="13:15" x14ac:dyDescent="0.2">
      <c r="M774" s="544"/>
      <c r="N774" s="545"/>
      <c r="O774" s="285"/>
    </row>
    <row r="775" spans="13:15" x14ac:dyDescent="0.2">
      <c r="M775" s="544"/>
      <c r="N775" s="545"/>
      <c r="O775" s="285"/>
    </row>
    <row r="776" spans="13:15" x14ac:dyDescent="0.2">
      <c r="M776" s="544"/>
      <c r="N776" s="545"/>
      <c r="O776" s="285"/>
    </row>
    <row r="777" spans="13:15" x14ac:dyDescent="0.2">
      <c r="M777" s="544"/>
      <c r="N777" s="545"/>
      <c r="O777" s="285"/>
    </row>
    <row r="778" spans="13:15" x14ac:dyDescent="0.2">
      <c r="M778" s="544"/>
      <c r="N778" s="545"/>
      <c r="O778" s="285"/>
    </row>
    <row r="779" spans="13:15" x14ac:dyDescent="0.2">
      <c r="M779" s="544"/>
      <c r="N779" s="545"/>
      <c r="O779" s="285"/>
    </row>
    <row r="780" spans="13:15" x14ac:dyDescent="0.2">
      <c r="M780" s="544"/>
      <c r="N780" s="545"/>
      <c r="O780" s="285"/>
    </row>
    <row r="781" spans="13:15" x14ac:dyDescent="0.2">
      <c r="M781" s="544"/>
      <c r="N781" s="545"/>
      <c r="O781" s="285"/>
    </row>
    <row r="782" spans="13:15" x14ac:dyDescent="0.2">
      <c r="M782" s="544"/>
      <c r="N782" s="545"/>
      <c r="O782" s="285"/>
    </row>
    <row r="783" spans="13:15" x14ac:dyDescent="0.2">
      <c r="M783" s="544"/>
      <c r="N783" s="545"/>
      <c r="O783" s="285"/>
    </row>
    <row r="784" spans="13:15" x14ac:dyDescent="0.2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D40" sqref="D40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">
      <c r="A15" s="10">
        <v>10</v>
      </c>
      <c r="B15" s="129">
        <v>32135</v>
      </c>
      <c r="C15" s="11">
        <v>32539</v>
      </c>
      <c r="D15" s="25">
        <f t="shared" si="0"/>
        <v>404</v>
      </c>
    </row>
    <row r="16" spans="1:5" x14ac:dyDescent="0.2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">
      <c r="A17" s="10">
        <v>12</v>
      </c>
      <c r="B17" s="129">
        <v>33469</v>
      </c>
      <c r="C17" s="11">
        <v>32949</v>
      </c>
      <c r="D17" s="25">
        <f t="shared" si="0"/>
        <v>-520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421880</v>
      </c>
      <c r="C37" s="11">
        <f>SUM(C6:C36)</f>
        <v>411760</v>
      </c>
      <c r="D37" s="25">
        <f>SUM(D6:D36)</f>
        <v>-10120</v>
      </c>
    </row>
    <row r="38" spans="1:4" x14ac:dyDescent="0.2">
      <c r="A38" s="26"/>
      <c r="B38" s="31"/>
      <c r="C38" s="14"/>
      <c r="D38" s="326">
        <f>+summary!G5</f>
        <v>2.5299999999999998</v>
      </c>
    </row>
    <row r="39" spans="1:4" x14ac:dyDescent="0.2">
      <c r="D39" s="138">
        <f>+D38*D37</f>
        <v>-25603.599999999999</v>
      </c>
    </row>
    <row r="40" spans="1:4" x14ac:dyDescent="0.2">
      <c r="A40" s="57">
        <v>37315</v>
      </c>
      <c r="C40" s="15"/>
      <c r="D40" s="612">
        <v>166939.17000000001</v>
      </c>
    </row>
    <row r="41" spans="1:4" x14ac:dyDescent="0.2">
      <c r="A41" s="57">
        <v>37327</v>
      </c>
      <c r="C41" s="48"/>
      <c r="D41" s="138">
        <f>+D40+D39</f>
        <v>141335.57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7">
        <v>93375</v>
      </c>
    </row>
    <row r="46" spans="1:4" x14ac:dyDescent="0.2">
      <c r="A46" s="49">
        <f>+A41</f>
        <v>37327</v>
      </c>
      <c r="B46" s="32"/>
      <c r="C46" s="32"/>
      <c r="D46" s="348">
        <f>+D37</f>
        <v>-10120</v>
      </c>
    </row>
    <row r="47" spans="1:4" x14ac:dyDescent="0.2">
      <c r="A47" s="32"/>
      <c r="B47" s="32"/>
      <c r="C47" s="32"/>
      <c r="D47" s="14">
        <f>+D46+D45</f>
        <v>83255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40" sqref="C40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499872</v>
      </c>
      <c r="C37" s="11">
        <f>SUM(C6:C36)</f>
        <v>498708</v>
      </c>
      <c r="D37" s="25">
        <f>SUM(D6:D36)</f>
        <v>-1164</v>
      </c>
    </row>
    <row r="38" spans="1:4" x14ac:dyDescent="0.2">
      <c r="A38" s="26"/>
      <c r="C38" s="14"/>
      <c r="D38" s="326">
        <f>+summary!G5</f>
        <v>2.5299999999999998</v>
      </c>
    </row>
    <row r="39" spans="1:4" x14ac:dyDescent="0.2">
      <c r="D39" s="138">
        <f>+D38*D37</f>
        <v>-2944.9199999999996</v>
      </c>
    </row>
    <row r="40" spans="1:4" x14ac:dyDescent="0.2">
      <c r="A40" s="57">
        <v>37315</v>
      </c>
      <c r="C40" s="15"/>
      <c r="D40" s="579">
        <v>9003</v>
      </c>
    </row>
    <row r="41" spans="1:4" x14ac:dyDescent="0.2">
      <c r="A41" s="57">
        <v>37326</v>
      </c>
      <c r="C41" s="48"/>
      <c r="D41" s="138">
        <f>+D40+D39</f>
        <v>6058.08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4076</v>
      </c>
    </row>
    <row r="47" spans="1:4" x14ac:dyDescent="0.2">
      <c r="A47" s="49">
        <f>+A41</f>
        <v>37326</v>
      </c>
      <c r="B47" s="32"/>
      <c r="C47" s="32"/>
      <c r="D47" s="348">
        <f>+D37</f>
        <v>-1164</v>
      </c>
    </row>
    <row r="48" spans="1:4" x14ac:dyDescent="0.2">
      <c r="A48" s="32"/>
      <c r="B48" s="32"/>
      <c r="C48" s="32"/>
      <c r="D48" s="14">
        <f>+D47+D46</f>
        <v>2912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1" workbookViewId="0">
      <selection activeCell="C41" sqref="C41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-1934</v>
      </c>
      <c r="C16" s="11">
        <v>-1038</v>
      </c>
      <c r="D16" s="25">
        <f t="shared" si="0"/>
        <v>896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">
      <c r="A17" s="10">
        <v>12</v>
      </c>
      <c r="B17" s="11">
        <v>-1870</v>
      </c>
      <c r="C17" s="11">
        <v>-1038</v>
      </c>
      <c r="D17" s="25">
        <f t="shared" si="0"/>
        <v>832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-15105</v>
      </c>
      <c r="C37" s="11">
        <f>SUM(C6:C36)</f>
        <v>-12456</v>
      </c>
      <c r="D37" s="25">
        <f>SUM(D6:D36)</f>
        <v>2649</v>
      </c>
    </row>
    <row r="38" spans="1:4" x14ac:dyDescent="0.2">
      <c r="A38" s="26"/>
      <c r="C38" s="14"/>
      <c r="D38" s="326">
        <f>+summary!G4</f>
        <v>2.5299999999999998</v>
      </c>
    </row>
    <row r="39" spans="1:4" x14ac:dyDescent="0.2">
      <c r="D39" s="138">
        <f>+D38*D37</f>
        <v>6701.9699999999993</v>
      </c>
    </row>
    <row r="40" spans="1:4" x14ac:dyDescent="0.2">
      <c r="A40" s="57">
        <v>37315</v>
      </c>
      <c r="C40" s="15"/>
      <c r="D40" s="612">
        <v>-254200.98</v>
      </c>
    </row>
    <row r="41" spans="1:4" x14ac:dyDescent="0.2">
      <c r="A41" s="57">
        <v>37327</v>
      </c>
      <c r="C41" s="48"/>
      <c r="D41" s="138">
        <f>+D40+D39</f>
        <v>-247499.01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607">
        <v>3963</v>
      </c>
    </row>
    <row r="49" spans="1:4" x14ac:dyDescent="0.2">
      <c r="A49" s="49">
        <f>+A41</f>
        <v>37327</v>
      </c>
      <c r="B49" s="32"/>
      <c r="C49" s="32"/>
      <c r="D49" s="348">
        <f>+D37</f>
        <v>2649</v>
      </c>
    </row>
    <row r="50" spans="1:4" x14ac:dyDescent="0.2">
      <c r="A50" s="32"/>
      <c r="B50" s="32"/>
      <c r="C50" s="32"/>
      <c r="D50" s="14">
        <f>+D49+D48</f>
        <v>6612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B40" sqref="B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">
      <c r="A16" s="10">
        <v>11</v>
      </c>
      <c r="B16" s="11">
        <v>-36982</v>
      </c>
      <c r="C16" s="11">
        <v>-36000</v>
      </c>
      <c r="D16" s="25">
        <f t="shared" si="0"/>
        <v>982</v>
      </c>
    </row>
    <row r="17" spans="1:4" x14ac:dyDescent="0.2">
      <c r="A17" s="10">
        <v>12</v>
      </c>
      <c r="B17" s="11">
        <v>-40166</v>
      </c>
      <c r="C17" s="11">
        <v>-36000</v>
      </c>
      <c r="D17" s="25">
        <f t="shared" si="0"/>
        <v>4166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-422924</v>
      </c>
      <c r="C37" s="11">
        <f>SUM(C6:C36)</f>
        <v>-426000</v>
      </c>
      <c r="D37" s="25">
        <f>SUM(D6:D36)</f>
        <v>-3076</v>
      </c>
    </row>
    <row r="38" spans="1:4" x14ac:dyDescent="0.2">
      <c r="A38" s="26"/>
      <c r="C38" s="14"/>
      <c r="D38" s="326">
        <f>+summary!G4</f>
        <v>2.5299999999999998</v>
      </c>
    </row>
    <row r="39" spans="1:4" x14ac:dyDescent="0.2">
      <c r="D39" s="138">
        <f>+D38*D37</f>
        <v>-7782.28</v>
      </c>
    </row>
    <row r="40" spans="1:4" x14ac:dyDescent="0.2">
      <c r="A40" s="57">
        <v>37315</v>
      </c>
      <c r="C40" s="15"/>
      <c r="D40" s="612">
        <v>61873.66</v>
      </c>
    </row>
    <row r="41" spans="1:4" x14ac:dyDescent="0.2">
      <c r="A41" s="57">
        <v>37327</v>
      </c>
      <c r="C41" s="48"/>
      <c r="D41" s="138">
        <f>+D40+D39</f>
        <v>54091.380000000005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33068</v>
      </c>
    </row>
    <row r="47" spans="1:4" x14ac:dyDescent="0.2">
      <c r="A47" s="49">
        <f>+A41</f>
        <v>37327</v>
      </c>
      <c r="B47" s="32"/>
      <c r="C47" s="32"/>
      <c r="D47" s="348">
        <f>+D37</f>
        <v>-3076</v>
      </c>
    </row>
    <row r="48" spans="1:4" x14ac:dyDescent="0.2">
      <c r="A48" s="32"/>
      <c r="B48" s="32"/>
      <c r="C48" s="32"/>
      <c r="D48" s="14">
        <f>+D47+D46</f>
        <v>29992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D13" sqref="D13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-1512</v>
      </c>
      <c r="D5" s="90">
        <f>+C5-B5</f>
        <v>-1512</v>
      </c>
      <c r="E5" s="275"/>
      <c r="F5" s="273"/>
    </row>
    <row r="6" spans="1:13" x14ac:dyDescent="0.2">
      <c r="A6" s="87">
        <v>500046</v>
      </c>
      <c r="B6" s="90">
        <v>-5365</v>
      </c>
      <c r="C6" s="90"/>
      <c r="D6" s="90">
        <f t="shared" ref="D6:D11" si="0">+C6-B6</f>
        <v>5365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-9876</v>
      </c>
      <c r="C8" s="90">
        <v>-20544</v>
      </c>
      <c r="D8" s="90">
        <f t="shared" si="0"/>
        <v>-10668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-6815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2.5299999999999998</v>
      </c>
      <c r="E13" s="277"/>
      <c r="F13" s="273"/>
    </row>
    <row r="14" spans="1:13" x14ac:dyDescent="0.2">
      <c r="A14" s="87"/>
      <c r="B14" s="88"/>
      <c r="C14" s="88"/>
      <c r="D14" s="96">
        <f>+D13*D12</f>
        <v>-17241.949999999997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37327</v>
      </c>
      <c r="B18" s="88"/>
      <c r="C18" s="88"/>
      <c r="D18" s="318">
        <f>+D16+D14</f>
        <v>-595076.6399999999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607">
        <v>-55913</v>
      </c>
    </row>
    <row r="23" spans="1:7" x14ac:dyDescent="0.2">
      <c r="A23" s="49"/>
      <c r="B23" s="32"/>
      <c r="C23" s="32"/>
      <c r="D23" s="348">
        <f>+D12</f>
        <v>-6815</v>
      </c>
    </row>
    <row r="24" spans="1:7" x14ac:dyDescent="0.2">
      <c r="A24" s="49">
        <f>+A18</f>
        <v>37327</v>
      </c>
      <c r="B24" s="32"/>
      <c r="C24" s="32"/>
      <c r="D24" s="14">
        <f>+D23+D22</f>
        <v>-62728</v>
      </c>
      <c r="E24" s="343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9.4866190536921291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41" sqref="C41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">
      <c r="A16" s="10">
        <v>11</v>
      </c>
      <c r="B16" s="11">
        <v>-76847</v>
      </c>
      <c r="C16" s="11">
        <v>-78520</v>
      </c>
      <c r="D16" s="25">
        <f t="shared" si="0"/>
        <v>-1673</v>
      </c>
    </row>
    <row r="17" spans="1:4" x14ac:dyDescent="0.2">
      <c r="A17" s="10">
        <v>12</v>
      </c>
      <c r="B17" s="129">
        <v>-39678</v>
      </c>
      <c r="C17" s="11">
        <v>-39175</v>
      </c>
      <c r="D17" s="25">
        <f t="shared" si="0"/>
        <v>503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-540893</v>
      </c>
      <c r="C37" s="11">
        <f>SUM(C6:C36)</f>
        <v>-531762</v>
      </c>
      <c r="D37" s="25">
        <f>SUM(D6:D36)</f>
        <v>9131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94">
        <f>-22463+19592</f>
        <v>-2871</v>
      </c>
    </row>
    <row r="41" spans="1:4" x14ac:dyDescent="0.2">
      <c r="A41" s="57">
        <v>37327</v>
      </c>
      <c r="C41" s="48"/>
      <c r="D41" s="25">
        <f>+D40+D37</f>
        <v>6260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2">
        <v>154736</v>
      </c>
    </row>
    <row r="46" spans="1:4" x14ac:dyDescent="0.2">
      <c r="A46" s="49">
        <f>+A41</f>
        <v>37327</v>
      </c>
      <c r="B46" s="32"/>
      <c r="C46" s="32"/>
      <c r="D46" s="373">
        <f>+D37*'by type_area'!G4</f>
        <v>23101.429999999997</v>
      </c>
    </row>
    <row r="47" spans="1:4" x14ac:dyDescent="0.2">
      <c r="A47" s="32"/>
      <c r="B47" s="32"/>
      <c r="C47" s="32"/>
      <c r="D47" s="200">
        <f>+D46+D45</f>
        <v>177837.43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2.5299999999999998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612">
        <v>-191635</v>
      </c>
    </row>
    <row r="41" spans="1:4" x14ac:dyDescent="0.2">
      <c r="A41" s="57">
        <v>37315</v>
      </c>
      <c r="C41" s="48"/>
      <c r="D41" s="138">
        <f>+D40+D39</f>
        <v>-191635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-45642</v>
      </c>
    </row>
    <row r="47" spans="1:4" x14ac:dyDescent="0.2">
      <c r="A47" s="49">
        <f>+A41</f>
        <v>37315</v>
      </c>
      <c r="B47" s="32"/>
      <c r="C47" s="32"/>
      <c r="D47" s="456">
        <f>+D37</f>
        <v>0</v>
      </c>
    </row>
    <row r="48" spans="1:4" x14ac:dyDescent="0.2">
      <c r="A48" s="32"/>
      <c r="B48" s="32"/>
      <c r="C48" s="32"/>
      <c r="D48" s="14">
        <f>+D47+D46</f>
        <v>-45642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7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-150</v>
      </c>
      <c r="C13" s="11">
        <v>-120</v>
      </c>
      <c r="D13" s="11"/>
      <c r="E13" s="11"/>
      <c r="F13" s="11">
        <v>-482</v>
      </c>
      <c r="G13" s="11">
        <v>-644</v>
      </c>
      <c r="H13" s="11"/>
      <c r="I13" s="11"/>
      <c r="J13" s="11">
        <f t="shared" si="0"/>
        <v>-132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-163</v>
      </c>
      <c r="C14" s="11">
        <v>-120</v>
      </c>
      <c r="D14" s="11"/>
      <c r="E14" s="11"/>
      <c r="F14" s="11">
        <v>-928</v>
      </c>
      <c r="G14" s="11">
        <v>-642</v>
      </c>
      <c r="H14" s="11"/>
      <c r="I14" s="11"/>
      <c r="J14" s="11">
        <f t="shared" si="0"/>
        <v>329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-182</v>
      </c>
      <c r="C15" s="11">
        <v>-120</v>
      </c>
      <c r="D15" s="11"/>
      <c r="E15" s="11"/>
      <c r="F15" s="11">
        <v>-959</v>
      </c>
      <c r="G15" s="11">
        <v>-642</v>
      </c>
      <c r="H15" s="11"/>
      <c r="I15" s="11"/>
      <c r="J15" s="11">
        <f t="shared" si="0"/>
        <v>379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-153</v>
      </c>
      <c r="C16" s="11">
        <v>-120</v>
      </c>
      <c r="D16" s="11"/>
      <c r="E16" s="11"/>
      <c r="F16" s="11">
        <v>-693</v>
      </c>
      <c r="G16" s="11">
        <v>-642</v>
      </c>
      <c r="H16" s="11"/>
      <c r="I16" s="11"/>
      <c r="J16" s="11">
        <f t="shared" si="0"/>
        <v>84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>
        <v>-153</v>
      </c>
      <c r="C17" s="11">
        <v>-120</v>
      </c>
      <c r="D17" s="11"/>
      <c r="E17" s="11"/>
      <c r="F17" s="11">
        <v>-490</v>
      </c>
      <c r="G17" s="11">
        <v>-642</v>
      </c>
      <c r="H17" s="11"/>
      <c r="I17" s="11"/>
      <c r="J17" s="11">
        <f t="shared" si="0"/>
        <v>-119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-1887</v>
      </c>
      <c r="C37" s="11">
        <f t="shared" ref="C37:I37" si="1">SUM(C6:C36)</f>
        <v>-1440</v>
      </c>
      <c r="D37" s="11">
        <f t="shared" si="1"/>
        <v>0</v>
      </c>
      <c r="E37" s="11">
        <f t="shared" si="1"/>
        <v>0</v>
      </c>
      <c r="F37" s="11">
        <f t="shared" si="1"/>
        <v>-11043</v>
      </c>
      <c r="G37" s="11">
        <f t="shared" si="1"/>
        <v>-7557</v>
      </c>
      <c r="H37" s="11">
        <f t="shared" si="1"/>
        <v>0</v>
      </c>
      <c r="I37" s="11">
        <f t="shared" si="1"/>
        <v>0</v>
      </c>
      <c r="J37" s="11">
        <f>SUM(J6:J36)</f>
        <v>3933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2.5299999999999998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9950.49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613">
        <v>-27891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37327</v>
      </c>
      <c r="J43" s="319">
        <f>+J41+J39</f>
        <v>-17940.510000000002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607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37327</v>
      </c>
      <c r="B49" s="32"/>
      <c r="C49" s="32"/>
      <c r="D49" s="348">
        <f>+J37</f>
        <v>3933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4113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workbookViewId="0">
      <selection activeCell="A17" sqref="A1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277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279</v>
      </c>
      <c r="C4" s="4"/>
      <c r="D4" s="38" t="s">
        <v>280</v>
      </c>
      <c r="E4" s="4"/>
      <c r="F4" s="38" t="s">
        <v>281</v>
      </c>
      <c r="G4" s="4"/>
      <c r="H4" s="38" t="s">
        <v>282</v>
      </c>
      <c r="I4" s="4"/>
      <c r="J4" s="38" t="s">
        <v>283</v>
      </c>
      <c r="K4" s="4"/>
      <c r="L4" s="38" t="s">
        <v>284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>
        <v>-733</v>
      </c>
      <c r="M16" s="11">
        <v>-709</v>
      </c>
      <c r="N16" s="11">
        <f>+M16+K16+I16+G16+E16+C16-L16-J16-H16-F16-D16-B16</f>
        <v>24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>
        <v>-1042</v>
      </c>
      <c r="M17" s="11">
        <v>-906</v>
      </c>
      <c r="N17" s="11">
        <f>+M17+K17+I17+G17+E17+C17-L17-J17-H17-F17-D17-B17</f>
        <v>136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-9285</v>
      </c>
      <c r="M37" s="11">
        <f>SUM(M6:M36)</f>
        <v>-10183</v>
      </c>
      <c r="N37" s="11">
        <f t="shared" si="1"/>
        <v>-898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2.5299999999999998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-2271.9399999999996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613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37327</v>
      </c>
      <c r="N43" s="319">
        <f>+N41+N39</f>
        <v>17251.23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607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37327</v>
      </c>
      <c r="B49" s="32"/>
      <c r="C49" s="32"/>
      <c r="D49" s="348">
        <f>+N37</f>
        <v>-898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4973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A19" sqref="A1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">
      <c r="A16" s="10">
        <v>11</v>
      </c>
      <c r="B16" s="11">
        <v>148</v>
      </c>
      <c r="C16" s="11">
        <v>78</v>
      </c>
      <c r="D16" s="25">
        <f t="shared" si="0"/>
        <v>-70</v>
      </c>
    </row>
    <row r="17" spans="1:4" x14ac:dyDescent="0.2">
      <c r="A17" s="10">
        <v>12</v>
      </c>
      <c r="B17" s="11">
        <v>6</v>
      </c>
      <c r="C17" s="11">
        <v>150</v>
      </c>
      <c r="D17" s="25">
        <f t="shared" si="0"/>
        <v>144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1866</v>
      </c>
      <c r="C37" s="11">
        <f>SUM(C6:C36)</f>
        <v>1502</v>
      </c>
      <c r="D37" s="25">
        <f>SUM(D6:D36)</f>
        <v>-364</v>
      </c>
    </row>
    <row r="38" spans="1:4" x14ac:dyDescent="0.2">
      <c r="A38" s="26"/>
      <c r="C38" s="14"/>
      <c r="D38" s="326">
        <f>+summary!G5</f>
        <v>2.5299999999999998</v>
      </c>
    </row>
    <row r="39" spans="1:4" x14ac:dyDescent="0.2">
      <c r="D39" s="138">
        <f>+D38*D37</f>
        <v>-920.92</v>
      </c>
    </row>
    <row r="40" spans="1:4" x14ac:dyDescent="0.2">
      <c r="A40" s="57">
        <v>37315</v>
      </c>
      <c r="C40" s="15"/>
      <c r="D40" s="612">
        <v>172008.39</v>
      </c>
    </row>
    <row r="41" spans="1:4" x14ac:dyDescent="0.2">
      <c r="A41" s="57">
        <v>37327</v>
      </c>
      <c r="C41" s="48"/>
      <c r="D41" s="138">
        <f>+D40+D39</f>
        <v>171087.47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75165</v>
      </c>
    </row>
    <row r="47" spans="1:4" x14ac:dyDescent="0.2">
      <c r="A47" s="49">
        <f>+A41</f>
        <v>37327</v>
      </c>
      <c r="B47" s="32"/>
      <c r="C47" s="32"/>
      <c r="D47" s="348">
        <f>+D37</f>
        <v>-364</v>
      </c>
    </row>
    <row r="48" spans="1:4" x14ac:dyDescent="0.2">
      <c r="A48" s="32"/>
      <c r="B48" s="32"/>
      <c r="C48" s="32"/>
      <c r="D48" s="14">
        <f>+D47+D46</f>
        <v>74801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39" sqref="C39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246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300479</v>
      </c>
      <c r="C15" s="11">
        <v>288799</v>
      </c>
      <c r="D15" s="11"/>
      <c r="E15" s="11">
        <v>3530</v>
      </c>
      <c r="F15" s="11">
        <v>35094</v>
      </c>
      <c r="G15" s="11">
        <v>36557</v>
      </c>
      <c r="H15" s="11">
        <v>132563</v>
      </c>
      <c r="I15" s="11">
        <v>151638</v>
      </c>
      <c r="J15" s="11">
        <f t="shared" si="0"/>
        <v>12388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3850544</v>
      </c>
      <c r="C35" s="11">
        <f t="shared" ref="C35:I35" si="3">SUM(C4:C34)</f>
        <v>3752113</v>
      </c>
      <c r="D35" s="11">
        <f t="shared" si="3"/>
        <v>0</v>
      </c>
      <c r="E35" s="11">
        <f t="shared" si="3"/>
        <v>105935</v>
      </c>
      <c r="F35" s="11">
        <f t="shared" si="3"/>
        <v>438384</v>
      </c>
      <c r="G35" s="11">
        <f t="shared" si="3"/>
        <v>438684</v>
      </c>
      <c r="H35" s="11">
        <f t="shared" si="3"/>
        <v>1681246</v>
      </c>
      <c r="I35" s="11">
        <f t="shared" si="3"/>
        <v>1706197</v>
      </c>
      <c r="J35" s="11">
        <f>SUM(J4:J34)</f>
        <v>32755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">
      <c r="A40" s="33">
        <v>37327</v>
      </c>
      <c r="J40" s="51">
        <f>+J38+J35</f>
        <v>32755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37327</v>
      </c>
      <c r="B47" s="32"/>
      <c r="C47" s="32"/>
      <c r="D47" s="373">
        <f>+J35*'by type_area'!G3</f>
        <v>82870.149999999994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167331.15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7"/>
      <c r="S295" s="1"/>
    </row>
    <row r="296" spans="9:21" x14ac:dyDescent="0.2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7"/>
      <c r="S337" s="1"/>
    </row>
    <row r="338" spans="11:21" x14ac:dyDescent="0.2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7"/>
      <c r="S379" s="1"/>
    </row>
    <row r="380" spans="11:21" x14ac:dyDescent="0.2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7"/>
      <c r="S423" s="1"/>
    </row>
    <row r="424" spans="11:21" x14ac:dyDescent="0.2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>
        <v>429</v>
      </c>
      <c r="D9" s="25">
        <f t="shared" si="0"/>
        <v>429</v>
      </c>
    </row>
    <row r="10" spans="1:4" x14ac:dyDescent="0.2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">
      <c r="A14" s="10">
        <v>9</v>
      </c>
      <c r="B14" s="11"/>
      <c r="C14" s="11">
        <v>429</v>
      </c>
      <c r="D14" s="25">
        <f t="shared" si="0"/>
        <v>429</v>
      </c>
    </row>
    <row r="15" spans="1:4" x14ac:dyDescent="0.2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">
      <c r="A16" s="10">
        <v>11</v>
      </c>
      <c r="B16" s="11"/>
      <c r="C16" s="11">
        <v>429</v>
      </c>
      <c r="D16" s="25">
        <f t="shared" si="0"/>
        <v>429</v>
      </c>
    </row>
    <row r="17" spans="1:4" x14ac:dyDescent="0.2">
      <c r="A17" s="10">
        <v>12</v>
      </c>
      <c r="B17" s="11"/>
      <c r="C17" s="11">
        <v>429</v>
      </c>
      <c r="D17" s="25">
        <f t="shared" si="0"/>
        <v>429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</v>
      </c>
      <c r="C37" s="11">
        <f>SUM(C6:C36)</f>
        <v>4783</v>
      </c>
      <c r="D37" s="25">
        <f>SUM(D6:D36)</f>
        <v>4727</v>
      </c>
    </row>
    <row r="38" spans="1:4" x14ac:dyDescent="0.2">
      <c r="A38" s="26"/>
      <c r="C38" s="14"/>
      <c r="D38" s="326">
        <f>+summary!G5</f>
        <v>2.5299999999999998</v>
      </c>
    </row>
    <row r="39" spans="1:4" x14ac:dyDescent="0.2">
      <c r="D39" s="138">
        <f>+D38*D37</f>
        <v>11959.31</v>
      </c>
    </row>
    <row r="40" spans="1:4" x14ac:dyDescent="0.2">
      <c r="A40" s="57">
        <v>37315</v>
      </c>
      <c r="C40" s="15"/>
      <c r="D40" s="575">
        <v>1032</v>
      </c>
    </row>
    <row r="41" spans="1:4" x14ac:dyDescent="0.2">
      <c r="A41" s="57">
        <v>37327</v>
      </c>
      <c r="C41" s="48"/>
      <c r="D41" s="138">
        <f>+D40+D39</f>
        <v>12991.31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487</v>
      </c>
    </row>
    <row r="47" spans="1:4" x14ac:dyDescent="0.2">
      <c r="A47" s="49">
        <f>+A41</f>
        <v>37327</v>
      </c>
      <c r="B47" s="32"/>
      <c r="C47" s="32"/>
      <c r="D47" s="348">
        <f>+D37</f>
        <v>4727</v>
      </c>
    </row>
    <row r="48" spans="1:4" x14ac:dyDescent="0.2">
      <c r="A48" s="32"/>
      <c r="B48" s="32"/>
      <c r="C48" s="32"/>
      <c r="D48" s="14">
        <f>+D47+D46</f>
        <v>5214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7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-2403</v>
      </c>
      <c r="C14" s="24">
        <v>-1963</v>
      </c>
      <c r="D14" s="24">
        <v>-172</v>
      </c>
      <c r="E14" s="24">
        <v>-2000</v>
      </c>
      <c r="F14" s="24">
        <f t="shared" si="0"/>
        <v>-1388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-2141</v>
      </c>
      <c r="C15" s="24">
        <v>-1963</v>
      </c>
      <c r="D15" s="24">
        <v>-607</v>
      </c>
      <c r="E15" s="24">
        <v>-2000</v>
      </c>
      <c r="F15" s="24">
        <f t="shared" si="0"/>
        <v>-1215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-2341</v>
      </c>
      <c r="C16" s="24">
        <v>-1963</v>
      </c>
      <c r="D16" s="24">
        <v>-2267</v>
      </c>
      <c r="E16" s="24">
        <v>-2000</v>
      </c>
      <c r="F16" s="24">
        <f t="shared" si="0"/>
        <v>645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-2061</v>
      </c>
      <c r="C17" s="24">
        <v>-1963</v>
      </c>
      <c r="D17" s="24">
        <v>-2180</v>
      </c>
      <c r="E17" s="24">
        <v>-2000</v>
      </c>
      <c r="F17" s="24">
        <f t="shared" si="0"/>
        <v>278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-25613</v>
      </c>
      <c r="C37" s="24">
        <f>SUM(C6:C36)</f>
        <v>-23556</v>
      </c>
      <c r="D37" s="24">
        <f>SUM(D6:D36)</f>
        <v>-20444</v>
      </c>
      <c r="E37" s="24">
        <f>SUM(E6:E36)</f>
        <v>-24000</v>
      </c>
      <c r="F37" s="24">
        <f>SUM(F6:F36)</f>
        <v>-1499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2.5299999999999998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-3792.47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2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37327</v>
      </c>
      <c r="C41" s="319"/>
      <c r="D41" s="262"/>
      <c r="E41" s="262"/>
      <c r="F41" s="104">
        <f>+F40+F39</f>
        <v>-124764.95000000001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7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37327</v>
      </c>
      <c r="B47" s="32"/>
      <c r="C47" s="32"/>
      <c r="D47" s="348">
        <f>+F37</f>
        <v>-1499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-36445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5" workbookViewId="0">
      <selection activeCell="A42" sqref="A42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311</v>
      </c>
      <c r="D5" s="121" t="s">
        <v>19</v>
      </c>
      <c r="E5" s="121" t="s">
        <v>311</v>
      </c>
      <c r="F5" s="121" t="s">
        <v>19</v>
      </c>
      <c r="G5" s="121" t="s">
        <v>311</v>
      </c>
      <c r="H5" s="121" t="s">
        <v>19</v>
      </c>
      <c r="I5" s="121" t="s">
        <v>311</v>
      </c>
      <c r="J5" s="121" t="s">
        <v>19</v>
      </c>
      <c r="K5" s="121" t="s">
        <v>311</v>
      </c>
      <c r="L5" s="121" t="s">
        <v>19</v>
      </c>
      <c r="M5" s="121" t="s">
        <v>311</v>
      </c>
      <c r="N5" s="121" t="s">
        <v>19</v>
      </c>
      <c r="O5" s="121" t="s">
        <v>311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-3559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315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-3540</v>
      </c>
      <c r="C15" s="24">
        <v>-3387</v>
      </c>
      <c r="D15" s="24">
        <v>-99</v>
      </c>
      <c r="E15" s="24">
        <v>-11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241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-3469</v>
      </c>
      <c r="C16" s="24">
        <v>-3387</v>
      </c>
      <c r="D16" s="24">
        <v>-75</v>
      </c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132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-3416</v>
      </c>
      <c r="C17" s="24">
        <v>-3167</v>
      </c>
      <c r="D17" s="24">
        <v>-150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374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-42563</v>
      </c>
      <c r="C37" s="24">
        <f t="shared" si="1"/>
        <v>-34516</v>
      </c>
      <c r="D37" s="24">
        <f t="shared" si="1"/>
        <v>-982</v>
      </c>
      <c r="E37" s="24">
        <f t="shared" si="1"/>
        <v>-286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8743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2.5299999999999998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22119.789999999997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1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37327</v>
      </c>
      <c r="E41" s="14"/>
      <c r="O41" s="440"/>
      <c r="P41" s="104">
        <f>+P40+P39</f>
        <v>129786.2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8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37327</v>
      </c>
      <c r="B47" s="32"/>
      <c r="C47" s="32"/>
      <c r="D47" s="348">
        <f>+P37</f>
        <v>8743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54267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2.3916229015792285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" sqref="B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274</v>
      </c>
      <c r="C3" s="87"/>
      <c r="D3" s="87"/>
    </row>
    <row r="4" spans="1:4" x14ac:dyDescent="0.2">
      <c r="A4" s="3"/>
      <c r="B4" s="328" t="s">
        <v>273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">
      <c r="A16" s="10">
        <v>11</v>
      </c>
      <c r="B16" s="11">
        <v>-14155</v>
      </c>
      <c r="C16" s="11">
        <v>-14000</v>
      </c>
      <c r="D16" s="25">
        <f t="shared" si="0"/>
        <v>155</v>
      </c>
    </row>
    <row r="17" spans="1:4" x14ac:dyDescent="0.2">
      <c r="A17" s="10">
        <v>12</v>
      </c>
      <c r="B17" s="11">
        <v>-27819</v>
      </c>
      <c r="C17" s="11">
        <v>-27461</v>
      </c>
      <c r="D17" s="25">
        <f t="shared" si="0"/>
        <v>358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-213158</v>
      </c>
      <c r="C37" s="11">
        <f>SUM(C6:C36)</f>
        <v>-211116</v>
      </c>
      <c r="D37" s="25">
        <f>SUM(D6:D36)</f>
        <v>2042</v>
      </c>
    </row>
    <row r="38" spans="1:4" x14ac:dyDescent="0.2">
      <c r="A38" s="26"/>
      <c r="C38" s="14"/>
      <c r="D38" s="326">
        <f>+summary!G4</f>
        <v>2.5299999999999998</v>
      </c>
    </row>
    <row r="39" spans="1:4" x14ac:dyDescent="0.2">
      <c r="D39" s="138">
        <f>+D38*D37</f>
        <v>5166.2599999999993</v>
      </c>
    </row>
    <row r="40" spans="1:4" x14ac:dyDescent="0.2">
      <c r="A40" s="57">
        <v>37315</v>
      </c>
      <c r="C40" s="15"/>
      <c r="D40" s="612">
        <v>-15719.76</v>
      </c>
    </row>
    <row r="41" spans="1:4" x14ac:dyDescent="0.2">
      <c r="A41" s="57">
        <v>37327</v>
      </c>
      <c r="C41" s="48"/>
      <c r="D41" s="138">
        <f>+D40+D39</f>
        <v>-10553.5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7">
        <v>5419</v>
      </c>
    </row>
    <row r="47" spans="1:4" x14ac:dyDescent="0.2">
      <c r="A47" s="49">
        <f>+A41</f>
        <v>37327</v>
      </c>
      <c r="B47" s="32"/>
      <c r="C47" s="32"/>
      <c r="D47" s="348">
        <f>+D37</f>
        <v>2042</v>
      </c>
    </row>
    <row r="48" spans="1:4" x14ac:dyDescent="0.2">
      <c r="A48" s="32"/>
      <c r="B48" s="32"/>
      <c r="C48" s="32"/>
      <c r="D48" s="14">
        <f>+D47+D46</f>
        <v>7461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30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293</v>
      </c>
      <c r="C3" s="87"/>
      <c r="D3" s="87"/>
    </row>
    <row r="4" spans="1:4" x14ac:dyDescent="0.2">
      <c r="A4" s="3"/>
      <c r="B4" s="328" t="s">
        <v>294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2.5299999999999998</v>
      </c>
    </row>
    <row r="39" spans="1:5" x14ac:dyDescent="0.2">
      <c r="D39" s="138">
        <f>+D38*D37</f>
        <v>0</v>
      </c>
    </row>
    <row r="40" spans="1:5" x14ac:dyDescent="0.2">
      <c r="A40" s="57">
        <v>37315</v>
      </c>
      <c r="C40" s="15"/>
      <c r="D40" s="603">
        <v>69765.440000000002</v>
      </c>
    </row>
    <row r="41" spans="1:5" x14ac:dyDescent="0.2">
      <c r="A41" s="57">
        <v>37315</v>
      </c>
      <c r="C41" s="48"/>
      <c r="D41" s="138">
        <f>+D40+D39</f>
        <v>69765.440000000002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37315</v>
      </c>
      <c r="B46" s="32"/>
      <c r="C46" s="32"/>
      <c r="D46" s="598">
        <v>27486</v>
      </c>
      <c r="E46" s="577"/>
    </row>
    <row r="47" spans="1:5" x14ac:dyDescent="0.2">
      <c r="A47" s="49">
        <f>+A41</f>
        <v>37315</v>
      </c>
      <c r="B47" s="32"/>
      <c r="C47" s="32"/>
      <c r="D47" s="348">
        <f>+D37</f>
        <v>0</v>
      </c>
    </row>
    <row r="48" spans="1:5" x14ac:dyDescent="0.2">
      <c r="A48" s="32"/>
      <c r="B48" s="32"/>
      <c r="C48" s="32"/>
      <c r="D48" s="14">
        <f>+D47+D46</f>
        <v>27486</v>
      </c>
    </row>
    <row r="49" spans="1:4" x14ac:dyDescent="0.2">
      <c r="A49" s="139"/>
      <c r="B49" s="119"/>
      <c r="C49" s="140"/>
      <c r="D49" s="140"/>
    </row>
    <row r="51" spans="1:4" x14ac:dyDescent="0.2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6" t="s">
        <v>323</v>
      </c>
    </row>
    <row r="3" spans="1:37" x14ac:dyDescent="0.2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">
      <c r="B4" s="517" t="s">
        <v>317</v>
      </c>
      <c r="C4" s="518"/>
      <c r="D4" s="519" t="s">
        <v>318</v>
      </c>
      <c r="E4" s="518"/>
      <c r="F4" s="519" t="s">
        <v>319</v>
      </c>
      <c r="G4" s="518"/>
      <c r="H4" s="519" t="s">
        <v>320</v>
      </c>
      <c r="I4" s="518"/>
      <c r="J4" s="519" t="s">
        <v>321</v>
      </c>
      <c r="K4" s="518"/>
      <c r="L4" s="519" t="s">
        <v>322</v>
      </c>
      <c r="M4" s="518"/>
      <c r="N4" s="518"/>
    </row>
    <row r="5" spans="1:37" x14ac:dyDescent="0.2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">
      <c r="N38" s="264">
        <f>+summary!G4</f>
        <v>2.5299999999999998</v>
      </c>
      <c r="P38" s="51"/>
      <c r="T38" s="527"/>
      <c r="U38" s="19"/>
      <c r="V38" s="528"/>
      <c r="W38" s="252"/>
      <c r="X38" s="264"/>
      <c r="Y38" s="525"/>
    </row>
    <row r="39" spans="1:25" x14ac:dyDescent="0.2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">
      <c r="N40" s="329"/>
      <c r="P40" s="527"/>
      <c r="T40" s="527"/>
      <c r="U40" s="19"/>
      <c r="V40" s="528"/>
      <c r="W40" s="252"/>
      <c r="X40" s="264"/>
      <c r="Y40" s="525"/>
    </row>
    <row r="41" spans="1:25" x14ac:dyDescent="0.2">
      <c r="A41" s="263">
        <v>37315</v>
      </c>
      <c r="C41" s="131"/>
      <c r="E41" s="131"/>
      <c r="G41" s="131"/>
      <c r="I41" s="131"/>
      <c r="K41" s="131"/>
      <c r="M41" s="131"/>
      <c r="N41" s="613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">
      <c r="N42" s="319"/>
      <c r="P42" s="527"/>
      <c r="T42" s="527"/>
      <c r="U42" s="19"/>
      <c r="V42" s="528"/>
      <c r="W42" s="252"/>
      <c r="X42" s="264"/>
      <c r="Y42" s="525"/>
    </row>
    <row r="43" spans="1:25" x14ac:dyDescent="0.2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">
      <c r="N44" s="329"/>
      <c r="P44" s="527"/>
      <c r="T44" s="527"/>
      <c r="U44" s="19"/>
      <c r="V44" s="528"/>
      <c r="W44" s="252"/>
      <c r="X44" s="264"/>
      <c r="Y44" s="525"/>
    </row>
    <row r="45" spans="1:25" x14ac:dyDescent="0.2">
      <c r="P45" s="527"/>
      <c r="T45" s="527"/>
      <c r="U45" s="19"/>
      <c r="V45" s="528"/>
      <c r="W45" s="252"/>
      <c r="X45" s="264"/>
      <c r="Y45" s="525"/>
    </row>
    <row r="46" spans="1:25" x14ac:dyDescent="0.2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">
      <c r="A48" s="530">
        <f>+A41</f>
        <v>37315</v>
      </c>
      <c r="B48" s="249"/>
      <c r="C48" s="249"/>
      <c r="D48" s="607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">
      <c r="A84" s="261"/>
      <c r="O84" s="526"/>
      <c r="P84" s="527"/>
      <c r="Q84" s="527"/>
      <c r="R84" s="527"/>
      <c r="S84" s="527"/>
      <c r="T84" s="527"/>
      <c r="V84" s="533"/>
    </row>
    <row r="85" spans="1:22" x14ac:dyDescent="0.2">
      <c r="A85" s="261"/>
      <c r="O85" s="526"/>
      <c r="P85" s="527"/>
      <c r="Q85" s="527"/>
      <c r="R85" s="527"/>
      <c r="S85" s="527"/>
      <c r="T85" s="527"/>
      <c r="V85" s="533"/>
    </row>
    <row r="86" spans="1:22" x14ac:dyDescent="0.2">
      <c r="A86" s="261"/>
      <c r="O86" s="526"/>
      <c r="P86" s="527"/>
      <c r="Q86" s="527"/>
      <c r="R86" s="527"/>
      <c r="S86" s="527"/>
      <c r="T86" s="527"/>
      <c r="V86" s="533"/>
    </row>
    <row r="87" spans="1:22" x14ac:dyDescent="0.2">
      <c r="A87" s="261"/>
      <c r="O87" s="526"/>
      <c r="P87" s="527"/>
      <c r="Q87" s="527"/>
      <c r="R87" s="527"/>
      <c r="S87" s="527"/>
      <c r="T87" s="527"/>
      <c r="V87" s="533"/>
    </row>
    <row r="88" spans="1:22" x14ac:dyDescent="0.2">
      <c r="A88" s="261"/>
      <c r="O88" s="526"/>
      <c r="P88" s="527"/>
      <c r="Q88" s="527"/>
      <c r="R88" s="527"/>
      <c r="S88" s="527"/>
      <c r="T88" s="527"/>
      <c r="V88" s="533"/>
    </row>
    <row r="89" spans="1:22" x14ac:dyDescent="0.2">
      <c r="A89" s="261"/>
      <c r="O89" s="526"/>
      <c r="P89" s="527"/>
      <c r="Q89" s="527"/>
      <c r="R89" s="527"/>
      <c r="S89" s="527"/>
      <c r="T89" s="527"/>
      <c r="V89" s="533"/>
    </row>
    <row r="90" spans="1:22" x14ac:dyDescent="0.2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">
      <c r="A128" s="261"/>
    </row>
    <row r="129" spans="1:14" x14ac:dyDescent="0.2">
      <c r="B129" s="462"/>
      <c r="D129" s="462"/>
      <c r="F129" s="462"/>
      <c r="H129" s="462"/>
      <c r="J129" s="462"/>
      <c r="L129" s="462"/>
    </row>
    <row r="130" spans="1:14" x14ac:dyDescent="0.2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6"/>
      <c r="K166" s="536"/>
      <c r="M166" s="536"/>
      <c r="N166" s="51"/>
    </row>
    <row r="167" spans="1:14" x14ac:dyDescent="0.2">
      <c r="N167" s="51"/>
    </row>
    <row r="171" spans="1:14" x14ac:dyDescent="0.2">
      <c r="B171" s="462"/>
      <c r="D171" s="462"/>
      <c r="F171" s="462"/>
      <c r="H171" s="462"/>
      <c r="J171" s="462"/>
      <c r="L171" s="462"/>
    </row>
    <row r="172" spans="1:14" x14ac:dyDescent="0.2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6"/>
      <c r="K208" s="536"/>
      <c r="M208" s="536"/>
    </row>
    <row r="214" spans="1:13" x14ac:dyDescent="0.2">
      <c r="B214" s="462"/>
      <c r="D214" s="462"/>
      <c r="F214" s="462"/>
      <c r="H214" s="462"/>
      <c r="J214" s="462"/>
      <c r="L214" s="462"/>
    </row>
    <row r="215" spans="1:13" x14ac:dyDescent="0.2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6"/>
      <c r="K251" s="536"/>
      <c r="M251" s="536"/>
    </row>
    <row r="256" spans="1:21" x14ac:dyDescent="0.2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6"/>
      <c r="K293" s="536"/>
      <c r="M293" s="536"/>
      <c r="V293" s="53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2"/>
      <c r="Q297" s="462"/>
      <c r="S297" s="462"/>
      <c r="U297" s="462"/>
    </row>
    <row r="298" spans="1:23" x14ac:dyDescent="0.2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37"/>
      <c r="W336" s="51"/>
    </row>
    <row r="339" spans="14:23" x14ac:dyDescent="0.2">
      <c r="O339" s="462"/>
      <c r="Q339" s="462"/>
      <c r="S339" s="462"/>
      <c r="U339" s="462"/>
    </row>
    <row r="340" spans="14:23" x14ac:dyDescent="0.2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37"/>
      <c r="W378" s="538"/>
    </row>
    <row r="381" spans="14:23" x14ac:dyDescent="0.2">
      <c r="O381" s="462"/>
      <c r="Q381" s="462"/>
      <c r="S381" s="462"/>
      <c r="U381" s="462"/>
    </row>
    <row r="382" spans="14:23" x14ac:dyDescent="0.2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37"/>
      <c r="W420" s="538"/>
    </row>
    <row r="425" spans="14:23" x14ac:dyDescent="0.2">
      <c r="O425" s="462"/>
      <c r="Q425" s="462"/>
      <c r="S425" s="462"/>
      <c r="U425" s="462"/>
    </row>
    <row r="426" spans="14:23" x14ac:dyDescent="0.2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37"/>
      <c r="W464" s="51"/>
    </row>
    <row r="467" spans="14:33" x14ac:dyDescent="0.2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42" sqref="C42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">
      <c r="A17" s="10">
        <v>11</v>
      </c>
      <c r="B17" s="11">
        <v>171481</v>
      </c>
      <c r="C17" s="11">
        <v>172003</v>
      </c>
      <c r="D17" s="25">
        <f t="shared" si="0"/>
        <v>522</v>
      </c>
    </row>
    <row r="18" spans="1:4" x14ac:dyDescent="0.2">
      <c r="A18" s="10">
        <v>12</v>
      </c>
      <c r="B18" s="11">
        <v>142852</v>
      </c>
      <c r="C18" s="11">
        <v>142004</v>
      </c>
      <c r="D18" s="25">
        <f t="shared" si="0"/>
        <v>-848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1781481</v>
      </c>
      <c r="C38" s="11">
        <f>SUM(C7:C37)</f>
        <v>1783844</v>
      </c>
      <c r="D38" s="11">
        <f>SUM(D7:D37)</f>
        <v>2363</v>
      </c>
    </row>
    <row r="39" spans="1:8" x14ac:dyDescent="0.2">
      <c r="A39" s="26"/>
      <c r="C39" s="14"/>
      <c r="D39" s="106">
        <f>+summary!G3</f>
        <v>2.5299999999999998</v>
      </c>
    </row>
    <row r="40" spans="1:8" x14ac:dyDescent="0.2">
      <c r="D40" s="138">
        <f>+D39*D38</f>
        <v>5978.3899999999994</v>
      </c>
      <c r="H40">
        <v>20</v>
      </c>
    </row>
    <row r="41" spans="1:8" x14ac:dyDescent="0.2">
      <c r="A41" s="57">
        <v>37315</v>
      </c>
      <c r="C41" s="15"/>
      <c r="D41" s="602">
        <v>-13944.79</v>
      </c>
      <c r="H41">
        <v>530</v>
      </c>
    </row>
    <row r="42" spans="1:8" x14ac:dyDescent="0.2">
      <c r="A42" s="57">
        <v>37327</v>
      </c>
      <c r="D42" s="319">
        <f>+D41+D40</f>
        <v>-7966.4000000000015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98">
        <v>-7030</v>
      </c>
    </row>
    <row r="48" spans="1:8" x14ac:dyDescent="0.2">
      <c r="A48" s="49">
        <f>+A42</f>
        <v>37327</v>
      </c>
      <c r="B48" s="32"/>
      <c r="C48" s="32"/>
      <c r="D48" s="348">
        <f>+D38</f>
        <v>2363</v>
      </c>
    </row>
    <row r="49" spans="1:4" x14ac:dyDescent="0.2">
      <c r="A49" s="32"/>
      <c r="B49" s="32"/>
      <c r="C49" s="32"/>
      <c r="D49" s="14">
        <f>+D48+D47</f>
        <v>-4667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306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305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>
        <v>-10144</v>
      </c>
      <c r="C15" s="11">
        <v>-10000</v>
      </c>
      <c r="D15" s="11">
        <v>-12164</v>
      </c>
      <c r="E15" s="11">
        <v>-12300</v>
      </c>
      <c r="F15" s="11">
        <f t="shared" si="0"/>
        <v>8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>
        <v>-94</v>
      </c>
      <c r="C16" s="11"/>
      <c r="D16" s="11">
        <v>-12493</v>
      </c>
      <c r="E16" s="11">
        <v>-12300</v>
      </c>
      <c r="F16" s="11">
        <f t="shared" si="0"/>
        <v>287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307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-307857</v>
      </c>
      <c r="C36" s="44">
        <f>SUM(C5:C35)</f>
        <v>-317169</v>
      </c>
      <c r="D36" s="43">
        <f>SUM(D5:D35)</f>
        <v>-358820</v>
      </c>
      <c r="E36" s="43">
        <f>SUM(E5:E35)</f>
        <v>-370742</v>
      </c>
      <c r="F36" s="11">
        <f>SUM(F5:F35)</f>
        <v>-21234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7">
        <f>+summary!G5</f>
        <v>2.5299999999999998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-53722.02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59"/>
      <c r="D42" s="111"/>
      <c r="E42" s="459"/>
      <c r="F42" s="600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37327</v>
      </c>
      <c r="B43" s="32"/>
      <c r="C43" s="106"/>
      <c r="D43" s="106"/>
      <c r="E43" s="106"/>
      <c r="F43" s="24">
        <f>+F42+F36</f>
        <v>40337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289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37327</v>
      </c>
      <c r="B49" s="32"/>
      <c r="C49" s="32"/>
      <c r="D49" s="76">
        <f>+F36</f>
        <v>-21234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69059.960000000006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A41" sqref="A4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">
      <c r="A15" s="10">
        <v>12</v>
      </c>
      <c r="B15" s="11">
        <v>-220207</v>
      </c>
      <c r="C15" s="11">
        <v>-259188</v>
      </c>
      <c r="D15" s="25">
        <f t="shared" si="0"/>
        <v>-38981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-2512882</v>
      </c>
      <c r="C35" s="11">
        <f>SUM(C4:C34)</f>
        <v>-2553123</v>
      </c>
      <c r="D35" s="11">
        <f>SUM(D4:D34)</f>
        <v>-40241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623">
        <v>5393</v>
      </c>
    </row>
    <row r="39" spans="1:30" x14ac:dyDescent="0.2">
      <c r="A39" s="12"/>
      <c r="D39" s="51"/>
    </row>
    <row r="40" spans="1:30" x14ac:dyDescent="0.2">
      <c r="A40" s="245">
        <v>37327</v>
      </c>
      <c r="D40" s="51">
        <f>+D38+D35</f>
        <v>-34848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0"/>
      <c r="K44"/>
    </row>
    <row r="45" spans="1:30" x14ac:dyDescent="0.2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37327</v>
      </c>
      <c r="B46" s="32"/>
      <c r="C46" s="32"/>
      <c r="D46" s="373">
        <f>+D35*'by type_area'!G4</f>
        <v>-101809.73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-294702.73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C39" sqref="C39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">
      <c r="A15" s="10">
        <v>12</v>
      </c>
      <c r="B15" s="11">
        <v>-604577</v>
      </c>
      <c r="C15" s="11">
        <v>-604385</v>
      </c>
      <c r="D15" s="11"/>
      <c r="E15" s="11"/>
      <c r="F15" s="25">
        <f t="shared" si="0"/>
        <v>192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-6633019</v>
      </c>
      <c r="C35" s="11">
        <f>SUM(C4:C34)</f>
        <v>-6769245</v>
      </c>
      <c r="D35" s="11">
        <f>SUM(D4:D34)</f>
        <v>0</v>
      </c>
      <c r="E35" s="11">
        <f>SUM(E4:E34)</f>
        <v>0</v>
      </c>
      <c r="F35" s="11">
        <f>SUM(F4:F34)</f>
        <v>-136226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96">
        <v>78487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37327</v>
      </c>
      <c r="D40" s="246"/>
      <c r="E40" s="246"/>
      <c r="F40" s="51">
        <f>+F38+F35</f>
        <v>-57739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37327</v>
      </c>
      <c r="B46" s="32"/>
      <c r="C46" s="32"/>
      <c r="D46" s="471">
        <f>+F35*'by type_area'!G4</f>
        <v>-344651.77999999997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69">
        <f>+D46+D45</f>
        <v>-67164.77999999997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B36" sqref="B3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-41490</v>
      </c>
      <c r="C14" s="11">
        <v>-36201</v>
      </c>
      <c r="D14" s="11"/>
      <c r="E14" s="11">
        <v>-5000</v>
      </c>
      <c r="F14" s="11"/>
      <c r="G14" s="11"/>
      <c r="H14" s="11">
        <f t="shared" si="0"/>
        <v>289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-62634</v>
      </c>
      <c r="C15" s="11">
        <v>-41733</v>
      </c>
      <c r="D15" s="11"/>
      <c r="E15" s="11">
        <v>-21410</v>
      </c>
      <c r="F15" s="11"/>
      <c r="G15" s="11"/>
      <c r="H15" s="11">
        <f t="shared" si="0"/>
        <v>-509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-94806</v>
      </c>
      <c r="C16" s="11">
        <v>-49783</v>
      </c>
      <c r="D16" s="11"/>
      <c r="E16" s="11">
        <v>-45000</v>
      </c>
      <c r="F16" s="11"/>
      <c r="G16" s="11"/>
      <c r="H16" s="11">
        <f t="shared" si="0"/>
        <v>23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-927637</v>
      </c>
      <c r="C35" s="44">
        <f t="shared" si="3"/>
        <v>-357269</v>
      </c>
      <c r="D35" s="11">
        <f t="shared" si="3"/>
        <v>-46726</v>
      </c>
      <c r="E35" s="44">
        <f t="shared" si="3"/>
        <v>-610456</v>
      </c>
      <c r="F35" s="11">
        <f t="shared" si="3"/>
        <v>0</v>
      </c>
      <c r="G35" s="11">
        <f t="shared" si="3"/>
        <v>0</v>
      </c>
      <c r="H35" s="11">
        <f t="shared" si="3"/>
        <v>6638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2.5299999999999998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16794.14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35630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37328</v>
      </c>
      <c r="F39" s="470"/>
      <c r="G39" s="470"/>
      <c r="H39" s="319">
        <f>+H38+H37</f>
        <v>52424.14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37328</v>
      </c>
      <c r="E47" s="456">
        <f>+H35</f>
        <v>6638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51324</v>
      </c>
      <c r="F48" s="129"/>
      <c r="G48" s="129"/>
      <c r="H48" s="129"/>
      <c r="I48" s="262"/>
      <c r="J48" s="102"/>
      <c r="K48" s="504"/>
      <c r="L48" s="38"/>
      <c r="M48" s="4"/>
    </row>
    <row r="49" spans="1:15" ht="12.75" x14ac:dyDescent="0.2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A40" sqref="A40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-278460</v>
      </c>
      <c r="E16" s="11">
        <v>-309457</v>
      </c>
      <c r="F16" s="11"/>
      <c r="G16" s="11"/>
      <c r="H16" s="24">
        <f t="shared" si="0"/>
        <v>-30997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-3378741</v>
      </c>
      <c r="E36" s="11">
        <f t="shared" si="15"/>
        <v>-3448020</v>
      </c>
      <c r="F36" s="11">
        <f t="shared" si="15"/>
        <v>0</v>
      </c>
      <c r="G36" s="11">
        <f t="shared" si="15"/>
        <v>0</v>
      </c>
      <c r="H36" s="11">
        <f t="shared" si="15"/>
        <v>-69279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-69279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626">
        <v>64269</v>
      </c>
      <c r="D38" s="320"/>
      <c r="E38" s="625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37327</v>
      </c>
      <c r="B39" s="2" t="s">
        <v>45</v>
      </c>
      <c r="C39" s="131">
        <f>+C38+C37</f>
        <v>64269</v>
      </c>
      <c r="D39" s="252"/>
      <c r="E39" s="131">
        <f>+E38+E37</f>
        <v>-96100</v>
      </c>
      <c r="F39" s="252"/>
      <c r="G39" s="131"/>
      <c r="H39" s="131">
        <f>+H38+H36</f>
        <v>-31831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37327</v>
      </c>
      <c r="B45" s="32"/>
      <c r="C45" s="47">
        <f>+C37*summary!G4</f>
        <v>0</v>
      </c>
      <c r="D45" s="205"/>
      <c r="E45" s="375">
        <f>+E37*summary!G3</f>
        <v>-175275.87</v>
      </c>
      <c r="F45" s="47">
        <f>+E45+C45</f>
        <v>-175275.87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29</vt:i4>
      </vt:variant>
    </vt:vector>
  </HeadingPairs>
  <TitlesOfParts>
    <vt:vector size="75" baseType="lpstr">
      <vt:lpstr>monthly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Citizens!Print_Area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2002-03-14T21:51:03Z</cp:lastPrinted>
  <dcterms:created xsi:type="dcterms:W3CDTF">2000-03-28T16:52:23Z</dcterms:created>
  <dcterms:modified xsi:type="dcterms:W3CDTF">2023-09-14T07:19:00Z</dcterms:modified>
</cp:coreProperties>
</file>