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88F3A6-004C-4BF6-B537-A5103B68CD5B}" xr6:coauthVersionLast="47" xr6:coauthVersionMax="47" xr10:uidLastSave="{00000000-0000-0000-0000-000000000000}"/>
  <bookViews>
    <workbookView xWindow="-120" yWindow="-120" windowWidth="23280" windowHeight="1248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B7" i="65"/>
  <c r="C7" i="65"/>
  <c r="D7" i="65"/>
  <c r="C8" i="65"/>
  <c r="D8" i="65"/>
  <c r="B9" i="65"/>
  <c r="C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J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<sst xmlns="http://schemas.openxmlformats.org/spreadsheetml/2006/main" count="926" uniqueCount="323">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</sst>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2.33</v>
          </cell>
          <cell r="K39">
            <v>2.23</v>
          </cell>
          <cell r="M39">
            <v>2.29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0" workbookViewId="0">
      <selection activeCell="C15" sqref="C1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2.23</v>
      </c>
      <c r="K3" s="410">
        <f ca="1">NOW()</f>
        <v>37263.891787962966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2.29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2.33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7" t="s">
        <v>127</v>
      </c>
      <c r="B12" s="351">
        <f>+Calpine!D41</f>
        <v>236341.35</v>
      </c>
      <c r="C12" s="376">
        <f>+B12/$J$4</f>
        <v>103205.82969432314</v>
      </c>
      <c r="D12" s="14">
        <f>+Calpine!D47</f>
        <v>198218</v>
      </c>
      <c r="E12" s="70">
        <f>+C12-D12</f>
        <v>-95012.17030567686</v>
      </c>
      <c r="F12" s="371">
        <f>+Calpine!A41</f>
        <v>37262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69847.22</v>
      </c>
      <c r="C13" s="375">
        <f>+B13/$J$4</f>
        <v>30500.96943231441</v>
      </c>
      <c r="D13" s="14">
        <f>+'Citizens-Griffith'!D48</f>
        <v>37070</v>
      </c>
      <c r="E13" s="70">
        <f>+C13-D13</f>
        <v>-6569.0305676855896</v>
      </c>
      <c r="F13" s="371">
        <f>+'Citizens-Griffith'!A41</f>
        <v>37262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489">
        <f>+SWGasTrans!D41</f>
        <v>-19607.86</v>
      </c>
      <c r="C14" s="375">
        <f>+B14/J4</f>
        <v>-8562.3842794759821</v>
      </c>
      <c r="D14" s="14">
        <f>+SWGasTrans!$D$48</f>
        <v>4295</v>
      </c>
      <c r="E14" s="70">
        <f>+C14-D14</f>
        <v>-12857.384279475982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-349138.81</v>
      </c>
      <c r="C15" s="375">
        <f>+B15/$J$4</f>
        <v>-152462.36244541485</v>
      </c>
      <c r="D15" s="14">
        <f>+'NS Steel'!D50</f>
        <v>-41710</v>
      </c>
      <c r="E15" s="70">
        <f>+C15-D15</f>
        <v>-110752.36244541485</v>
      </c>
      <c r="F15" s="372">
        <f>+'NS Steel'!A41</f>
        <v>37262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7" t="s">
        <v>135</v>
      </c>
      <c r="B16" s="354">
        <f>+Citizens!D18</f>
        <v>-542234.06000000006</v>
      </c>
      <c r="C16" s="377">
        <f>+B16/$J$4</f>
        <v>-236783.43231441051</v>
      </c>
      <c r="D16" s="355">
        <f>+Citizens!D24</f>
        <v>-38814</v>
      </c>
      <c r="E16" s="72">
        <f>+C16-D16</f>
        <v>-197969.43231441051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-604792.16</v>
      </c>
      <c r="C17" s="401">
        <f>SUBTOTAL(9,C12:C16)</f>
        <v>-264101.37991266383</v>
      </c>
      <c r="D17" s="402">
        <f>SUBTOTAL(9,D12:D16)</f>
        <v>159059</v>
      </c>
      <c r="E17" s="403">
        <f>SUBTOTAL(9,E12:E16)</f>
        <v>-423160.37991266383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490">
        <f>+transcol!$D$43</f>
        <v>36149.229999999996</v>
      </c>
      <c r="C20" s="375">
        <f>+B20/$J$4</f>
        <v>15785.689956331877</v>
      </c>
      <c r="D20" s="14">
        <f>+transcol!D50</f>
        <v>-39595</v>
      </c>
      <c r="E20" s="70">
        <f>+C20-D20</f>
        <v>55380.689956331873</v>
      </c>
      <c r="F20" s="372">
        <f>+transcol!A43</f>
        <v>37261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7" t="s">
        <v>320</v>
      </c>
      <c r="B21" s="490">
        <f>+C21*J3</f>
        <v>64275.29</v>
      </c>
      <c r="C21" s="375">
        <f>+williams!J40</f>
        <v>28823</v>
      </c>
      <c r="D21" s="14">
        <f>+C21</f>
        <v>28823</v>
      </c>
      <c r="E21" s="70">
        <f>+C21-D21</f>
        <v>0</v>
      </c>
      <c r="F21" s="372">
        <f>+williams!A40</f>
        <v>36897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7" t="s">
        <v>95</v>
      </c>
      <c r="B22" s="527">
        <f>+burlington!D42</f>
        <v>32426.739999999998</v>
      </c>
      <c r="C22" s="379">
        <f>+B22/$J$3</f>
        <v>14541.139013452914</v>
      </c>
      <c r="D22" s="355">
        <f>+burlington!D49</f>
        <v>13750</v>
      </c>
      <c r="E22" s="72">
        <f>+C22-D22</f>
        <v>791.13901345291379</v>
      </c>
      <c r="F22" s="371">
        <f>+burlington!A42</f>
        <v>37262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132851.25999999998</v>
      </c>
      <c r="C23" s="396">
        <f>SUBTOTAL(9,C20:C22)</f>
        <v>59149.828969784787</v>
      </c>
      <c r="D23" s="402">
        <f>SUBTOTAL(9,D20:D22)</f>
        <v>2978</v>
      </c>
      <c r="E23" s="403">
        <f>SUBTOTAL(9,E20:E22)</f>
        <v>56171.828969784787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7" t="s">
        <v>87</v>
      </c>
      <c r="B26" s="489">
        <f>+NNG!$D$24</f>
        <v>144.02999999999884</v>
      </c>
      <c r="C26" s="375">
        <f t="shared" ref="C26:C46" si="0">+B26/$J$4</f>
        <v>62.895196506549709</v>
      </c>
      <c r="D26" s="14">
        <f>+NNG!D34</f>
        <v>517</v>
      </c>
      <c r="E26" s="70">
        <f t="shared" ref="E26:E48" si="1">+C26-D26</f>
        <v>-454.10480349345028</v>
      </c>
      <c r="F26" s="371">
        <f>+NNG!A24</f>
        <v>37262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9">
        <f>+Conoco!$F$41</f>
        <v>454353.53</v>
      </c>
      <c r="C27" s="375">
        <f t="shared" si="0"/>
        <v>198407.65502183407</v>
      </c>
      <c r="D27" s="14">
        <f>+Conoco!D48</f>
        <v>38657</v>
      </c>
      <c r="E27" s="70">
        <f t="shared" si="1"/>
        <v>159750.65502183407</v>
      </c>
      <c r="F27" s="371">
        <f>+Conoco!A41</f>
        <v>37262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177030.15999999997</v>
      </c>
      <c r="C28" s="375">
        <f t="shared" si="0"/>
        <v>77305.746724890821</v>
      </c>
      <c r="D28" s="14">
        <f>+'Amoco Abo'!D49</f>
        <v>-356270</v>
      </c>
      <c r="E28" s="70">
        <f t="shared" si="1"/>
        <v>433575.74672489084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9">
        <f>+KN_Westar!F41</f>
        <v>385015.89</v>
      </c>
      <c r="C29" s="375">
        <f t="shared" si="0"/>
        <v>168129.2096069869</v>
      </c>
      <c r="D29" s="14">
        <f>+KN_Westar!D48</f>
        <v>-9522</v>
      </c>
      <c r="E29" s="70">
        <f t="shared" si="1"/>
        <v>177651.2096069869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7" t="s">
        <v>258</v>
      </c>
      <c r="B30" s="489">
        <f>+summary!B9</f>
        <v>1217139.33</v>
      </c>
      <c r="C30" s="376">
        <f>+B30/$J$5</f>
        <v>522377.39484978543</v>
      </c>
      <c r="D30" s="14">
        <f>+Duke!$G$40+Duke!$H$40+Duke!$I$53+Duke!$I$54</f>
        <v>361187</v>
      </c>
      <c r="E30" s="70">
        <f t="shared" si="1"/>
        <v>161190.39484978543</v>
      </c>
      <c r="F30" s="372">
        <f>+Duke!A42</f>
        <v>37262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7" t="s">
        <v>251</v>
      </c>
      <c r="B31" s="489">
        <f>+summary!B8</f>
        <v>1571438.51</v>
      </c>
      <c r="C31" s="376">
        <f>+B31/$J$5</f>
        <v>674437.1287553648</v>
      </c>
      <c r="D31" s="14">
        <f>+Duke!$F$40</f>
        <v>395884</v>
      </c>
      <c r="E31" s="70">
        <f t="shared" si="1"/>
        <v>278553.1287553648</v>
      </c>
      <c r="F31" s="372">
        <f>+Duke!A7</f>
        <v>37262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7" t="s">
        <v>250</v>
      </c>
      <c r="B32" s="489">
        <f>+summary!B40</f>
        <v>-2747857.7600000002</v>
      </c>
      <c r="C32" s="376">
        <f>+B32/$J$5</f>
        <v>-1179338.0944206009</v>
      </c>
      <c r="D32" s="14">
        <f>+DEFS!$I$36+DEFS!$J$36+DEFS!$K$45+DEFS!$K$46+DEFS!$K$47+DEFS!$K$48</f>
        <v>-412608</v>
      </c>
      <c r="E32" s="70">
        <f t="shared" si="1"/>
        <v>-766730.09442060092</v>
      </c>
      <c r="F32" s="372">
        <f>+DEFS!A40</f>
        <v>37262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9">
        <f>+mewborne!$J$43</f>
        <v>409977.59999999998</v>
      </c>
      <c r="C33" s="375">
        <f t="shared" si="0"/>
        <v>179029.51965065501</v>
      </c>
      <c r="D33" s="14">
        <f>+mewborne!D49</f>
        <v>168268</v>
      </c>
      <c r="E33" s="70">
        <f t="shared" si="1"/>
        <v>10761.519650655013</v>
      </c>
      <c r="F33" s="372">
        <f>+mewborne!A43</f>
        <v>37261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9">
        <f>+PGETX!$H$39</f>
        <v>-58227.8</v>
      </c>
      <c r="C34" s="375">
        <f t="shared" si="0"/>
        <v>-25426.986899563319</v>
      </c>
      <c r="D34" s="14">
        <f>+PGETX!E48</f>
        <v>-704</v>
      </c>
      <c r="E34" s="70">
        <f t="shared" si="1"/>
        <v>-24722.986899563319</v>
      </c>
      <c r="F34" s="372">
        <f>+PGETX!E39</f>
        <v>37262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752963.62999999989</v>
      </c>
      <c r="C35" s="375">
        <f t="shared" si="0"/>
        <v>328805.07860262005</v>
      </c>
      <c r="D35" s="14">
        <f>+PNM!D30</f>
        <v>300817</v>
      </c>
      <c r="E35" s="70">
        <f t="shared" si="1"/>
        <v>27988.078602620051</v>
      </c>
      <c r="F35" s="372">
        <f>+PNM!A23</f>
        <v>37261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9">
        <f>+EOG!J41</f>
        <v>69284.38</v>
      </c>
      <c r="C36" s="375">
        <f t="shared" si="0"/>
        <v>30255.187772925765</v>
      </c>
      <c r="D36" s="14">
        <f>+EOG!D48</f>
        <v>-97261</v>
      </c>
      <c r="E36" s="70">
        <f t="shared" si="1"/>
        <v>127516.18777292577</v>
      </c>
      <c r="F36" s="371">
        <f>+EOG!A41</f>
        <v>37261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-31354.880000000001</v>
      </c>
      <c r="C37" s="375">
        <f>+B37/J5</f>
        <v>-13457.030042918455</v>
      </c>
      <c r="D37" s="14">
        <f>+Oasis!D47</f>
        <v>-17380</v>
      </c>
      <c r="E37" s="70">
        <f>+C37-D37</f>
        <v>3922.9699570815446</v>
      </c>
      <c r="F37" s="371">
        <f>+Oasis!A40</f>
        <v>37261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9">
        <f>+SidR!D41</f>
        <v>37106.449999999997</v>
      </c>
      <c r="C38" s="375">
        <f>+B38/$J$5</f>
        <v>15925.515021459225</v>
      </c>
      <c r="D38" s="14">
        <f>+SidR!D48</f>
        <v>17763</v>
      </c>
      <c r="E38" s="70">
        <f t="shared" si="1"/>
        <v>-1837.484978540775</v>
      </c>
      <c r="F38" s="372">
        <f>+SidR!A41</f>
        <v>37262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7" t="s">
        <v>262</v>
      </c>
      <c r="B39" s="351">
        <f>+summary!$B$43</f>
        <v>-195699.5</v>
      </c>
      <c r="C39" s="375">
        <f>+summary!$C$43</f>
        <v>-83991.2017167382</v>
      </c>
      <c r="D39" s="14">
        <f>+MiVida_Rich!D48</f>
        <v>-47898</v>
      </c>
      <c r="E39" s="70">
        <f>+C39-D39</f>
        <v>-36093.2017167382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179339.99</v>
      </c>
      <c r="C40" s="375">
        <f>+B40/$J$5</f>
        <v>76969.952789699571</v>
      </c>
      <c r="D40" s="14">
        <f>+Dominion!D48</f>
        <v>78696</v>
      </c>
      <c r="E40" s="70">
        <f t="shared" si="1"/>
        <v>-1726.0472103004286</v>
      </c>
      <c r="F40" s="372">
        <f>+Dominion!A41</f>
        <v>37261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-30423.63</v>
      </c>
      <c r="C41" s="375">
        <f t="shared" si="0"/>
        <v>-13285.427947598253</v>
      </c>
      <c r="D41" s="14">
        <f>+WTGmktg!D50</f>
        <v>-1200</v>
      </c>
      <c r="E41" s="70">
        <f t="shared" si="1"/>
        <v>-12085.427947598253</v>
      </c>
      <c r="F41" s="372">
        <f>+WTGmktg!A43</f>
        <v>37262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+'WTG inc'!N43</f>
        <v>35858.01</v>
      </c>
      <c r="C42" s="375">
        <f>+B42/J4</f>
        <v>15658.519650655022</v>
      </c>
      <c r="D42" s="14">
        <f>+'WTG inc'!D50</f>
        <v>13508</v>
      </c>
      <c r="E42" s="70">
        <f>+C42-D42</f>
        <v>2150.5196506550219</v>
      </c>
      <c r="F42" s="372">
        <f>+'WTG inc'!A43</f>
        <v>37262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165292.94</v>
      </c>
      <c r="C43" s="375">
        <f>+B43/$J$5</f>
        <v>70941.175965665228</v>
      </c>
      <c r="D43" s="14">
        <f>+Devon!D48</f>
        <v>35688</v>
      </c>
      <c r="E43" s="70">
        <f t="shared" si="1"/>
        <v>35253.175965665228</v>
      </c>
      <c r="F43" s="372">
        <f>+Devon!A41</f>
        <v>37261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-125742.32</v>
      </c>
      <c r="C44" s="375">
        <f>+B44/$J$4</f>
        <v>-54909.310043668127</v>
      </c>
      <c r="D44" s="14">
        <f>+crosstex!D48</f>
        <v>-37577</v>
      </c>
      <c r="E44" s="70">
        <f t="shared" si="1"/>
        <v>-17332.310043668127</v>
      </c>
      <c r="F44" s="372">
        <f>+crosstex!A41</f>
        <v>37262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114641.59999999999</v>
      </c>
      <c r="C45" s="375">
        <f>+B45/$J$4</f>
        <v>50061.834061135363</v>
      </c>
      <c r="D45" s="14">
        <f>+Amarillo!D48</f>
        <v>48246</v>
      </c>
      <c r="E45" s="70">
        <f t="shared" si="1"/>
        <v>1815.8340611353633</v>
      </c>
      <c r="F45" s="372">
        <f>+Amarillo!A41</f>
        <v>37262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14961.572052401747</v>
      </c>
      <c r="D46" s="14">
        <f>+Continental!D50</f>
        <v>748</v>
      </c>
      <c r="E46" s="70">
        <f t="shared" si="1"/>
        <v>14213.572052401747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98364.22</v>
      </c>
      <c r="C47" s="376">
        <f>+B47/$J$5</f>
        <v>42216.403433476393</v>
      </c>
      <c r="D47" s="14">
        <f>+EPFS!D47</f>
        <v>60316</v>
      </c>
      <c r="E47" s="70">
        <f t="shared" si="1"/>
        <v>-18099.596566523607</v>
      </c>
      <c r="F47" s="371">
        <f>+EPFS!A41</f>
        <v>37262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7" t="s">
        <v>79</v>
      </c>
      <c r="B48" s="527">
        <f>+Agave!$D$24</f>
        <v>-24903.020000000004</v>
      </c>
      <c r="C48" s="377">
        <f>+B48/$J$4</f>
        <v>-10874.681222707426</v>
      </c>
      <c r="D48" s="355">
        <f>+Agave!D31</f>
        <v>3966</v>
      </c>
      <c r="E48" s="72">
        <f t="shared" si="1"/>
        <v>-14840.681222707426</v>
      </c>
      <c r="F48" s="371">
        <f>+Agave!A24</f>
        <v>37261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2488003.3600000008</v>
      </c>
      <c r="C49" s="401">
        <f>SUBTOTAL(9,C26:C48)</f>
        <v>1084262.056862267</v>
      </c>
      <c r="D49" s="402">
        <f>SUBTOTAL(9,D26:D48)</f>
        <v>543841</v>
      </c>
      <c r="E49" s="403">
        <f>SUBTOTAL(9,E26:E48)</f>
        <v>540421.05686226708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2016062.4599999993</v>
      </c>
      <c r="C51" s="401">
        <f>SUBTOTAL(9,C12:C48)</f>
        <v>879310.50591938791</v>
      </c>
      <c r="D51" s="402">
        <f>SUBTOTAL(9,D12:D48)</f>
        <v>705878</v>
      </c>
      <c r="E51" s="403">
        <f>SUBTOTAL(9,E12:E48)</f>
        <v>173432.50591938815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2.23</v>
      </c>
      <c r="K57" s="410">
        <f ca="1">NOW()</f>
        <v>37263.891787962966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2.29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2.33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540">
        <f>+Mojave!D40</f>
        <v>190739</v>
      </c>
      <c r="C66" s="351">
        <f>+B66*$J$4</f>
        <v>436792.31</v>
      </c>
      <c r="D66" s="47">
        <f>+Mojave!D47</f>
        <v>208780.64</v>
      </c>
      <c r="E66" s="47">
        <f>+C66-D66</f>
        <v>228011.66999999998</v>
      </c>
      <c r="F66" s="372">
        <f>+Mojave!A40</f>
        <v>37261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111541</v>
      </c>
      <c r="C67" s="351">
        <f>+B67*$J$4</f>
        <v>255428.89</v>
      </c>
      <c r="D67" s="47">
        <f>+SoCal!D47</f>
        <v>348224.09</v>
      </c>
      <c r="E67" s="47">
        <f>+C67-D67</f>
        <v>-92795.200000000012</v>
      </c>
      <c r="F67" s="372">
        <f>+SoCal!A40</f>
        <v>37262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146940.14000000001</v>
      </c>
      <c r="D68" s="47">
        <f>+'El Paso'!C46</f>
        <v>-1583193</v>
      </c>
      <c r="E68" s="47">
        <f>+C68-D68</f>
        <v>1730133.1400000001</v>
      </c>
      <c r="F68" s="372">
        <f>+'El Paso'!A39</f>
        <v>37262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45210</v>
      </c>
      <c r="C69" s="354">
        <f>+B69*$J$4</f>
        <v>103530.90000000001</v>
      </c>
      <c r="D69" s="354">
        <f>+'PG&amp;E'!D47</f>
        <v>-19288.689999999999</v>
      </c>
      <c r="E69" s="354">
        <f>+C69-D69</f>
        <v>122819.59000000001</v>
      </c>
      <c r="F69" s="372">
        <f>+'PG&amp;E'!A40</f>
        <v>37262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411656</v>
      </c>
      <c r="C70" s="395">
        <f>SUBTOTAL(9,C66:C69)</f>
        <v>942692.24</v>
      </c>
      <c r="D70" s="395">
        <f>SUBTOTAL(9,D66:D69)</f>
        <v>-1045476.96</v>
      </c>
      <c r="E70" s="395">
        <f>SUBTOTAL(9,E66:E69)</f>
        <v>1988169.2000000002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+'Red C'!F45</f>
        <v>23762</v>
      </c>
      <c r="C73" s="352">
        <f>+B73*J57</f>
        <v>52989.26</v>
      </c>
      <c r="D73" s="200">
        <f>+'Red C'!D52</f>
        <v>420158.68</v>
      </c>
      <c r="E73" s="47">
        <f>+C73-D73</f>
        <v>-367169.42</v>
      </c>
      <c r="F73" s="371">
        <f>+'Red C'!A45</f>
        <v>37262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-35346</v>
      </c>
      <c r="C74" s="351">
        <f>+B74*$J$3</f>
        <v>-78821.58</v>
      </c>
      <c r="D74" s="47">
        <f>+Amoco!D47</f>
        <v>261128.72</v>
      </c>
      <c r="E74" s="47">
        <f>+C74-D74</f>
        <v>-339950.3</v>
      </c>
      <c r="F74" s="372">
        <f>+Amoco!A40</f>
        <v>37261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-35356</v>
      </c>
      <c r="C75" s="351">
        <f>+B75*$J$3</f>
        <v>-78843.88</v>
      </c>
      <c r="D75" s="47">
        <f>+'El Paso'!F46</f>
        <v>-657486</v>
      </c>
      <c r="E75" s="47">
        <f>+C75-D75</f>
        <v>578642.12</v>
      </c>
      <c r="F75" s="372">
        <f>+'El Paso'!A39</f>
        <v>37262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-27663</v>
      </c>
      <c r="C76" s="354">
        <f>+B76*$J$3</f>
        <v>-61688.49</v>
      </c>
      <c r="D76" s="354">
        <f>+NW!E49</f>
        <v>-519369.02</v>
      </c>
      <c r="E76" s="354">
        <f>+C76-D76</f>
        <v>457680.53</v>
      </c>
      <c r="F76" s="371">
        <f>+NW!B41</f>
        <v>36897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-74603</v>
      </c>
      <c r="C77" s="395">
        <f>SUBTOTAL(9,C73:C76)</f>
        <v>-166364.69</v>
      </c>
      <c r="D77" s="395">
        <f>SUBTOTAL(9,D73:D76)</f>
        <v>-495567.62</v>
      </c>
      <c r="E77" s="395">
        <f>SUBTOTAL(9,E73:E76)</f>
        <v>329202.93000000005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127102</v>
      </c>
      <c r="C80" s="489">
        <f>+B80*$J$5</f>
        <v>296147.66000000003</v>
      </c>
      <c r="D80" s="47">
        <f>+NGPL!D45</f>
        <v>321547.68</v>
      </c>
      <c r="E80" s="47">
        <f>+C80-D80</f>
        <v>-25400.01999999996</v>
      </c>
      <c r="F80" s="372">
        <f>+NGPL!A38</f>
        <v>37262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-11587</v>
      </c>
      <c r="C81" s="490">
        <f>+B81*$J$4</f>
        <v>-26534.23</v>
      </c>
      <c r="D81" s="47">
        <f>+PEPL!D47</f>
        <v>155600.14000000001</v>
      </c>
      <c r="E81" s="47">
        <f>+C81-D81</f>
        <v>-182134.37000000002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490">
        <f>+B82*$J$4</f>
        <v>37391.120000000003</v>
      </c>
      <c r="D82" s="200">
        <f>+CIG!D49</f>
        <v>383278</v>
      </c>
      <c r="E82" s="70">
        <f>+C82-D82</f>
        <v>-345886.88</v>
      </c>
      <c r="F82" s="372">
        <f>+CIG!A42</f>
        <v>37261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+Lonestar!F43</f>
        <v>16678.330000000002</v>
      </c>
      <c r="C83" s="527">
        <f>+B83*J59</f>
        <v>38860.508900000008</v>
      </c>
      <c r="D83" s="354">
        <f>+Lonestar!D50</f>
        <v>22944.240000000002</v>
      </c>
      <c r="E83" s="354">
        <f>+C83-D83</f>
        <v>15916.268900000006</v>
      </c>
      <c r="F83" s="371">
        <f>+Lonestar!A43</f>
        <v>37261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148521.33000000002</v>
      </c>
      <c r="C84" s="395">
        <f>SUBTOTAL(9,C80:C83)</f>
        <v>345865.05890000006</v>
      </c>
      <c r="D84" s="395">
        <f>SUBTOTAL(9,D80:D83)</f>
        <v>883370.06</v>
      </c>
      <c r="E84" s="395">
        <f>SUBTOTAL(9,E80:E83)</f>
        <v>-537505.00109999999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485574.33</v>
      </c>
      <c r="C86" s="395">
        <f>SUBTOTAL(9,C66:C83)</f>
        <v>1122192.6089000001</v>
      </c>
      <c r="D86" s="395">
        <f>SUBTOTAL(9,D66:D83)</f>
        <v>-657674.52000000025</v>
      </c>
      <c r="E86" s="395">
        <f>SUBTOTAL(9,E66:E83)</f>
        <v>1779867.1288999999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3138255.0688999994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1364884.8359193879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7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746272</v>
      </c>
      <c r="C37" s="419">
        <f>SUM(C6:C36)</f>
        <v>741136</v>
      </c>
      <c r="D37" s="419">
        <f>SUM(D6:D36)</f>
        <v>-5136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37261</v>
      </c>
      <c r="B40" s="285"/>
      <c r="C40" s="444"/>
      <c r="D40" s="310">
        <f>+D39+D37</f>
        <v>-35346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">
      <c r="A46" s="49">
        <f>+A40</f>
        <v>37261</v>
      </c>
      <c r="B46" s="32"/>
      <c r="C46" s="32"/>
      <c r="D46" s="382">
        <f>+D37*'by type_area'!J3</f>
        <v>-11453.28</v>
      </c>
      <c r="H46">
        <v>500</v>
      </c>
    </row>
    <row r="47" spans="1:16" x14ac:dyDescent="0.2">
      <c r="A47" s="32"/>
      <c r="B47" s="32"/>
      <c r="C47" s="32"/>
      <c r="D47" s="200">
        <f>+D46+D45</f>
        <v>261128.72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18" sqref="A1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-360888</v>
      </c>
      <c r="C36" s="24">
        <f>SUM(C5:C35)</f>
        <v>-359824</v>
      </c>
      <c r="D36" s="24">
        <f t="shared" si="0"/>
        <v>1064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2.33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2479.12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37261</v>
      </c>
      <c r="B40"/>
      <c r="C40" s="48"/>
      <c r="D40" s="138">
        <f>+D39+D38</f>
        <v>-31354.880000000001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4">
        <v>-18444</v>
      </c>
    </row>
    <row r="46" spans="1:65" x14ac:dyDescent="0.2">
      <c r="A46" s="49">
        <f>+A40</f>
        <v>37261</v>
      </c>
      <c r="B46" s="32"/>
      <c r="C46" s="32"/>
      <c r="D46" s="355">
        <f>+D36</f>
        <v>1064</v>
      </c>
    </row>
    <row r="47" spans="1:65" x14ac:dyDescent="0.2">
      <c r="A47" s="32"/>
      <c r="B47" s="32"/>
      <c r="C47" s="32"/>
      <c r="D47" s="14">
        <f>+D46+D45</f>
        <v>-17380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159260</v>
      </c>
      <c r="C5" s="90">
        <v>160824</v>
      </c>
      <c r="D5" s="90">
        <f>+C5-B5</f>
        <v>1564</v>
      </c>
      <c r="E5" s="275"/>
      <c r="F5" s="273"/>
    </row>
    <row r="6" spans="1:13" x14ac:dyDescent="0.2">
      <c r="A6" s="87">
        <v>78311</v>
      </c>
      <c r="B6" s="90">
        <v>48180</v>
      </c>
      <c r="C6" s="90">
        <v>34200</v>
      </c>
      <c r="D6" s="90">
        <f t="shared" ref="D6:D17" si="0">+C6-B6</f>
        <v>-13980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148198</v>
      </c>
      <c r="C7" s="90">
        <v>173332</v>
      </c>
      <c r="D7" s="90">
        <f t="shared" si="0"/>
        <v>25134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191824</v>
      </c>
      <c r="C8" s="90">
        <v>143548</v>
      </c>
      <c r="D8" s="90">
        <f t="shared" si="0"/>
        <v>-48276</v>
      </c>
      <c r="E8" s="464"/>
      <c r="F8" s="273"/>
    </row>
    <row r="9" spans="1:13" x14ac:dyDescent="0.2">
      <c r="A9" s="87">
        <v>500293</v>
      </c>
      <c r="B9" s="90">
        <v>95279</v>
      </c>
      <c r="C9" s="90">
        <v>94670</v>
      </c>
      <c r="D9" s="90">
        <f t="shared" si="0"/>
        <v>-609</v>
      </c>
      <c r="E9" s="275"/>
      <c r="F9" s="273"/>
    </row>
    <row r="10" spans="1:13" x14ac:dyDescent="0.2">
      <c r="A10" s="87">
        <v>500302</v>
      </c>
      <c r="B10" s="90"/>
      <c r="C10" s="90">
        <v>1380</v>
      </c>
      <c r="D10" s="90">
        <f t="shared" si="0"/>
        <v>1380</v>
      </c>
      <c r="E10" s="275"/>
      <c r="F10" s="273"/>
    </row>
    <row r="11" spans="1:13" x14ac:dyDescent="0.2">
      <c r="A11" s="87">
        <v>500303</v>
      </c>
      <c r="B11" s="90"/>
      <c r="C11" s="90">
        <v>40807</v>
      </c>
      <c r="D11" s="90">
        <f t="shared" si="0"/>
        <v>40807</v>
      </c>
      <c r="E11" s="275"/>
      <c r="F11" s="273"/>
    </row>
    <row r="12" spans="1:13" x14ac:dyDescent="0.2">
      <c r="A12" s="91">
        <v>500305</v>
      </c>
      <c r="B12" s="90">
        <v>253754</v>
      </c>
      <c r="C12" s="90">
        <v>244698</v>
      </c>
      <c r="D12" s="90">
        <f t="shared" si="0"/>
        <v>-9056</v>
      </c>
      <c r="E12" s="276"/>
      <c r="F12" s="273"/>
    </row>
    <row r="13" spans="1:13" x14ac:dyDescent="0.2">
      <c r="A13" s="87">
        <v>500307</v>
      </c>
      <c r="B13" s="90">
        <v>18290</v>
      </c>
      <c r="C13" s="90">
        <v>10640</v>
      </c>
      <c r="D13" s="90">
        <f t="shared" si="0"/>
        <v>-7650</v>
      </c>
      <c r="E13" s="275"/>
      <c r="F13" s="273"/>
    </row>
    <row r="14" spans="1:13" x14ac:dyDescent="0.2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36126</v>
      </c>
      <c r="C16" s="90"/>
      <c r="D16" s="90">
        <f t="shared" si="0"/>
        <v>-36126</v>
      </c>
      <c r="E16" s="275"/>
      <c r="F16" s="273"/>
    </row>
    <row r="17" spans="1:6" x14ac:dyDescent="0.2">
      <c r="A17" s="87">
        <v>500657</v>
      </c>
      <c r="B17" s="88">
        <v>28965</v>
      </c>
      <c r="C17" s="88">
        <v>34988</v>
      </c>
      <c r="D17" s="94">
        <f t="shared" si="0"/>
        <v>6023</v>
      </c>
      <c r="E17" s="275"/>
      <c r="F17" s="273"/>
    </row>
    <row r="18" spans="1:6" x14ac:dyDescent="0.2">
      <c r="A18" s="87"/>
      <c r="B18" s="88"/>
      <c r="C18" s="88"/>
      <c r="D18" s="88">
        <f>SUM(D5:D17)</f>
        <v>-40284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2.33</v>
      </c>
      <c r="E19" s="277"/>
      <c r="F19" s="273"/>
    </row>
    <row r="20" spans="1:6" x14ac:dyDescent="0.2">
      <c r="A20" s="87"/>
      <c r="B20" s="88"/>
      <c r="C20" s="88"/>
      <c r="D20" s="96">
        <f>+D19*D18</f>
        <v>-93861.72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37261</v>
      </c>
      <c r="B24" s="88"/>
      <c r="C24" s="88"/>
      <c r="D24" s="321">
        <f>+D22+D20</f>
        <v>-24903.020000000004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4">
        <v>44250</v>
      </c>
    </row>
    <row r="30" spans="1:6" x14ac:dyDescent="0.2">
      <c r="A30" s="49">
        <f>+A24</f>
        <v>37261</v>
      </c>
      <c r="B30" s="32"/>
      <c r="C30" s="32"/>
      <c r="D30" s="355">
        <f>+D18</f>
        <v>-40284</v>
      </c>
    </row>
    <row r="31" spans="1:6" x14ac:dyDescent="0.2">
      <c r="A31" s="32"/>
      <c r="B31" s="32"/>
      <c r="C31" s="32"/>
      <c r="D31" s="14">
        <f>+D30+D29</f>
        <v>3966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7" sqref="C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34292</v>
      </c>
      <c r="E9" s="11">
        <v>30158</v>
      </c>
      <c r="F9" s="25">
        <f t="shared" si="2"/>
        <v>-2156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207831</v>
      </c>
      <c r="C35" s="11">
        <f>SUM(C4:C34)</f>
        <v>210594</v>
      </c>
      <c r="D35" s="11">
        <f>SUM(D4:D34)</f>
        <v>193515</v>
      </c>
      <c r="E35" s="11">
        <f>SUM(E4:E34)</f>
        <v>188098</v>
      </c>
      <c r="F35" s="11">
        <f>+E35-D35+C35-B35</f>
        <v>-2654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2.29</v>
      </c>
    </row>
    <row r="38" spans="1:7" x14ac:dyDescent="0.2">
      <c r="C38" s="48"/>
      <c r="D38" s="47"/>
      <c r="E38" s="48"/>
      <c r="F38" s="46">
        <f>+F37*F35</f>
        <v>-6077.66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37262</v>
      </c>
      <c r="C41" s="106"/>
      <c r="D41" s="106"/>
      <c r="E41" s="106"/>
      <c r="F41" s="106">
        <f>+F38+F40</f>
        <v>454353.53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37262</v>
      </c>
      <c r="D47" s="355">
        <f>+F35</f>
        <v>-2654</v>
      </c>
      <c r="E47" s="11"/>
      <c r="F47" s="11"/>
      <c r="G47" s="25"/>
    </row>
    <row r="48" spans="1:7" x14ac:dyDescent="0.2">
      <c r="D48" s="14">
        <f>+D47+D46</f>
        <v>38657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/>
      <c r="F10" s="11">
        <f t="shared" si="2"/>
        <v>-690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1124937</v>
      </c>
      <c r="C36" s="11">
        <f>SUM(C5:C35)</f>
        <v>1122474</v>
      </c>
      <c r="D36" s="11">
        <f>SUM(D5:D35)</f>
        <v>0</v>
      </c>
      <c r="E36" s="11">
        <f>SUM(E5:E35)</f>
        <v>-2811</v>
      </c>
      <c r="F36" s="11">
        <f>SUM(F5:F35)</f>
        <v>-5274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36897</v>
      </c>
      <c r="F41" s="336">
        <f>+F39+F36</f>
        <v>-27663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36897</v>
      </c>
      <c r="C48" s="32"/>
      <c r="D48" s="32"/>
      <c r="E48" s="382">
        <f>+F36*'by type_area'!J3</f>
        <v>-11761.02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-519369.02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553869</v>
      </c>
      <c r="C39" s="11">
        <f>SUM(C8:C38)</f>
        <v>564056</v>
      </c>
      <c r="D39" s="11">
        <f>SUM(D8:D38)</f>
        <v>10187</v>
      </c>
      <c r="E39" s="10"/>
      <c r="F39" s="11"/>
      <c r="G39" s="11"/>
      <c r="H39" s="11"/>
    </row>
    <row r="40" spans="1:8" x14ac:dyDescent="0.2">
      <c r="A40" s="26"/>
      <c r="D40" s="75">
        <f>+summary!H4</f>
        <v>2.29</v>
      </c>
      <c r="E40" s="26"/>
      <c r="H40" s="75"/>
    </row>
    <row r="41" spans="1:8" x14ac:dyDescent="0.2">
      <c r="D41" s="195">
        <f>+D40*D39</f>
        <v>23328.23</v>
      </c>
      <c r="F41" s="247"/>
      <c r="H41" s="195"/>
    </row>
    <row r="42" spans="1:8" x14ac:dyDescent="0.2">
      <c r="A42" s="57">
        <v>37256</v>
      </c>
      <c r="D42" s="524">
        <v>12821</v>
      </c>
      <c r="E42" s="57"/>
      <c r="H42" s="195"/>
    </row>
    <row r="43" spans="1:8" x14ac:dyDescent="0.2">
      <c r="A43" s="57">
        <v>37261</v>
      </c>
      <c r="D43" s="196">
        <f>+D42+D41</f>
        <v>36149.229999999996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4">
        <v>-49782</v>
      </c>
    </row>
    <row r="49" spans="1:4" x14ac:dyDescent="0.2">
      <c r="A49" s="49">
        <f>+A43</f>
        <v>37261</v>
      </c>
      <c r="B49" s="32"/>
      <c r="C49" s="32"/>
      <c r="D49" s="355">
        <f>+D39</f>
        <v>10187</v>
      </c>
    </row>
    <row r="50" spans="1:4" x14ac:dyDescent="0.2">
      <c r="A50" s="32"/>
      <c r="B50" s="32"/>
      <c r="C50" s="32"/>
      <c r="D50" s="14">
        <f>+D49+D48</f>
        <v>-39595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K38" sqref="K3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37262</v>
      </c>
      <c r="I7" s="3" t="s">
        <v>260</v>
      </c>
      <c r="J7" s="15"/>
    </row>
    <row r="8" spans="1:14" x14ac:dyDescent="0.2">
      <c r="A8" s="248">
        <v>50895</v>
      </c>
      <c r="B8" s="343">
        <f>1380-715-37</f>
        <v>628</v>
      </c>
      <c r="J8" s="15"/>
    </row>
    <row r="9" spans="1:14" x14ac:dyDescent="0.2">
      <c r="A9" s="248">
        <v>60874</v>
      </c>
      <c r="B9" s="343">
        <f>687+134</f>
        <v>821</v>
      </c>
      <c r="J9" s="15"/>
    </row>
    <row r="10" spans="1:14" x14ac:dyDescent="0.2">
      <c r="A10" s="248">
        <v>78169</v>
      </c>
      <c r="B10" s="343">
        <f>89400-54190-13456-13368</f>
        <v>8386</v>
      </c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2400-2497-624</f>
        <v>-721</v>
      </c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1080-10</f>
        <v>1070</v>
      </c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2400-180</f>
        <v>2220</v>
      </c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f>-75-11-1</f>
        <v>-87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337930-56828-278830</f>
        <v>2272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14589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2.33</v>
      </c>
      <c r="C19" s="199">
        <f>+B19*B18</f>
        <v>33992.370000000003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1571438.51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37262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2.29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">
      <c r="E39" s="49">
        <f>+A7</f>
        <v>37262</v>
      </c>
      <c r="F39" s="355">
        <f>+B18</f>
        <v>14589</v>
      </c>
      <c r="G39" s="355">
        <f>+B31</f>
        <v>0</v>
      </c>
      <c r="H39" s="355">
        <f>+B46</f>
        <v>1199</v>
      </c>
      <c r="I39" s="14"/>
    </row>
    <row r="40" spans="1:9" x14ac:dyDescent="0.2">
      <c r="A40" s="49">
        <v>37256</v>
      </c>
      <c r="C40" s="516">
        <v>841974.51</v>
      </c>
      <c r="F40" s="14">
        <f>+F39+F38</f>
        <v>395884</v>
      </c>
      <c r="G40" s="14">
        <f>+G39+G38</f>
        <v>117857</v>
      </c>
      <c r="H40" s="14">
        <f>+H39+H38</f>
        <v>187997</v>
      </c>
      <c r="I40" s="14">
        <f>+H40+G40+F40</f>
        <v>701738</v>
      </c>
    </row>
    <row r="41" spans="1:9" x14ac:dyDescent="0.2">
      <c r="G41" s="32"/>
      <c r="H41" s="15"/>
      <c r="I41" s="32"/>
    </row>
    <row r="42" spans="1:9" x14ac:dyDescent="0.2">
      <c r="A42" s="245">
        <v>37262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826</v>
      </c>
      <c r="G44" s="32"/>
      <c r="H44" s="388"/>
      <c r="I44" s="14"/>
    </row>
    <row r="45" spans="1:9" x14ac:dyDescent="0.2">
      <c r="A45" s="32">
        <v>500392</v>
      </c>
      <c r="B45" s="250">
        <v>373</v>
      </c>
      <c r="G45" s="32"/>
      <c r="H45" s="388"/>
      <c r="I45" s="14"/>
    </row>
    <row r="46" spans="1:9" x14ac:dyDescent="0.2">
      <c r="B46" s="14">
        <f>SUM(B43:B45)</f>
        <v>1199</v>
      </c>
      <c r="G46" s="32"/>
      <c r="H46" s="388"/>
      <c r="I46" s="14"/>
    </row>
    <row r="47" spans="1:9" x14ac:dyDescent="0.2">
      <c r="B47" s="199">
        <f>+summary!H5</f>
        <v>2.33</v>
      </c>
      <c r="C47" s="199">
        <f>+B47*B46</f>
        <v>2793.67</v>
      </c>
      <c r="H47" s="388"/>
      <c r="I47" s="14"/>
    </row>
    <row r="48" spans="1:9" x14ac:dyDescent="0.2">
      <c r="C48" s="324">
        <f>+C47+C40</f>
        <v>844768.18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2788577.84</v>
      </c>
      <c r="I57" s="14">
        <f>SUM(I40:I54)</f>
        <v>757071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33" sqref="E3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24625</v>
      </c>
      <c r="E9" s="11">
        <v>24000</v>
      </c>
      <c r="F9" s="11">
        <f t="shared" si="0"/>
        <v>-625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146336</v>
      </c>
      <c r="E35" s="11">
        <f>SUM(E4:E34)</f>
        <v>144000</v>
      </c>
      <c r="F35" s="11">
        <f>SUM(F4:F34)</f>
        <v>-2336</v>
      </c>
      <c r="G35" s="11"/>
      <c r="H35" s="49">
        <f>+A40</f>
        <v>37262</v>
      </c>
      <c r="I35" s="355">
        <f>+C36</f>
        <v>0</v>
      </c>
      <c r="J35" s="355">
        <f>+E36</f>
        <v>-2336</v>
      </c>
      <c r="K35" s="206"/>
      <c r="L35" s="14"/>
    </row>
    <row r="36" spans="1:13" x14ac:dyDescent="0.2">
      <c r="C36" s="25">
        <f>+C35-B35</f>
        <v>0</v>
      </c>
      <c r="E36" s="25">
        <f>+E35-D35</f>
        <v>-2336</v>
      </c>
      <c r="F36" s="25">
        <f>+E36+C36</f>
        <v>-2336</v>
      </c>
      <c r="H36" s="32"/>
      <c r="I36" s="14">
        <f>+I35+I34</f>
        <v>-183024</v>
      </c>
      <c r="J36" s="14">
        <f>+J35+J34</f>
        <v>-130932</v>
      </c>
      <c r="K36" s="14">
        <f>+J36+I36</f>
        <v>-313956</v>
      </c>
      <c r="L36" s="14"/>
    </row>
    <row r="37" spans="1:13" x14ac:dyDescent="0.2">
      <c r="C37" s="316">
        <f>+summary!H5</f>
        <v>2.33</v>
      </c>
      <c r="E37" s="104">
        <f>+C37</f>
        <v>2.33</v>
      </c>
      <c r="F37" s="138">
        <f>+F36*E37</f>
        <v>-5442.88</v>
      </c>
    </row>
    <row r="38" spans="1:13" x14ac:dyDescent="0.2">
      <c r="C38" s="138">
        <f>+C37*C36</f>
        <v>0</v>
      </c>
      <c r="E38" s="136">
        <f>+E37*E36</f>
        <v>-5442.88</v>
      </c>
      <c r="F38" s="138">
        <f>+E38+C38</f>
        <v>-5442.88</v>
      </c>
    </row>
    <row r="39" spans="1:13" x14ac:dyDescent="0.2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">
      <c r="A40" s="57">
        <v>37262</v>
      </c>
      <c r="B40" s="2" t="s">
        <v>45</v>
      </c>
      <c r="C40" s="317">
        <f>+C39+C38</f>
        <v>-1033425</v>
      </c>
      <c r="D40" s="252"/>
      <c r="E40" s="317">
        <f>+E39+E38</f>
        <v>-577290.88</v>
      </c>
      <c r="F40" s="317">
        <f>+E40+C40</f>
        <v>-1610715.88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">
      <c r="C49" s="246"/>
      <c r="D49" s="246"/>
      <c r="F49" s="333">
        <f>SUM(F40:F48)</f>
        <v>-2747857.7600000002</v>
      </c>
      <c r="G49" s="246"/>
      <c r="K49" s="14">
        <f>SUM(K36:K48)</f>
        <v>-412608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2788577.84</v>
      </c>
      <c r="M51" s="14">
        <f>+Duke!I57</f>
        <v>757071</v>
      </c>
    </row>
    <row r="53" spans="3:13" x14ac:dyDescent="0.2">
      <c r="F53" s="104">
        <f>+F51+F49</f>
        <v>40720.079999999609</v>
      </c>
      <c r="M53" s="16">
        <f>+M51+K49</f>
        <v>344463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-130932</v>
      </c>
      <c r="C74" s="247">
        <f>+E40</f>
        <v>-577290.88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187997</v>
      </c>
      <c r="C77" s="259">
        <f>+Duke!C48</f>
        <v>844768.18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395884</v>
      </c>
      <c r="C79" s="259">
        <f>+Duke!C20</f>
        <v>1571438.51</v>
      </c>
    </row>
    <row r="81" spans="2:3" x14ac:dyDescent="0.2">
      <c r="B81" s="31">
        <f>SUM(B68:B80)</f>
        <v>344463</v>
      </c>
      <c r="C81" s="259">
        <f>SUM(C68:C80)</f>
        <v>40720.080000000075</v>
      </c>
    </row>
    <row r="82" spans="2:3" x14ac:dyDescent="0.2">
      <c r="C82">
        <f>+C81/B81</f>
        <v>0.11821321883627581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6" sqref="C36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5192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1277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24969</v>
      </c>
      <c r="C39" s="11">
        <f t="shared" si="1"/>
        <v>28705</v>
      </c>
      <c r="D39" s="11">
        <f t="shared" si="1"/>
        <v>3018</v>
      </c>
      <c r="E39" s="11">
        <f t="shared" si="1"/>
        <v>5625</v>
      </c>
      <c r="F39" s="129">
        <f t="shared" si="1"/>
        <v>4959</v>
      </c>
      <c r="G39" s="11">
        <f t="shared" si="1"/>
        <v>4360</v>
      </c>
      <c r="H39" s="11">
        <f t="shared" si="1"/>
        <v>7619</v>
      </c>
      <c r="I39" s="11">
        <f t="shared" si="1"/>
        <v>5615</v>
      </c>
      <c r="J39" s="25">
        <f t="shared" si="1"/>
        <v>3740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8564.6</v>
      </c>
      <c r="L41"/>
      <c r="R41" s="138"/>
      <c r="X41" s="138"/>
    </row>
    <row r="42" spans="1:24" x14ac:dyDescent="0.2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37261</v>
      </c>
      <c r="C43" s="48"/>
      <c r="J43" s="138">
        <f>+J42+J41</f>
        <v>409977.59999999998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4">
        <v>164528</v>
      </c>
      <c r="L47"/>
    </row>
    <row r="48" spans="1:24" x14ac:dyDescent="0.2">
      <c r="A48" s="49">
        <f>+A43</f>
        <v>37261</v>
      </c>
      <c r="B48" s="32"/>
      <c r="C48" s="32"/>
      <c r="D48" s="355">
        <f>+J39</f>
        <v>3740</v>
      </c>
      <c r="L48"/>
    </row>
    <row r="49" spans="1:12" x14ac:dyDescent="0.2">
      <c r="A49" s="32"/>
      <c r="B49" s="32"/>
      <c r="C49" s="32"/>
      <c r="D49" s="14">
        <f>+D48+D47</f>
        <v>168268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-6865.42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37261</v>
      </c>
      <c r="B43" s="285"/>
      <c r="C43" s="444"/>
      <c r="D43" s="444"/>
      <c r="E43" s="444"/>
      <c r="F43" s="425">
        <f>+F42+F41</f>
        <v>177030.15999999997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4">
        <v>-353272</v>
      </c>
      <c r="E47" s="11"/>
    </row>
    <row r="48" spans="1:26" x14ac:dyDescent="0.2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">
      <c r="A49" s="32"/>
      <c r="B49" s="32"/>
      <c r="C49" s="32"/>
      <c r="D49" s="14">
        <f>+D48+D47</f>
        <v>-356270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C50" sqref="C50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2.23</v>
      </c>
      <c r="I3" s="381">
        <f ca="1">NOW()</f>
        <v>37263.891787962966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2.29</v>
      </c>
    </row>
    <row r="5" spans="1:32" ht="15" customHeight="1" x14ac:dyDescent="0.2">
      <c r="B5" s="348"/>
      <c r="G5" s="289" t="s">
        <v>117</v>
      </c>
      <c r="H5" s="349">
        <f>+'[3]1001'!$E$39</f>
        <v>2.33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7" t="s">
        <v>251</v>
      </c>
      <c r="B8" s="489">
        <f>+Duke!$C$20</f>
        <v>1571438.51</v>
      </c>
      <c r="C8" s="206">
        <f>+B8/$H$5</f>
        <v>674437.1287553648</v>
      </c>
      <c r="D8" s="371">
        <f>+Duke!A7</f>
        <v>37262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7" t="s">
        <v>258</v>
      </c>
      <c r="B9" s="489">
        <f>+Duke!$C$54+Duke!$C$53+Duke!$C$48+Duke!$C$33</f>
        <v>1217139.33</v>
      </c>
      <c r="C9" s="206">
        <f>+B9/$H$5</f>
        <v>522377.39484978543</v>
      </c>
      <c r="D9" s="371">
        <f>+DEFS!A40</f>
        <v>37262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89">
        <f>+PNM!$D$23</f>
        <v>752963.62999999989</v>
      </c>
      <c r="C10" s="275">
        <f>+B10/$H$4</f>
        <v>328805.07860262005</v>
      </c>
      <c r="D10" s="372">
        <f>+PNM!A23</f>
        <v>37261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351">
        <f>+Conoco!$F$41</f>
        <v>454353.53</v>
      </c>
      <c r="C11" s="275">
        <f>+B11/$H$4</f>
        <v>198407.65502183407</v>
      </c>
      <c r="D11" s="371">
        <f>+Conoco!A41</f>
        <v>37262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89">
        <f>+C12*$H$4</f>
        <v>436792.31</v>
      </c>
      <c r="C12" s="275">
        <f>+Mojave!D40</f>
        <v>190739</v>
      </c>
      <c r="D12" s="372">
        <f>+Mojave!A40</f>
        <v>37261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351">
        <f>+mewborne!$J$43</f>
        <v>409977.59999999998</v>
      </c>
      <c r="C13" s="275">
        <f>+B13/$H$4</f>
        <v>179029.51965065501</v>
      </c>
      <c r="D13" s="372">
        <f>+mewborne!A43</f>
        <v>37261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351">
        <f>+KN_Westar!F41</f>
        <v>385015.89</v>
      </c>
      <c r="C14" s="275">
        <f>+B14/$H$4</f>
        <v>168129.2096069869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248" t="s">
        <v>88</v>
      </c>
      <c r="B15" s="351">
        <f>+C15*$H$5</f>
        <v>296147.66000000003</v>
      </c>
      <c r="C15" s="275">
        <f>+NGPL!F38</f>
        <v>127102</v>
      </c>
      <c r="D15" s="372">
        <f>+NGPL!A38</f>
        <v>37262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40720.079999999609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7" t="s">
        <v>32</v>
      </c>
      <c r="B16" s="489">
        <f>+C16*$H$4</f>
        <v>255428.89</v>
      </c>
      <c r="C16" s="206">
        <f>+SoCal!F40</f>
        <v>111541</v>
      </c>
      <c r="D16" s="371">
        <f>+SoCal!A40</f>
        <v>37262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37" t="s">
        <v>127</v>
      </c>
      <c r="B17" s="489">
        <f>+Calpine!D41</f>
        <v>236341.35</v>
      </c>
      <c r="C17" s="206">
        <f>+B17/$H$4</f>
        <v>103205.82969432314</v>
      </c>
      <c r="D17" s="371">
        <f>+Calpine!A41</f>
        <v>37262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48" t="s">
        <v>208</v>
      </c>
      <c r="B18" s="489">
        <f>+Dominion!D41</f>
        <v>179339.99</v>
      </c>
      <c r="C18" s="275">
        <f>+B18/$H$5</f>
        <v>76969.952789699571</v>
      </c>
      <c r="D18" s="372">
        <f>+Dominion!A41</f>
        <v>37261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89">
        <f>+'Amoco Abo'!$F$43</f>
        <v>177030.15999999997</v>
      </c>
      <c r="C19" s="275">
        <f>+B19/$H$4</f>
        <v>77305.746724890821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89">
        <f>+Devon!D41</f>
        <v>165292.94</v>
      </c>
      <c r="C20" s="275">
        <f>+B20/$H$5</f>
        <v>70941.175965665228</v>
      </c>
      <c r="D20" s="372">
        <f>+Devon!A41</f>
        <v>37261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219</v>
      </c>
      <c r="B21" s="489">
        <f>+Amarillo!P41</f>
        <v>114641.59999999999</v>
      </c>
      <c r="C21" s="275">
        <f>+B21/$H$4</f>
        <v>50061.834061135363</v>
      </c>
      <c r="D21" s="372">
        <f>+Amarillo!A41</f>
        <v>37262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114</v>
      </c>
      <c r="B22" s="489">
        <f>+C22*$H$4</f>
        <v>103530.90000000001</v>
      </c>
      <c r="C22" s="206">
        <f>+'PG&amp;E'!D40</f>
        <v>45210</v>
      </c>
      <c r="D22" s="372">
        <f>+'PG&amp;E'!A40</f>
        <v>37262</v>
      </c>
      <c r="E22" s="32" t="s">
        <v>84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129</v>
      </c>
      <c r="B23" s="489">
        <f>+EPFS!D41</f>
        <v>98364.22</v>
      </c>
      <c r="C23" s="206">
        <f>+B23/$H$5</f>
        <v>42216.403433476393</v>
      </c>
      <c r="D23" s="371">
        <f>+EPFS!A41</f>
        <v>37262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7" t="s">
        <v>139</v>
      </c>
      <c r="B24" s="489">
        <f>+'Citizens-Griffith'!D41</f>
        <v>69847.22</v>
      </c>
      <c r="C24" s="275">
        <f>+B24/$H$4</f>
        <v>30500.96943231441</v>
      </c>
      <c r="D24" s="371">
        <f>+'Citizens-Griffith'!A41</f>
        <v>37262</v>
      </c>
      <c r="E24" s="204" t="s">
        <v>85</v>
      </c>
      <c r="F24" s="204" t="s">
        <v>99</v>
      </c>
      <c r="G24" s="204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32" t="s">
        <v>103</v>
      </c>
      <c r="B25" s="351">
        <f>+EOG!$J$41</f>
        <v>69284.38</v>
      </c>
      <c r="C25" s="275">
        <f>+B25/$H$4</f>
        <v>30255.187772925765</v>
      </c>
      <c r="D25" s="371">
        <f>+EOG!A41</f>
        <v>37261</v>
      </c>
      <c r="E25" s="32" t="s">
        <v>85</v>
      </c>
      <c r="F25" s="32" t="s">
        <v>102</v>
      </c>
      <c r="G25" s="3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37" t="s">
        <v>33</v>
      </c>
      <c r="B26" s="489">
        <f>+'El Paso'!C39*summary!H4+'El Paso'!E39*summary!H3</f>
        <v>68096.260000000009</v>
      </c>
      <c r="C26" s="275">
        <f>+'El Paso'!H39</f>
        <v>28810</v>
      </c>
      <c r="D26" s="371">
        <f>+'El Paso'!A39</f>
        <v>37262</v>
      </c>
      <c r="E26" s="204" t="s">
        <v>84</v>
      </c>
      <c r="F26" s="204" t="s">
        <v>100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537" t="s">
        <v>28</v>
      </c>
      <c r="B27" s="351">
        <f>+C27*$H$3</f>
        <v>64275.29</v>
      </c>
      <c r="C27" s="275">
        <f>+williams!J40</f>
        <v>28823</v>
      </c>
      <c r="D27" s="371">
        <f>+williams!A40</f>
        <v>36897</v>
      </c>
      <c r="E27" s="204" t="s">
        <v>85</v>
      </c>
      <c r="F27" s="204" t="s">
        <v>321</v>
      </c>
      <c r="G27" s="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248" t="s">
        <v>23</v>
      </c>
      <c r="B28" s="351">
        <f>+C28*$H$3</f>
        <v>52989.26</v>
      </c>
      <c r="C28" s="353">
        <f>+'Red C'!$F$45</f>
        <v>23762</v>
      </c>
      <c r="D28" s="371">
        <f>+'Red C'!A45</f>
        <v>37262</v>
      </c>
      <c r="E28" s="204" t="s">
        <v>84</v>
      </c>
      <c r="F28" s="32" t="s">
        <v>115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48" t="s">
        <v>31</v>
      </c>
      <c r="B29" s="351">
        <f>+C29*H4</f>
        <v>38193.375700000004</v>
      </c>
      <c r="C29" s="275">
        <f>+Lonestar!F43</f>
        <v>16678.330000000002</v>
      </c>
      <c r="D29" s="371">
        <f>+Lonestar!A43</f>
        <v>37261</v>
      </c>
      <c r="E29" s="32" t="s">
        <v>84</v>
      </c>
      <c r="F29" s="32" t="s">
        <v>102</v>
      </c>
      <c r="G29" s="32" t="s">
        <v>314</v>
      </c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110</v>
      </c>
      <c r="B30" s="351">
        <f>+C30*$H$4</f>
        <v>37391.120000000003</v>
      </c>
      <c r="C30" s="275">
        <f>+CIG!D42</f>
        <v>16328</v>
      </c>
      <c r="D30" s="372">
        <f>+CIG!A42</f>
        <v>37261</v>
      </c>
      <c r="E30" s="204" t="s">
        <v>84</v>
      </c>
      <c r="F30" s="32" t="s">
        <v>113</v>
      </c>
      <c r="G30" s="32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248" t="s">
        <v>131</v>
      </c>
      <c r="B31" s="351">
        <f>+SidR!D41</f>
        <v>37106.449999999997</v>
      </c>
      <c r="C31" s="275">
        <f>+B31/$H$5</f>
        <v>15925.515021459225</v>
      </c>
      <c r="D31" s="372">
        <f>+SidR!A41</f>
        <v>37262</v>
      </c>
      <c r="E31" s="32" t="s">
        <v>85</v>
      </c>
      <c r="F31" s="32" t="s">
        <v>102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537" t="s">
        <v>71</v>
      </c>
      <c r="B32" s="352">
        <f>+transcol!$D$43</f>
        <v>36149.229999999996</v>
      </c>
      <c r="C32" s="353">
        <f>+B32/$H$4</f>
        <v>15785.689956331877</v>
      </c>
      <c r="D32" s="371">
        <f>+transcol!A43</f>
        <v>37261</v>
      </c>
      <c r="E32" s="204" t="s">
        <v>85</v>
      </c>
      <c r="F32" s="204" t="s">
        <v>115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5" customHeight="1" x14ac:dyDescent="0.2">
      <c r="A33" s="248" t="s">
        <v>307</v>
      </c>
      <c r="B33" s="489">
        <f>+'WTG inc'!N43</f>
        <v>35858.01</v>
      </c>
      <c r="C33" s="275">
        <f>+B33/$H$4</f>
        <v>15658.519650655022</v>
      </c>
      <c r="D33" s="372">
        <f>+'WTG inc'!A43</f>
        <v>37262</v>
      </c>
      <c r="E33" s="32" t="s">
        <v>85</v>
      </c>
      <c r="F33" s="32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537" t="s">
        <v>109</v>
      </c>
      <c r="B34" s="489">
        <f>+Continental!F43</f>
        <v>34262</v>
      </c>
      <c r="C34" s="206">
        <f>+B34/$H$4</f>
        <v>14961.572052401747</v>
      </c>
      <c r="D34" s="371">
        <f>+Continental!A43</f>
        <v>37256</v>
      </c>
      <c r="E34" s="204" t="s">
        <v>85</v>
      </c>
      <c r="F34" s="204" t="s">
        <v>115</v>
      </c>
      <c r="G34" s="204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537" t="s">
        <v>95</v>
      </c>
      <c r="B35" s="351">
        <f>+burlington!D42</f>
        <v>32426.739999999998</v>
      </c>
      <c r="C35" s="275">
        <f>+B35/$H$3</f>
        <v>14541.139013452914</v>
      </c>
      <c r="D35" s="371">
        <f>+burlington!A42</f>
        <v>37262</v>
      </c>
      <c r="E35" s="204" t="s">
        <v>85</v>
      </c>
      <c r="F35" s="32" t="s">
        <v>113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537" t="s">
        <v>87</v>
      </c>
      <c r="B36" s="354">
        <f>+NNG!$D$24</f>
        <v>144.02999999999884</v>
      </c>
      <c r="C36" s="71">
        <f>+B36/$H$4</f>
        <v>62.895196506549709</v>
      </c>
      <c r="D36" s="371">
        <f>+NNG!A24</f>
        <v>37262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96</v>
      </c>
      <c r="B37" s="47">
        <f>SUM(B8:B36)</f>
        <v>7429821.8756999988</v>
      </c>
      <c r="C37" s="69">
        <f>SUM(C8:C36)</f>
        <v>3218571.7472524857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537" t="s">
        <v>250</v>
      </c>
      <c r="B40" s="490">
        <f>+DEFS!$C$40+DEFS!$E$40+DEFS!$F$44+DEFS!$F$45+DEFS!$F$46+DEFS!$F$47+DEFS!$F$48</f>
        <v>-2747857.7600000002</v>
      </c>
      <c r="C40" s="353">
        <f>+B40/$H$5</f>
        <v>-1179338.0944206009</v>
      </c>
      <c r="D40" s="371">
        <f>+DEFS!A40</f>
        <v>37262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537" t="s">
        <v>135</v>
      </c>
      <c r="B41" s="489">
        <f>+Citizens!D18</f>
        <v>-542234.06000000006</v>
      </c>
      <c r="C41" s="206">
        <f>+B41/$H$4</f>
        <v>-236783.43231441051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48" t="s">
        <v>133</v>
      </c>
      <c r="B42" s="489">
        <f>+'NS Steel'!D41</f>
        <v>-349138.81</v>
      </c>
      <c r="C42" s="206">
        <f>+B42/$H$4</f>
        <v>-152462.36244541485</v>
      </c>
      <c r="D42" s="372">
        <f>+'NS Steel'!A41</f>
        <v>37262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537" t="s">
        <v>262</v>
      </c>
      <c r="B43" s="489">
        <f>+MiVida_Rich!D41</f>
        <v>-195699.5</v>
      </c>
      <c r="C43" s="206">
        <f>+B43/$H$5</f>
        <v>-83991.2017167382</v>
      </c>
      <c r="D43" s="371">
        <f>+MiVida_Rich!A41</f>
        <v>37225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248" t="s">
        <v>217</v>
      </c>
      <c r="B44" s="489">
        <f>+crosstex!F41</f>
        <v>-125742.32</v>
      </c>
      <c r="C44" s="206">
        <f>+B44/$H$4</f>
        <v>-54909.310043668127</v>
      </c>
      <c r="D44" s="372">
        <f>+crosstex!A41</f>
        <v>37262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">
      <c r="A45" s="248" t="s">
        <v>319</v>
      </c>
      <c r="B45" s="489">
        <f>+C45*$H$3</f>
        <v>-78821.58</v>
      </c>
      <c r="C45" s="275">
        <f>+Amoco!D40</f>
        <v>-35346</v>
      </c>
      <c r="D45" s="372">
        <f>+Amoco!A40</f>
        <v>37261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">
      <c r="A46" s="248" t="s">
        <v>1</v>
      </c>
      <c r="B46" s="489">
        <f>+C46*$H$3</f>
        <v>-61688.49</v>
      </c>
      <c r="C46" s="206">
        <f>+NW!$F$41</f>
        <v>-27663</v>
      </c>
      <c r="D46" s="371">
        <f>+NW!B41</f>
        <v>36897</v>
      </c>
      <c r="E46" s="32" t="s">
        <v>84</v>
      </c>
      <c r="F46" s="32" t="s">
        <v>115</v>
      </c>
      <c r="G46" s="357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">
      <c r="A47" s="248" t="s">
        <v>147</v>
      </c>
      <c r="B47" s="351">
        <f>+PGETX!$H$39</f>
        <v>-58227.8</v>
      </c>
      <c r="C47" s="275">
        <f>+B47/$H$4</f>
        <v>-25426.986899563319</v>
      </c>
      <c r="D47" s="372">
        <f>+PGETX!E39</f>
        <v>37262</v>
      </c>
      <c r="E47" s="32" t="s">
        <v>85</v>
      </c>
      <c r="F47" s="32" t="s">
        <v>102</v>
      </c>
      <c r="G47" s="32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">
      <c r="A48" s="248" t="s">
        <v>6</v>
      </c>
      <c r="B48" s="489">
        <f>+Oasis!$D$40</f>
        <v>-31354.880000000001</v>
      </c>
      <c r="C48" s="206">
        <f>+B48/$H$5</f>
        <v>-13457.030042918455</v>
      </c>
      <c r="D48" s="372">
        <f>+Oasis!A40</f>
        <v>37261</v>
      </c>
      <c r="E48" s="32" t="s">
        <v>85</v>
      </c>
      <c r="F48" s="32" t="s">
        <v>102</v>
      </c>
      <c r="G48" s="32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537" t="s">
        <v>205</v>
      </c>
      <c r="B49" s="490">
        <f>+WTGmktg!J43</f>
        <v>-30423.63</v>
      </c>
      <c r="C49" s="206">
        <f>+B49/$H$4</f>
        <v>-13285.427947598253</v>
      </c>
      <c r="D49" s="371">
        <f>+WTGmktg!A43</f>
        <v>37262</v>
      </c>
      <c r="E49" s="32" t="s">
        <v>85</v>
      </c>
      <c r="F49" s="204" t="s">
        <v>115</v>
      </c>
      <c r="G49" s="204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">
      <c r="A50" s="537" t="s">
        <v>142</v>
      </c>
      <c r="B50" s="352">
        <f>+C50*$H$4</f>
        <v>-26534.23</v>
      </c>
      <c r="C50" s="353">
        <f>+PEPL!D41</f>
        <v>-11587</v>
      </c>
      <c r="D50" s="371">
        <f>+PEPL!A41</f>
        <v>37262</v>
      </c>
      <c r="E50" s="204" t="s">
        <v>84</v>
      </c>
      <c r="F50" s="204" t="s">
        <v>100</v>
      </c>
      <c r="G50" s="32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">
      <c r="A51" s="538" t="s">
        <v>79</v>
      </c>
      <c r="B51" s="541">
        <f>+Agave!$D$24</f>
        <v>-24903.020000000004</v>
      </c>
      <c r="C51" s="472">
        <f>+B51/$H$4</f>
        <v>-10874.681222707426</v>
      </c>
      <c r="D51" s="471">
        <f>+Agave!A24</f>
        <v>37261</v>
      </c>
      <c r="E51" s="451" t="s">
        <v>85</v>
      </c>
      <c r="F51" s="451" t="s">
        <v>102</v>
      </c>
      <c r="G51" s="451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354">
        <f>+SWGasTrans!$D$41</f>
        <v>-19607.86</v>
      </c>
      <c r="C52" s="71">
        <f>+B52/$H$4</f>
        <v>-8562.3842794759821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SUM(B40:B52)</f>
        <v>-4292233.9400000004</v>
      </c>
      <c r="C53" s="206">
        <f>SUM(C40:C52)</f>
        <v>-1853686.9113330962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+B53+B37</f>
        <v>3137587.9356999984</v>
      </c>
      <c r="C55" s="360">
        <f>+C53+C37</f>
        <v>1364884.8359193895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-234626-22396</f>
        <v>-257022</v>
      </c>
      <c r="C6" s="80"/>
      <c r="D6" s="80">
        <f t="shared" ref="D6:D14" si="0">+C6-B6</f>
        <v>257022</v>
      </c>
    </row>
    <row r="7" spans="1:4" x14ac:dyDescent="0.2">
      <c r="A7" s="32">
        <v>3531</v>
      </c>
      <c r="B7" s="312">
        <f>-155277-33322</f>
        <v>-188599</v>
      </c>
      <c r="C7" s="80">
        <f>-59034-11819</f>
        <v>-70853</v>
      </c>
      <c r="D7" s="80">
        <f t="shared" si="0"/>
        <v>117746</v>
      </c>
    </row>
    <row r="8" spans="1:4" x14ac:dyDescent="0.2">
      <c r="A8" s="32">
        <v>60667</v>
      </c>
      <c r="B8" s="312">
        <v>-108557</v>
      </c>
      <c r="C8" s="80">
        <f>-358965-42000</f>
        <v>-400965</v>
      </c>
      <c r="D8" s="80">
        <f t="shared" si="0"/>
        <v>-292408</v>
      </c>
    </row>
    <row r="9" spans="1:4" x14ac:dyDescent="0.2">
      <c r="A9" s="32">
        <v>60749</v>
      </c>
      <c r="B9" s="312">
        <f>24003</f>
        <v>24003</v>
      </c>
      <c r="C9" s="80">
        <f>-57079-26771</f>
        <v>-83850</v>
      </c>
      <c r="D9" s="80">
        <f t="shared" si="0"/>
        <v>-107853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-25493</v>
      </c>
    </row>
    <row r="19" spans="1:5" x14ac:dyDescent="0.2">
      <c r="A19" s="32" t="s">
        <v>81</v>
      </c>
      <c r="B19" s="69"/>
      <c r="C19" s="69"/>
      <c r="D19" s="73">
        <f>+summary!H4</f>
        <v>2.29</v>
      </c>
    </row>
    <row r="20" spans="1:5" x14ac:dyDescent="0.2">
      <c r="B20" s="69"/>
      <c r="C20" s="69"/>
      <c r="D20" s="75">
        <f>+D19*D18</f>
        <v>-58378.97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37262</v>
      </c>
      <c r="B24" s="69"/>
      <c r="C24" s="69"/>
      <c r="D24" s="335">
        <f>+D22+D20</f>
        <v>144.02999999999884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37262</v>
      </c>
      <c r="D33" s="355">
        <f>+D18</f>
        <v>-25493</v>
      </c>
    </row>
    <row r="34" spans="1:4" x14ac:dyDescent="0.2">
      <c r="D34" s="14">
        <f>+D33+D32</f>
        <v>517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6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-24194</v>
      </c>
      <c r="C5" s="90">
        <v>-8880</v>
      </c>
      <c r="D5" s="90">
        <f t="shared" ref="D5:D13" si="0">+C5-B5</f>
        <v>15314</v>
      </c>
      <c r="E5" s="69"/>
      <c r="F5" s="201"/>
    </row>
    <row r="6" spans="1:13" x14ac:dyDescent="0.2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-552424</v>
      </c>
      <c r="C7" s="90">
        <v>-587216</v>
      </c>
      <c r="D7" s="90">
        <f t="shared" si="0"/>
        <v>-34792</v>
      </c>
      <c r="E7" s="275"/>
      <c r="F7" s="201"/>
    </row>
    <row r="8" spans="1:13" x14ac:dyDescent="0.2">
      <c r="A8" s="87">
        <v>58710</v>
      </c>
      <c r="B8" s="90">
        <v>-73737</v>
      </c>
      <c r="C8" s="90">
        <v>-62955</v>
      </c>
      <c r="D8" s="90">
        <f t="shared" si="0"/>
        <v>10782</v>
      </c>
      <c r="E8" s="275"/>
      <c r="F8" s="201"/>
    </row>
    <row r="9" spans="1:13" x14ac:dyDescent="0.2">
      <c r="A9" s="87">
        <v>60921</v>
      </c>
      <c r="B9" s="90">
        <v>-243694</v>
      </c>
      <c r="C9" s="90">
        <v>-217024</v>
      </c>
      <c r="D9" s="90">
        <f t="shared" si="0"/>
        <v>26670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-11720</v>
      </c>
      <c r="C11" s="90">
        <v>-15000</v>
      </c>
      <c r="D11" s="90">
        <f t="shared" si="0"/>
        <v>-3280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-23515</v>
      </c>
      <c r="C13" s="90">
        <v>-20000</v>
      </c>
      <c r="D13" s="90">
        <f t="shared" si="0"/>
        <v>3515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17139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2.29</v>
      </c>
      <c r="E18" s="277"/>
      <c r="F18" s="475"/>
    </row>
    <row r="19" spans="1:7" x14ac:dyDescent="0.2">
      <c r="A19" s="87"/>
      <c r="B19" s="88"/>
      <c r="C19" s="88"/>
      <c r="D19" s="96">
        <f>+D18*D17</f>
        <v>39248.31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37261</v>
      </c>
      <c r="B23" s="88"/>
      <c r="C23" s="88"/>
      <c r="D23" s="321">
        <f>+D21+D19</f>
        <v>752963.62999999989</v>
      </c>
      <c r="E23" s="207"/>
      <c r="F23" s="476"/>
    </row>
    <row r="24" spans="1:7" ht="13.5" thickTop="1" x14ac:dyDescent="0.2">
      <c r="E24" s="278"/>
    </row>
    <row r="25" spans="1:7" x14ac:dyDescent="0.2">
      <c r="E25" s="53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4">
        <v>283678</v>
      </c>
    </row>
    <row r="29" spans="1:7" x14ac:dyDescent="0.2">
      <c r="A29" s="49">
        <f>+A23</f>
        <v>37261</v>
      </c>
      <c r="B29" s="32"/>
      <c r="C29" s="32"/>
      <c r="D29" s="355">
        <f>+D17</f>
        <v>17139</v>
      </c>
    </row>
    <row r="30" spans="1:7" x14ac:dyDescent="0.2">
      <c r="A30" s="32"/>
      <c r="B30" s="32"/>
      <c r="C30" s="32"/>
      <c r="D30" s="14">
        <f>+D29+D28</f>
        <v>300817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2" sqref="C32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-21442</v>
      </c>
      <c r="E8" s="90">
        <v>-20000</v>
      </c>
      <c r="F8" s="90">
        <f t="shared" si="0"/>
        <v>5248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316402</v>
      </c>
      <c r="C34" s="287">
        <f>SUM(C3:C33)</f>
        <v>324571</v>
      </c>
      <c r="D34" s="14">
        <f>SUM(D3:D33)</f>
        <v>-42823</v>
      </c>
      <c r="E34" s="14">
        <f>SUM(E3:E33)</f>
        <v>-40000</v>
      </c>
      <c r="F34" s="14">
        <f>SUM(F3:F33)</f>
        <v>10992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">
      <c r="A38" s="256">
        <v>37262</v>
      </c>
      <c r="B38" s="14"/>
      <c r="C38" s="14"/>
      <c r="D38" s="14"/>
      <c r="E38" s="14"/>
      <c r="F38" s="150">
        <f>+F37+F34</f>
        <v>127102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37262</v>
      </c>
      <c r="B44" s="32"/>
      <c r="C44" s="32"/>
      <c r="D44" s="382">
        <f>+F34*'by type_area'!J4</f>
        <v>25171.68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321547.68</v>
      </c>
      <c r="F45" s="293"/>
      <c r="I45" s="533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2" sqref="B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-74182</v>
      </c>
      <c r="C35" s="11">
        <f>SUM(C4:C34)</f>
        <v>-70266</v>
      </c>
      <c r="D35" s="11">
        <f>SUM(D4:D34)</f>
        <v>3916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09">
        <v>186823</v>
      </c>
    </row>
    <row r="39" spans="1:4" x14ac:dyDescent="0.2">
      <c r="A39" s="2"/>
      <c r="D39" s="24"/>
    </row>
    <row r="40" spans="1:4" x14ac:dyDescent="0.2">
      <c r="A40" s="57">
        <v>37261</v>
      </c>
      <c r="D40" s="51">
        <f>+D38+D35</f>
        <v>190739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7">
        <v>199813</v>
      </c>
    </row>
    <row r="46" spans="1:4" x14ac:dyDescent="0.2">
      <c r="A46" s="49">
        <f>+A40</f>
        <v>37261</v>
      </c>
      <c r="B46" s="32"/>
      <c r="C46" s="32"/>
      <c r="D46" s="382">
        <f>+D35*'by type_area'!J4</f>
        <v>8967.64</v>
      </c>
    </row>
    <row r="47" spans="1:4" x14ac:dyDescent="0.2">
      <c r="A47" s="32"/>
      <c r="B47" s="32"/>
      <c r="C47" s="32"/>
      <c r="D47" s="200">
        <f>+D46+D45</f>
        <v>208780.64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2" sqref="C3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53335</v>
      </c>
      <c r="C35" s="11">
        <f t="shared" ref="C35:I35" si="1">SUM(C4:C34)</f>
        <v>56500</v>
      </c>
      <c r="D35" s="11">
        <f t="shared" si="1"/>
        <v>40061</v>
      </c>
      <c r="E35" s="11">
        <f t="shared" si="1"/>
        <v>43000</v>
      </c>
      <c r="F35" s="11">
        <f t="shared" si="1"/>
        <v>16982</v>
      </c>
      <c r="G35" s="11">
        <f t="shared" si="1"/>
        <v>39000</v>
      </c>
      <c r="H35" s="11">
        <f t="shared" si="1"/>
        <v>0</v>
      </c>
      <c r="I35" s="11">
        <f t="shared" si="1"/>
        <v>0</v>
      </c>
      <c r="J35" s="11">
        <f>SUM(J4:J34)</f>
        <v>28122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64399.38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37261</v>
      </c>
      <c r="J41" s="322">
        <f>+J39+J37</f>
        <v>69284.38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37261</v>
      </c>
      <c r="B47" s="32"/>
      <c r="C47" s="32"/>
      <c r="D47" s="355">
        <f>+J35</f>
        <v>28122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-97261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2.29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4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4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37261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37261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-84085</v>
      </c>
      <c r="C11" s="11">
        <v>-85299</v>
      </c>
      <c r="D11" s="25">
        <f t="shared" si="0"/>
        <v>-1214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-520817</v>
      </c>
      <c r="I19" s="119">
        <f>+C37</f>
        <v>-497002</v>
      </c>
      <c r="J19" s="119">
        <f>+I19-H19</f>
        <v>23815</v>
      </c>
      <c r="K19" s="420">
        <f>+D38</f>
        <v>2.29</v>
      </c>
      <c r="L19" s="425">
        <f>+K19*J19</f>
        <v>54536.35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154307</v>
      </c>
      <c r="K24" s="416"/>
      <c r="L24" s="110">
        <f>+L19+L17</f>
        <v>136221.44999999984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59485.349344978094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-520817</v>
      </c>
      <c r="C37" s="11">
        <f>SUM(C6:C36)</f>
        <v>-497002</v>
      </c>
      <c r="D37" s="25">
        <f>SUM(D6:D36)</f>
        <v>23815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54536.35</v>
      </c>
    </row>
    <row r="40" spans="1:4" x14ac:dyDescent="0.2">
      <c r="A40" s="57">
        <v>37256</v>
      </c>
      <c r="C40" s="15"/>
      <c r="D40" s="514">
        <v>181805</v>
      </c>
    </row>
    <row r="41" spans="1:4" x14ac:dyDescent="0.2">
      <c r="A41" s="57">
        <v>37262</v>
      </c>
      <c r="C41" s="48"/>
      <c r="D41" s="138">
        <f>+D40+D39</f>
        <v>236341.35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174403</v>
      </c>
    </row>
    <row r="46" spans="1:4" x14ac:dyDescent="0.2">
      <c r="A46" s="49">
        <f>+A41</f>
        <v>37262</v>
      </c>
      <c r="B46" s="32"/>
      <c r="C46" s="32"/>
      <c r="D46" s="355">
        <f>+D37</f>
        <v>23815</v>
      </c>
    </row>
    <row r="47" spans="1:4" x14ac:dyDescent="0.2">
      <c r="A47" s="32"/>
      <c r="B47" s="32"/>
      <c r="C47" s="32"/>
      <c r="D47" s="14">
        <f>+D46+D45</f>
        <v>198218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5" sqref="C35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29403</v>
      </c>
      <c r="C11" s="11">
        <v>32012</v>
      </c>
      <c r="D11" s="25">
        <f t="shared" si="0"/>
        <v>2609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178342</v>
      </c>
      <c r="C37" s="11">
        <f>SUM(C6:C36)</f>
        <v>184076</v>
      </c>
      <c r="D37" s="25">
        <f>SUM(D6:D36)</f>
        <v>5734</v>
      </c>
    </row>
    <row r="38" spans="1:4" x14ac:dyDescent="0.2">
      <c r="A38" s="26"/>
      <c r="B38" s="31"/>
      <c r="C38" s="14"/>
      <c r="D38" s="329">
        <f>+summary!H5</f>
        <v>2.33</v>
      </c>
    </row>
    <row r="39" spans="1:4" x14ac:dyDescent="0.2">
      <c r="D39" s="138">
        <f>+D38*D37</f>
        <v>13360.220000000001</v>
      </c>
    </row>
    <row r="40" spans="1:4" x14ac:dyDescent="0.2">
      <c r="A40" s="57">
        <v>37256</v>
      </c>
      <c r="C40" s="15"/>
      <c r="D40" s="514">
        <v>85004</v>
      </c>
    </row>
    <row r="41" spans="1:4" x14ac:dyDescent="0.2">
      <c r="A41" s="57">
        <v>37262</v>
      </c>
      <c r="C41" s="48"/>
      <c r="D41" s="138">
        <f>+D40+D39</f>
        <v>98364.22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54582</v>
      </c>
    </row>
    <row r="46" spans="1:4" x14ac:dyDescent="0.2">
      <c r="A46" s="49">
        <f>+A41</f>
        <v>37262</v>
      </c>
      <c r="B46" s="32"/>
      <c r="C46" s="32"/>
      <c r="D46" s="355">
        <f>+D37</f>
        <v>5734</v>
      </c>
    </row>
    <row r="47" spans="1:4" x14ac:dyDescent="0.2">
      <c r="A47" s="32"/>
      <c r="B47" s="32"/>
      <c r="C47" s="32"/>
      <c r="D47" s="14">
        <f>+D46+D45</f>
        <v>60316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H32" sqref="H3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28840</v>
      </c>
      <c r="G9" s="11">
        <v>42645</v>
      </c>
      <c r="H9" s="11">
        <v>132071</v>
      </c>
      <c r="I9" s="11">
        <v>128281</v>
      </c>
      <c r="J9" s="11">
        <f t="shared" si="0"/>
        <v>-3817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1608185</v>
      </c>
      <c r="C35" s="11">
        <f t="shared" ref="C35:I35" si="3">SUM(C4:C34)</f>
        <v>1632310</v>
      </c>
      <c r="D35" s="11">
        <f t="shared" si="3"/>
        <v>232840</v>
      </c>
      <c r="E35" s="11">
        <f t="shared" si="3"/>
        <v>236761</v>
      </c>
      <c r="F35" s="11">
        <f t="shared" si="3"/>
        <v>233658</v>
      </c>
      <c r="G35" s="11">
        <f t="shared" si="3"/>
        <v>274872</v>
      </c>
      <c r="H35" s="11">
        <f t="shared" si="3"/>
        <v>737165</v>
      </c>
      <c r="I35" s="11">
        <f t="shared" si="3"/>
        <v>696728</v>
      </c>
      <c r="J35" s="11">
        <f>SUM(J4:J34)</f>
        <v>28823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36897</v>
      </c>
      <c r="J40" s="51">
        <f>+J38+J35</f>
        <v>28823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36897</v>
      </c>
      <c r="B47" s="32"/>
      <c r="C47" s="32"/>
      <c r="D47" s="382">
        <f>+J35*'by type_area'!J3</f>
        <v>64275.29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64275.29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274730</v>
      </c>
      <c r="C37" s="11">
        <f>SUM(C6:C36)</f>
        <v>271095</v>
      </c>
      <c r="D37" s="25">
        <f>SUM(D6:D36)</f>
        <v>-3635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-8469.5500000000011</v>
      </c>
    </row>
    <row r="40" spans="1:4" x14ac:dyDescent="0.2">
      <c r="A40" s="57">
        <v>37256</v>
      </c>
      <c r="C40" s="15"/>
      <c r="D40" s="513">
        <v>45576</v>
      </c>
    </row>
    <row r="41" spans="1:4" x14ac:dyDescent="0.2">
      <c r="A41" s="57">
        <v>37262</v>
      </c>
      <c r="C41" s="48"/>
      <c r="D41" s="138">
        <f>+D40+D39</f>
        <v>37106.449999999997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21398</v>
      </c>
    </row>
    <row r="47" spans="1:4" x14ac:dyDescent="0.2">
      <c r="A47" s="49">
        <f>+A41</f>
        <v>37262</v>
      </c>
      <c r="B47" s="32"/>
      <c r="C47" s="32"/>
      <c r="D47" s="355">
        <f>+D37</f>
        <v>-3635</v>
      </c>
    </row>
    <row r="48" spans="1:4" x14ac:dyDescent="0.2">
      <c r="A48" s="32"/>
      <c r="B48" s="32"/>
      <c r="C48" s="32"/>
      <c r="D48" s="14">
        <f>+D47+D46</f>
        <v>17763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35" sqref="B3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-2911</v>
      </c>
      <c r="C37" s="11">
        <f>SUM(C6:C36)</f>
        <v>0</v>
      </c>
      <c r="D37" s="25">
        <f>SUM(D6:D36)</f>
        <v>2911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6666.1900000000005</v>
      </c>
    </row>
    <row r="40" spans="1:4" x14ac:dyDescent="0.2">
      <c r="A40" s="57">
        <v>37256</v>
      </c>
      <c r="C40" s="15"/>
      <c r="D40" s="514">
        <v>-355805</v>
      </c>
    </row>
    <row r="41" spans="1:4" x14ac:dyDescent="0.2">
      <c r="A41" s="57">
        <v>37262</v>
      </c>
      <c r="C41" s="48"/>
      <c r="D41" s="138">
        <f>+D40+D39</f>
        <v>-349138.81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4">
        <v>-44621</v>
      </c>
    </row>
    <row r="49" spans="1:4" x14ac:dyDescent="0.2">
      <c r="A49" s="49">
        <f>+A41</f>
        <v>37262</v>
      </c>
      <c r="B49" s="32"/>
      <c r="C49" s="32"/>
      <c r="D49" s="355">
        <f>+D37</f>
        <v>2911</v>
      </c>
    </row>
    <row r="50" spans="1:4" x14ac:dyDescent="0.2">
      <c r="A50" s="32"/>
      <c r="B50" s="32"/>
      <c r="C50" s="32"/>
      <c r="D50" s="14">
        <f>+D49+D48</f>
        <v>-41710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35" sqref="B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-704</v>
      </c>
      <c r="C11" s="11"/>
      <c r="D11" s="25">
        <f t="shared" si="0"/>
        <v>704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-918</v>
      </c>
      <c r="C37" s="11">
        <f>SUM(C6:C36)</f>
        <v>0</v>
      </c>
      <c r="D37" s="25">
        <f>SUM(D6:D36)</f>
        <v>918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2102.2200000000003</v>
      </c>
    </row>
    <row r="40" spans="1:4" x14ac:dyDescent="0.2">
      <c r="A40" s="57">
        <v>37256</v>
      </c>
      <c r="C40" s="15"/>
      <c r="D40" s="514">
        <v>67745</v>
      </c>
    </row>
    <row r="41" spans="1:4" x14ac:dyDescent="0.2">
      <c r="A41" s="57">
        <v>37262</v>
      </c>
      <c r="C41" s="48"/>
      <c r="D41" s="138">
        <f>+D40+D39</f>
        <v>69847.22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36152</v>
      </c>
    </row>
    <row r="47" spans="1:4" x14ac:dyDescent="0.2">
      <c r="A47" s="49">
        <f>+A41</f>
        <v>37262</v>
      </c>
      <c r="B47" s="32"/>
      <c r="C47" s="32"/>
      <c r="D47" s="355">
        <f>+D37</f>
        <v>918</v>
      </c>
    </row>
    <row r="48" spans="1:4" x14ac:dyDescent="0.2">
      <c r="A48" s="32"/>
      <c r="B48" s="32"/>
      <c r="C48" s="32"/>
      <c r="D48" s="14">
        <f>+D47+D46</f>
        <v>37070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-1538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2.29</v>
      </c>
      <c r="E13" s="277"/>
      <c r="F13" s="273"/>
    </row>
    <row r="14" spans="1:13" x14ac:dyDescent="0.2">
      <c r="A14" s="87"/>
      <c r="B14" s="88"/>
      <c r="C14" s="88"/>
      <c r="D14" s="96">
        <f>+D13*D12</f>
        <v>-3522.02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-542234.06000000006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4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-1538</v>
      </c>
    </row>
    <row r="24" spans="1:7" x14ac:dyDescent="0.2">
      <c r="A24" s="32"/>
      <c r="B24" s="32"/>
      <c r="C24" s="32"/>
      <c r="D24" s="14">
        <f>+D23+D22</f>
        <v>-38814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5" sqref="B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-31722</v>
      </c>
      <c r="C37" s="11">
        <f>SUM(C6:C36)</f>
        <v>-35056</v>
      </c>
      <c r="D37" s="25">
        <f>SUM(D6:D36)</f>
        <v>-3334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2">
        <v>-8253</v>
      </c>
    </row>
    <row r="41" spans="1:4" x14ac:dyDescent="0.2">
      <c r="A41" s="57">
        <v>37262</v>
      </c>
      <c r="C41" s="48"/>
      <c r="D41" s="25">
        <f>+D40+D37</f>
        <v>-11587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7">
        <v>163235</v>
      </c>
    </row>
    <row r="46" spans="1:4" x14ac:dyDescent="0.2">
      <c r="A46" s="49">
        <f>+A41</f>
        <v>37262</v>
      </c>
      <c r="B46" s="32"/>
      <c r="C46" s="32"/>
      <c r="D46" s="382">
        <f>+D37*'by type_area'!J4</f>
        <v>-7634.86</v>
      </c>
    </row>
    <row r="47" spans="1:4" x14ac:dyDescent="0.2">
      <c r="A47" s="32"/>
      <c r="B47" s="32"/>
      <c r="C47" s="32"/>
      <c r="D47" s="200">
        <f>+D46+D45</f>
        <v>155600.14000000001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4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4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-163</v>
      </c>
      <c r="C11" s="11">
        <v>-170</v>
      </c>
      <c r="D11" s="11"/>
      <c r="E11" s="11"/>
      <c r="F11" s="11">
        <v>-1237</v>
      </c>
      <c r="G11" s="11">
        <v>-1050</v>
      </c>
      <c r="H11" s="11"/>
      <c r="I11" s="11"/>
      <c r="J11" s="11">
        <f t="shared" si="0"/>
        <v>180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-1048</v>
      </c>
      <c r="C37" s="11">
        <f t="shared" ref="C37:I37" si="1">SUM(C6:C36)</f>
        <v>-1020</v>
      </c>
      <c r="D37" s="11">
        <f t="shared" si="1"/>
        <v>0</v>
      </c>
      <c r="E37" s="11">
        <f t="shared" si="1"/>
        <v>0</v>
      </c>
      <c r="F37" s="11">
        <f t="shared" si="1"/>
        <v>-8525</v>
      </c>
      <c r="G37" s="11">
        <f t="shared" si="1"/>
        <v>-6300</v>
      </c>
      <c r="H37" s="11">
        <f t="shared" si="1"/>
        <v>0</v>
      </c>
      <c r="I37" s="11">
        <f t="shared" si="1"/>
        <v>0</v>
      </c>
      <c r="J37" s="11">
        <f>SUM(J6:J36)</f>
        <v>2253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5159.37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37262</v>
      </c>
      <c r="J43" s="322">
        <f>+J41+J39</f>
        <v>-30423.63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37262</v>
      </c>
      <c r="B49" s="32"/>
      <c r="C49" s="32"/>
      <c r="D49" s="355">
        <f>+J37</f>
        <v>2253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-1200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>
        <v>-806</v>
      </c>
      <c r="M11" s="11">
        <v>-581</v>
      </c>
      <c r="N11" s="11">
        <f t="shared" si="0"/>
        <v>225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-4955</v>
      </c>
      <c r="M37" s="11">
        <f>SUM(M6:M36)</f>
        <v>-3486</v>
      </c>
      <c r="N37" s="11">
        <f t="shared" si="1"/>
        <v>1469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3364.01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37262</v>
      </c>
      <c r="N43" s="322">
        <f>+N41+N39</f>
        <v>35858.01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37262</v>
      </c>
      <c r="B49" s="32"/>
      <c r="C49" s="32"/>
      <c r="D49" s="355">
        <f>+N37</f>
        <v>1469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13508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1047</v>
      </c>
      <c r="C37" s="11">
        <f>SUM(C6:C36)</f>
        <v>750</v>
      </c>
      <c r="D37" s="25">
        <f>SUM(D6:D36)</f>
        <v>-297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-692.01</v>
      </c>
    </row>
    <row r="40" spans="1:4" x14ac:dyDescent="0.2">
      <c r="A40" s="57">
        <v>37256</v>
      </c>
      <c r="C40" s="15"/>
      <c r="D40" s="514">
        <v>180032</v>
      </c>
    </row>
    <row r="41" spans="1:4" x14ac:dyDescent="0.2">
      <c r="A41" s="57">
        <v>37261</v>
      </c>
      <c r="C41" s="48"/>
      <c r="D41" s="138">
        <f>+D40+D39</f>
        <v>179339.99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78993</v>
      </c>
    </row>
    <row r="47" spans="1:4" x14ac:dyDescent="0.2">
      <c r="A47" s="49">
        <f>+A41</f>
        <v>37261</v>
      </c>
      <c r="B47" s="32"/>
      <c r="C47" s="32"/>
      <c r="D47" s="355">
        <f>+D37</f>
        <v>-297</v>
      </c>
    </row>
    <row r="48" spans="1:4" x14ac:dyDescent="0.2">
      <c r="A48" s="32"/>
      <c r="B48" s="32"/>
      <c r="C48" s="32"/>
      <c r="D48" s="14">
        <f>+D47+D46</f>
        <v>78696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17" sqref="D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487</v>
      </c>
      <c r="C37" s="11">
        <f>SUM(C6:C36)</f>
        <v>2205</v>
      </c>
      <c r="D37" s="25">
        <f>SUM(D6:D36)</f>
        <v>1718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4002.94</v>
      </c>
    </row>
    <row r="40" spans="1:4" x14ac:dyDescent="0.2">
      <c r="A40" s="57">
        <v>37256</v>
      </c>
      <c r="C40" s="15"/>
      <c r="D40" s="514">
        <v>161290</v>
      </c>
    </row>
    <row r="41" spans="1:4" x14ac:dyDescent="0.2">
      <c r="A41" s="57">
        <v>37261</v>
      </c>
      <c r="C41" s="48"/>
      <c r="D41" s="138">
        <f>+D40+D39</f>
        <v>165292.94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33970</v>
      </c>
    </row>
    <row r="47" spans="1:4" x14ac:dyDescent="0.2">
      <c r="A47" s="49">
        <f>+A41</f>
        <v>37261</v>
      </c>
      <c r="B47" s="32"/>
      <c r="C47" s="32"/>
      <c r="D47" s="355">
        <f>+D37</f>
        <v>1718</v>
      </c>
    </row>
    <row r="48" spans="1:4" x14ac:dyDescent="0.2">
      <c r="A48" s="32"/>
      <c r="B48" s="32"/>
      <c r="C48" s="32"/>
      <c r="D48" s="14">
        <f>+D47+D46</f>
        <v>35688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33" sqref="E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-59339</v>
      </c>
      <c r="C36" s="44">
        <f>SUM(C5:C35)</f>
        <v>-59869</v>
      </c>
      <c r="D36" s="43">
        <f>SUM(D5:D35)</f>
        <v>-262091</v>
      </c>
      <c r="E36" s="43">
        <f>SUM(E5:E35)</f>
        <v>-258560</v>
      </c>
      <c r="F36" s="11">
        <f>SUM(F5:F35)</f>
        <v>3001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0">
        <f>+summary!H5</f>
        <v>2.33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6992.33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37261</v>
      </c>
      <c r="B43" s="32"/>
      <c r="C43" s="106"/>
      <c r="D43" s="106"/>
      <c r="E43" s="106"/>
      <c r="F43" s="24">
        <f>+F40+F42</f>
        <v>16678.330000000002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37261</v>
      </c>
      <c r="B49" s="32"/>
      <c r="C49" s="32"/>
      <c r="D49" s="76">
        <f>+F36</f>
        <v>3001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22944.240000000002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-2272</v>
      </c>
      <c r="C11" s="24">
        <v>-1613</v>
      </c>
      <c r="D11" s="24">
        <v>-807</v>
      </c>
      <c r="E11" s="24">
        <v>-2000</v>
      </c>
      <c r="F11" s="24">
        <f t="shared" si="0"/>
        <v>-534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-13196</v>
      </c>
      <c r="C37" s="24">
        <f>SUM(C6:C36)</f>
        <v>-9678</v>
      </c>
      <c r="D37" s="24">
        <f>SUM(D6:D36)</f>
        <v>-11699</v>
      </c>
      <c r="E37" s="24">
        <f>SUM(E6:E36)</f>
        <v>-12000</v>
      </c>
      <c r="F37" s="24">
        <f>SUM(F6:F36)</f>
        <v>3217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7366.93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37262</v>
      </c>
      <c r="C41" s="322"/>
      <c r="D41" s="262"/>
      <c r="E41" s="262"/>
      <c r="F41" s="104">
        <f>+F40+F39</f>
        <v>-125742.32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37262</v>
      </c>
      <c r="B47" s="32"/>
      <c r="C47" s="32"/>
      <c r="D47" s="355">
        <f>+F37</f>
        <v>3217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-37577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354.95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37262</v>
      </c>
      <c r="E41" s="14"/>
      <c r="O41" s="450"/>
      <c r="P41" s="104">
        <f>+P40+P39</f>
        <v>114641.59999999999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48246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-2367.86</v>
      </c>
    </row>
    <row r="40" spans="1:4" x14ac:dyDescent="0.2">
      <c r="A40" s="57">
        <v>37256</v>
      </c>
      <c r="C40" s="15"/>
      <c r="D40" s="514">
        <v>-17240</v>
      </c>
    </row>
    <row r="41" spans="1:4" x14ac:dyDescent="0.2">
      <c r="A41" s="57">
        <v>36894</v>
      </c>
      <c r="C41" s="48"/>
      <c r="D41" s="138">
        <f>+D40+D39</f>
        <v>-19607.86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5329</v>
      </c>
    </row>
    <row r="47" spans="1:4" x14ac:dyDescent="0.2">
      <c r="A47" s="49">
        <f>+A41</f>
        <v>36894</v>
      </c>
      <c r="B47" s="32"/>
      <c r="C47" s="32"/>
      <c r="D47" s="355">
        <f>+D37</f>
        <v>-1034</v>
      </c>
    </row>
    <row r="48" spans="1:4" x14ac:dyDescent="0.2">
      <c r="A48" s="32"/>
      <c r="B48" s="32"/>
      <c r="C48" s="32"/>
      <c r="D48" s="14">
        <f>+D47+D46</f>
        <v>4295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145028</v>
      </c>
      <c r="C12" s="11">
        <v>145160</v>
      </c>
      <c r="D12" s="25">
        <f t="shared" si="0"/>
        <v>132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886581</v>
      </c>
      <c r="C38" s="11">
        <f>SUM(C7:C37)</f>
        <v>879919</v>
      </c>
      <c r="D38" s="11">
        <f>SUM(D7:D37)</f>
        <v>-6662</v>
      </c>
    </row>
    <row r="39" spans="1:8" x14ac:dyDescent="0.2">
      <c r="A39" s="26"/>
      <c r="C39" s="14"/>
      <c r="D39" s="106">
        <f>+summary!H3</f>
        <v>2.23</v>
      </c>
    </row>
    <row r="40" spans="1:8" x14ac:dyDescent="0.2">
      <c r="D40" s="138">
        <f>+D39*D38</f>
        <v>-14856.26</v>
      </c>
      <c r="H40">
        <v>20</v>
      </c>
    </row>
    <row r="41" spans="1:8" x14ac:dyDescent="0.2">
      <c r="A41" s="57">
        <v>37256</v>
      </c>
      <c r="C41" s="15"/>
      <c r="D41" s="535">
        <v>47283</v>
      </c>
      <c r="H41">
        <v>530</v>
      </c>
    </row>
    <row r="42" spans="1:8" x14ac:dyDescent="0.2">
      <c r="A42" s="57">
        <v>37262</v>
      </c>
      <c r="D42" s="322">
        <f>+D41+D40</f>
        <v>32426.739999999998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4">
        <v>20412</v>
      </c>
    </row>
    <row r="48" spans="1:8" x14ac:dyDescent="0.2">
      <c r="A48" s="49">
        <f>+A42</f>
        <v>37262</v>
      </c>
      <c r="B48" s="32"/>
      <c r="C48" s="32"/>
      <c r="D48" s="355">
        <f>+D38</f>
        <v>-6662</v>
      </c>
    </row>
    <row r="49" spans="1:4" x14ac:dyDescent="0.2">
      <c r="A49" s="32"/>
      <c r="B49" s="32"/>
      <c r="C49" s="32"/>
      <c r="D49" s="14">
        <f>+D48+D47</f>
        <v>13750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-1129535</v>
      </c>
      <c r="C35" s="11">
        <f>SUM(C4:C34)</f>
        <v>-1143396</v>
      </c>
      <c r="D35" s="11">
        <f>SUM(D4:D34)</f>
        <v>-13861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6">
        <v>59071</v>
      </c>
    </row>
    <row r="39" spans="1:30" x14ac:dyDescent="0.2">
      <c r="A39" s="12"/>
      <c r="D39" s="51"/>
    </row>
    <row r="40" spans="1:30" x14ac:dyDescent="0.2">
      <c r="A40" s="245">
        <v>37262</v>
      </c>
      <c r="D40" s="51">
        <f>+D38+D35</f>
        <v>45210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37262</v>
      </c>
      <c r="B46" s="32"/>
      <c r="C46" s="32"/>
      <c r="D46" s="382">
        <f>+D35*'by type_area'!J4</f>
        <v>-31741.69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-19288.689999999999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-3059127</v>
      </c>
      <c r="C35" s="11">
        <f>SUM(C4:C34)</f>
        <v>-3052006</v>
      </c>
      <c r="D35" s="11">
        <f>SUM(D4:D34)</f>
        <v>0</v>
      </c>
      <c r="E35" s="11">
        <f>SUM(E4:E34)</f>
        <v>0</v>
      </c>
      <c r="F35" s="11">
        <f>SUM(F4:F34)</f>
        <v>7121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6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37262</v>
      </c>
      <c r="D40" s="246"/>
      <c r="E40" s="246"/>
      <c r="F40" s="51">
        <f>+F38+F35</f>
        <v>111541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37262</v>
      </c>
      <c r="B46" s="32"/>
      <c r="C46" s="32"/>
      <c r="D46" s="483">
        <f>+F35*'by type_area'!J4</f>
        <v>16307.09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348224.09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0" sqref="E3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-80030</v>
      </c>
      <c r="C4" s="11">
        <v>-24949</v>
      </c>
      <c r="D4" s="11"/>
      <c r="E4" s="11">
        <v>-55000</v>
      </c>
      <c r="F4" s="11"/>
      <c r="G4" s="11"/>
      <c r="H4" s="11">
        <f>+G4+E4+C4-F4-D4-B4</f>
        <v>81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-80766</v>
      </c>
      <c r="C5" s="11">
        <v>-25000</v>
      </c>
      <c r="D5" s="129"/>
      <c r="E5" s="11">
        <v>-55000</v>
      </c>
      <c r="F5" s="11"/>
      <c r="G5" s="11"/>
      <c r="H5" s="11">
        <f t="shared" ref="H5:H34" si="0">+G5+E5+C5-F5-D5-B5</f>
        <v>766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>
        <v>-137218</v>
      </c>
      <c r="C6" s="11">
        <v>-51083</v>
      </c>
      <c r="D6" s="11"/>
      <c r="E6" s="11">
        <v>-84879</v>
      </c>
      <c r="F6" s="11"/>
      <c r="G6" s="11"/>
      <c r="H6" s="11">
        <f t="shared" si="0"/>
        <v>1256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>
        <v>-104302</v>
      </c>
      <c r="C7" s="11">
        <v>-36052</v>
      </c>
      <c r="D7" s="129"/>
      <c r="E7" s="11">
        <v>-67165</v>
      </c>
      <c r="F7" s="11"/>
      <c r="G7" s="11"/>
      <c r="H7" s="11">
        <f t="shared" si="0"/>
        <v>1085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-96064</v>
      </c>
      <c r="C8" s="11">
        <v>-28622</v>
      </c>
      <c r="D8" s="11"/>
      <c r="E8" s="11">
        <v>-67000</v>
      </c>
      <c r="F8" s="11"/>
      <c r="G8" s="11"/>
      <c r="H8" s="11">
        <f t="shared" si="0"/>
        <v>442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-96167</v>
      </c>
      <c r="C9" s="11">
        <v>-28417</v>
      </c>
      <c r="D9" s="11"/>
      <c r="E9" s="11">
        <v>-67000</v>
      </c>
      <c r="F9" s="11"/>
      <c r="G9" s="11"/>
      <c r="H9" s="11">
        <f t="shared" si="0"/>
        <v>750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-594547</v>
      </c>
      <c r="C35" s="44">
        <f t="shared" si="3"/>
        <v>-194123</v>
      </c>
      <c r="D35" s="11">
        <f t="shared" si="3"/>
        <v>0</v>
      </c>
      <c r="E35" s="44">
        <f t="shared" si="3"/>
        <v>-396044</v>
      </c>
      <c r="F35" s="11">
        <f t="shared" si="3"/>
        <v>0</v>
      </c>
      <c r="G35" s="11">
        <f t="shared" si="3"/>
        <v>0</v>
      </c>
      <c r="H35" s="11">
        <f t="shared" si="3"/>
        <v>4380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10030.200000000001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37262</v>
      </c>
      <c r="F39" s="482"/>
      <c r="G39" s="482"/>
      <c r="H39" s="322">
        <f>+H38+H37</f>
        <v>-58227.8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37262</v>
      </c>
      <c r="E47" s="467">
        <f>+H35</f>
        <v>4380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-704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4" sqref="D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-311920</v>
      </c>
      <c r="E10" s="11">
        <v>-310929</v>
      </c>
      <c r="F10" s="11"/>
      <c r="G10" s="11"/>
      <c r="H10" s="24">
        <f t="shared" si="0"/>
        <v>991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-1800444</v>
      </c>
      <c r="E36" s="11">
        <f t="shared" si="15"/>
        <v>-1806011</v>
      </c>
      <c r="F36" s="11">
        <f t="shared" si="15"/>
        <v>0</v>
      </c>
      <c r="G36" s="11">
        <f t="shared" si="15"/>
        <v>0</v>
      </c>
      <c r="H36" s="11">
        <f t="shared" si="15"/>
        <v>-5567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-5567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498">
        <v>64166</v>
      </c>
      <c r="D38" s="323"/>
      <c r="E38" s="501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37262</v>
      </c>
      <c r="B39" s="2" t="s">
        <v>45</v>
      </c>
      <c r="C39" s="131">
        <f>+C38+C37</f>
        <v>64166</v>
      </c>
      <c r="D39" s="252"/>
      <c r="E39" s="131">
        <f>+E38+E37</f>
        <v>-35356</v>
      </c>
      <c r="F39" s="252"/>
      <c r="G39" s="131"/>
      <c r="H39" s="131">
        <f>+H38+H36</f>
        <v>28810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37262</v>
      </c>
      <c r="B45" s="32"/>
      <c r="C45" s="47">
        <f>+C37*summary!H4</f>
        <v>0</v>
      </c>
      <c r="D45" s="205"/>
      <c r="E45" s="384">
        <f>+E37*summary!H3</f>
        <v>-12414.41</v>
      </c>
      <c r="F45" s="47">
        <f>+E45+C45</f>
        <v>-12414.41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7" sqref="C3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142641</v>
      </c>
      <c r="C13" s="11">
        <v>142329</v>
      </c>
      <c r="D13" s="11">
        <v>13130</v>
      </c>
      <c r="E13" s="11">
        <v>13033</v>
      </c>
      <c r="F13" s="11">
        <f t="shared" si="5"/>
        <v>-409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37262</v>
      </c>
      <c r="I23" s="11">
        <f>+B39</f>
        <v>880059</v>
      </c>
      <c r="J23" s="11">
        <f>+C39</f>
        <v>871833</v>
      </c>
      <c r="K23" s="11">
        <f>+D39</f>
        <v>76456</v>
      </c>
      <c r="L23" s="11">
        <f>+E39</f>
        <v>78198</v>
      </c>
      <c r="M23" s="42">
        <f>+J23-I23+L23-K23</f>
        <v>-6484</v>
      </c>
      <c r="N23" s="102">
        <f>+summary!H3</f>
        <v>2.23</v>
      </c>
      <c r="O23" s="532">
        <f>+N23*M23</f>
        <v>-14459.32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83316</v>
      </c>
      <c r="N24" s="102"/>
      <c r="O24" s="102">
        <f>SUM(O9:O23)</f>
        <v>553657.02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880059</v>
      </c>
      <c r="C39" s="150">
        <f>SUM(C8:C38)</f>
        <v>871833</v>
      </c>
      <c r="D39" s="150">
        <f>SUM(D8:D38)</f>
        <v>76456</v>
      </c>
      <c r="E39" s="150">
        <f>SUM(E8:E38)</f>
        <v>78198</v>
      </c>
      <c r="F39" s="11">
        <f t="shared" si="5"/>
        <v>-6484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37262</v>
      </c>
      <c r="B45" s="32"/>
      <c r="C45" s="106"/>
      <c r="D45" s="106"/>
      <c r="E45" s="106"/>
      <c r="F45" s="24">
        <f>+F44+F39</f>
        <v>23762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37262</v>
      </c>
      <c r="B51" s="32"/>
      <c r="C51" s="32"/>
      <c r="D51" s="355">
        <f>+F39*summary!H3</f>
        <v>-14459.32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420158.68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2002-01-07T19:18:11Z</cp:lastPrinted>
  <dcterms:created xsi:type="dcterms:W3CDTF">2000-03-28T16:52:23Z</dcterms:created>
  <dcterms:modified xsi:type="dcterms:W3CDTF">2023-09-14T07:31:44Z</dcterms:modified>
</cp:coreProperties>
</file>