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EA1889-B5AF-4B3D-A3DA-24C9C708F49D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B6" i="8"/>
  <c r="D6" i="8"/>
  <c r="D7" i="8"/>
  <c r="D8" i="8"/>
  <c r="D9" i="8"/>
  <c r="B10" i="8"/>
  <c r="D10" i="8"/>
  <c r="D11" i="8"/>
  <c r="D12" i="8"/>
  <c r="D13" i="8"/>
  <c r="B14" i="8"/>
  <c r="D14" i="8"/>
  <c r="D15" i="8"/>
  <c r="D16" i="8"/>
  <c r="D17" i="8"/>
  <c r="D18" i="8"/>
  <c r="D19" i="8"/>
  <c r="D20" i="8"/>
  <c r="D21" i="8"/>
  <c r="D23" i="8"/>
  <c r="D25" i="8"/>
  <c r="A29" i="8"/>
  <c r="D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<sst xmlns="http://schemas.openxmlformats.org/spreadsheetml/2006/main" count="1013" uniqueCount="315">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</sst>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2.11</v>
          </cell>
          <cell r="K39">
            <v>2.11</v>
          </cell>
          <cell r="M39">
            <v>2.11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2.11</v>
      </c>
      <c r="H3" s="401">
        <f ca="1">NOW()</f>
        <v>37314.52483923611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2.11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2.11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37144.159999999996</v>
      </c>
      <c r="C12" s="368">
        <f>+B12/$G$4</f>
        <v>17603.8672985782</v>
      </c>
      <c r="D12" s="14">
        <f>+Calpine!D47</f>
        <v>104688</v>
      </c>
      <c r="E12" s="70">
        <f>+C12-D12</f>
        <v>-87084.132701421797</v>
      </c>
      <c r="F12" s="363">
        <f>+Calpine!A41</f>
        <v>37312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64487.95</v>
      </c>
      <c r="C13" s="367">
        <f>+B13/$G$4</f>
        <v>30563.009478672986</v>
      </c>
      <c r="D13" s="14">
        <f>+'Citizens-Griffith'!D48</f>
        <v>34307</v>
      </c>
      <c r="E13" s="70">
        <f>+C13-D13</f>
        <v>-3743.990521327014</v>
      </c>
      <c r="F13" s="363">
        <f>+'Citizens-Griffith'!A41</f>
        <v>37312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-17774.900000000001</v>
      </c>
      <c r="C14" s="367">
        <f>+B14/G4</f>
        <v>-8424.1232227488163</v>
      </c>
      <c r="D14" s="14">
        <f>+SWGasTrans!$D$48</f>
        <v>4445</v>
      </c>
      <c r="E14" s="70">
        <f>+C14-D14</f>
        <v>-12869.123222748816</v>
      </c>
      <c r="F14" s="363">
        <f>+SWGasTrans!A41</f>
        <v>37312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-261179</v>
      </c>
      <c r="C15" s="367">
        <f>+B15/$G$4</f>
        <v>-123781.51658767773</v>
      </c>
      <c r="D15" s="14">
        <f>+'NS Steel'!D50</f>
        <v>656</v>
      </c>
      <c r="E15" s="70">
        <f>+C15-D15</f>
        <v>-124437.51658767773</v>
      </c>
      <c r="F15" s="364">
        <f>+'NS Steel'!A41</f>
        <v>37312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-579115.46000000008</v>
      </c>
      <c r="C16" s="369">
        <f>+B16/$G$4</f>
        <v>-274462.30331753561</v>
      </c>
      <c r="D16" s="349">
        <f>+Citizens!D24</f>
        <v>-56520</v>
      </c>
      <c r="E16" s="72">
        <f>+C16-D16</f>
        <v>-217942.30331753561</v>
      </c>
      <c r="F16" s="363">
        <f>+Citizens!A18</f>
        <v>37312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-756437.25000000012</v>
      </c>
      <c r="C17" s="392">
        <f>SUBTOTAL(9,C12:C16)</f>
        <v>-358501.06635071099</v>
      </c>
      <c r="D17" s="393">
        <f>SUBTOTAL(9,D12:D16)</f>
        <v>87576</v>
      </c>
      <c r="E17" s="394">
        <f>SUBTOTAL(9,E12:E16)</f>
        <v>-446077.06635071099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21298.440000000002</v>
      </c>
      <c r="C20" s="367">
        <f>+B20/$G$4</f>
        <v>10094.04739336493</v>
      </c>
      <c r="D20" s="14">
        <f>+transcol!D50</f>
        <v>-45656</v>
      </c>
      <c r="E20" s="70">
        <f>+C20-D20</f>
        <v>55750.047393364934</v>
      </c>
      <c r="F20" s="364">
        <f>+transcol!A43</f>
        <v>37312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69859.989999999991</v>
      </c>
      <c r="C21" s="367">
        <f>+williams!J40</f>
        <v>33109</v>
      </c>
      <c r="D21" s="14">
        <f>+C21</f>
        <v>33109</v>
      </c>
      <c r="E21" s="70">
        <f>+C21-D21</f>
        <v>0</v>
      </c>
      <c r="F21" s="364">
        <f>+williams!A40</f>
        <v>37312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-60255.07</v>
      </c>
      <c r="C22" s="371">
        <f>+B22/$G$3</f>
        <v>-28556.905213270144</v>
      </c>
      <c r="D22" s="349">
        <f>+burlington!D49</f>
        <v>-28978</v>
      </c>
      <c r="E22" s="72">
        <f>+C22-D22</f>
        <v>421.09478672985642</v>
      </c>
      <c r="F22" s="363">
        <f>+burlington!A42</f>
        <v>37312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30903.359999999993</v>
      </c>
      <c r="C23" s="388">
        <f>SUBTOTAL(9,C20:C22)</f>
        <v>14646.14218009479</v>
      </c>
      <c r="D23" s="393">
        <f>SUBTOTAL(9,D20:D22)</f>
        <v>-41525</v>
      </c>
      <c r="E23" s="394">
        <f>SUBTOTAL(9,E20:E22)</f>
        <v>56171.142180094786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23810.17</v>
      </c>
      <c r="C26" s="367">
        <f>+B26/$G$4</f>
        <v>11284.440758293838</v>
      </c>
      <c r="D26" s="14">
        <f>+NNG!D34</f>
        <v>10656</v>
      </c>
      <c r="E26" s="70">
        <f t="shared" ref="E26:E48" si="0">+C26-D26</f>
        <v>628.44075829383837</v>
      </c>
      <c r="F26" s="363">
        <f>+NNG!A24</f>
        <v>37312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478899.51999999996</v>
      </c>
      <c r="C27" s="367">
        <f>+B27/$G$4</f>
        <v>226966.59715639809</v>
      </c>
      <c r="D27" s="14">
        <f>+Conoco!D48</f>
        <v>26661</v>
      </c>
      <c r="E27" s="70">
        <f t="shared" si="0"/>
        <v>200305.59715639809</v>
      </c>
      <c r="F27" s="363">
        <f>+Conoco!A41</f>
        <v>37312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172817.68</v>
      </c>
      <c r="C28" s="367">
        <f>+B28/$G$4</f>
        <v>81904.113744075832</v>
      </c>
      <c r="D28" s="14">
        <f>+'Amoco Abo'!D49</f>
        <v>-358604</v>
      </c>
      <c r="E28" s="70">
        <f t="shared" si="0"/>
        <v>440508.11374407582</v>
      </c>
      <c r="F28" s="364">
        <f>+'Amoco Abo'!A43</f>
        <v>37312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322468.58</v>
      </c>
      <c r="C29" s="367">
        <f>+B29/$G$4</f>
        <v>152828.71090047396</v>
      </c>
      <c r="D29" s="14">
        <f>+KN_Westar!D48</f>
        <v>-40324</v>
      </c>
      <c r="E29" s="70">
        <f t="shared" si="0"/>
        <v>193152.71090047396</v>
      </c>
      <c r="F29" s="364">
        <f>+KN_Westar!A41</f>
        <v>37312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+summary!B46</f>
        <v>-157740.85999999952</v>
      </c>
      <c r="C30" s="368">
        <f>+B30/$G$5</f>
        <v>-74758.701421800724</v>
      </c>
      <c r="D30" s="14">
        <f>+DEFS!$I$36+DEFS!$J$36+DEFS!$K$45+DEFS!$K$46+DEFS!$K$47+DEFS!$K$48+Duke!I53+Duke!I54+Duke!F40+Duke!G40+Duke!H40</f>
        <v>253868</v>
      </c>
      <c r="E30" s="70">
        <f t="shared" si="0"/>
        <v>-328626.70142180071</v>
      </c>
      <c r="F30" s="364">
        <f>+DEFS!A40</f>
        <v>37312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321682.43</v>
      </c>
      <c r="C31" s="367">
        <f>+B31/$G$4</f>
        <v>152456.1279620853</v>
      </c>
      <c r="D31" s="14">
        <f>+mewborne!D49</f>
        <v>126132</v>
      </c>
      <c r="E31" s="70">
        <f t="shared" si="0"/>
        <v>26324.127962085302</v>
      </c>
      <c r="F31" s="364">
        <f>+mewborne!A43</f>
        <v>37312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37634.6</v>
      </c>
      <c r="C32" s="367">
        <f>+B32/$G$4</f>
        <v>17836.303317535545</v>
      </c>
      <c r="D32" s="14">
        <f>+PGETX!E48</f>
        <v>45636</v>
      </c>
      <c r="E32" s="70">
        <f t="shared" si="0"/>
        <v>-27799.696682464455</v>
      </c>
      <c r="F32" s="364">
        <f>+PGETX!E39</f>
        <v>37312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846807.87</v>
      </c>
      <c r="C33" s="367">
        <f>+B33/$G$4</f>
        <v>401330.7440758294</v>
      </c>
      <c r="D33" s="14">
        <f>+PNM!D30</f>
        <v>345654</v>
      </c>
      <c r="E33" s="70">
        <f t="shared" si="0"/>
        <v>55676.744075829396</v>
      </c>
      <c r="F33" s="364">
        <f>+PNM!A23</f>
        <v>37312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21228.799999999999</v>
      </c>
      <c r="C34" s="367">
        <f>+B34/$G$4</f>
        <v>10061.042654028437</v>
      </c>
      <c r="D34" s="14">
        <f>+EOG!D48</f>
        <v>-117529</v>
      </c>
      <c r="E34" s="70">
        <f t="shared" si="0"/>
        <v>127590.04265402844</v>
      </c>
      <c r="F34" s="363">
        <f>+EOG!A41</f>
        <v>37312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18760.7</v>
      </c>
      <c r="C35" s="367">
        <f>+B35/G5</f>
        <v>8891.3270142180099</v>
      </c>
      <c r="D35" s="14">
        <f>+Oasis!D47</f>
        <v>6931</v>
      </c>
      <c r="E35" s="70">
        <f>+C35-D35</f>
        <v>1960.3270142180099</v>
      </c>
      <c r="F35" s="363">
        <f>+Oasis!A40</f>
        <v>37312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1422.6499999999999</v>
      </c>
      <c r="C36" s="367">
        <f>+B36/$G$5</f>
        <v>674.24170616113747</v>
      </c>
      <c r="D36" s="14">
        <f>+SidR!D48</f>
        <v>500</v>
      </c>
      <c r="E36" s="70">
        <f t="shared" si="0"/>
        <v>174.24170616113747</v>
      </c>
      <c r="F36" s="364">
        <f>+SidR!A41</f>
        <v>37312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-192285.66</v>
      </c>
      <c r="C37" s="367">
        <f>+B37/$G$5</f>
        <v>-91130.644549763034</v>
      </c>
      <c r="D37" s="14">
        <f>+MiVida_Rich!D48</f>
        <v>-45949</v>
      </c>
      <c r="E37" s="70">
        <f>+C37-D37</f>
        <v>-45181.644549763034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171932.43000000002</v>
      </c>
      <c r="C38" s="367">
        <f>+B38/$G$5</f>
        <v>81484.563981042666</v>
      </c>
      <c r="D38" s="14">
        <f>+Dominion!D48</f>
        <v>75129</v>
      </c>
      <c r="E38" s="70">
        <f t="shared" si="0"/>
        <v>6355.5639810426655</v>
      </c>
      <c r="F38" s="364">
        <f>+Dominion!A41</f>
        <v>37312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-29043.059999999998</v>
      </c>
      <c r="C39" s="367">
        <f>+B39/$G$4</f>
        <v>-13764.483412322275</v>
      </c>
      <c r="D39" s="14">
        <f>+WTGmktg!D50</f>
        <v>-366</v>
      </c>
      <c r="E39" s="70">
        <f t="shared" si="0"/>
        <v>-13398.483412322275</v>
      </c>
      <c r="F39" s="364">
        <f>+WTGmktg!A43</f>
        <v>37312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21483.360000000001</v>
      </c>
      <c r="C40" s="367">
        <f>+B40/G4</f>
        <v>10181.687203791471</v>
      </c>
      <c r="D40" s="14">
        <f>+'WTG inc'!D50</f>
        <v>6800</v>
      </c>
      <c r="E40" s="70">
        <f>+C40-D40</f>
        <v>3381.6872037914709</v>
      </c>
      <c r="F40" s="364">
        <f>+'WTG inc'!A43</f>
        <v>37312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-1958.08</v>
      </c>
      <c r="C41" s="367">
        <f>+B41/$G$5</f>
        <v>-928</v>
      </c>
      <c r="D41" s="14">
        <f>+Devon!D48</f>
        <v>-928</v>
      </c>
      <c r="E41" s="70">
        <f t="shared" si="0"/>
        <v>0</v>
      </c>
      <c r="F41" s="364">
        <f>+Devon!A41</f>
        <v>37312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-128914.52</v>
      </c>
      <c r="C42" s="367">
        <f>+B42/$G$4</f>
        <v>-61096.928909952614</v>
      </c>
      <c r="D42" s="14">
        <f>+crosstex!D48</f>
        <v>-38710</v>
      </c>
      <c r="E42" s="70">
        <f t="shared" si="0"/>
        <v>-22386.928909952614</v>
      </c>
      <c r="F42" s="364">
        <f>+crosstex!A41</f>
        <v>37312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132239.47</v>
      </c>
      <c r="C43" s="367">
        <f>+B43/$G$4</f>
        <v>62672.734597156399</v>
      </c>
      <c r="D43" s="14">
        <f>+Amarillo!D48</f>
        <v>57170</v>
      </c>
      <c r="E43" s="70">
        <f t="shared" si="0"/>
        <v>5502.7345971563991</v>
      </c>
      <c r="F43" s="364">
        <f>+Amarillo!A41</f>
        <v>37312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48490.31</v>
      </c>
      <c r="C44" s="368">
        <f>+B44/$G$4</f>
        <v>22981.189573459716</v>
      </c>
      <c r="D44" s="14">
        <f>+Stratland!D48</f>
        <v>17403</v>
      </c>
      <c r="E44" s="70">
        <f>+C44-D44</f>
        <v>5578.1895734597165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63241.56</v>
      </c>
      <c r="C45" s="608">
        <f>+B45/$G$4</f>
        <v>29972.303317535545</v>
      </c>
      <c r="D45" s="14">
        <f>+Plains!D50</f>
        <v>22284</v>
      </c>
      <c r="E45" s="70">
        <f>+C45-D45</f>
        <v>7688.3033175355449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48820.82</v>
      </c>
      <c r="C46" s="368">
        <f>+B46/$G$4</f>
        <v>23137.829383886256</v>
      </c>
      <c r="D46" s="14">
        <f>+Continental!D50</f>
        <v>7439</v>
      </c>
      <c r="E46" s="70">
        <f t="shared" si="0"/>
        <v>15698.829383886256</v>
      </c>
      <c r="F46" s="364">
        <f>+Continental!A43</f>
        <v>37312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171862.64</v>
      </c>
      <c r="C47" s="368">
        <f>+B47/$G$5</f>
        <v>81451.488151658777</v>
      </c>
      <c r="D47" s="14">
        <f>+EPFS!D47</f>
        <v>95856</v>
      </c>
      <c r="E47" s="70">
        <f t="shared" si="0"/>
        <v>-14404.511848341223</v>
      </c>
      <c r="F47" s="363">
        <f>+EPFS!A41</f>
        <v>37312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89771.16</v>
      </c>
      <c r="C48" s="369">
        <f>+B48/$G$4</f>
        <v>42545.573459715641</v>
      </c>
      <c r="D48" s="349">
        <f>+Agave!D31</f>
        <v>55391</v>
      </c>
      <c r="E48" s="72">
        <f t="shared" si="0"/>
        <v>-12845.426540284359</v>
      </c>
      <c r="F48" s="363">
        <f>+Agave!A25</f>
        <v>37312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2483432.5700000008</v>
      </c>
      <c r="C49" s="392">
        <f>SUBTOTAL(9,C26:C48)</f>
        <v>1176982.2606635073</v>
      </c>
      <c r="D49" s="393">
        <f>SUBTOTAL(9,D26:D48)</f>
        <v>551100</v>
      </c>
      <c r="E49" s="394">
        <f>SUBTOTAL(9,E26:E48)</f>
        <v>625882.26066350751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1757898.6800000004</v>
      </c>
      <c r="C51" s="392">
        <f>SUBTOTAL(9,C12:C48)</f>
        <v>833127.33649289119</v>
      </c>
      <c r="D51" s="393">
        <f>SUBTOTAL(9,D12:D48)</f>
        <v>597151</v>
      </c>
      <c r="E51" s="394">
        <f>SUBTOTAL(9,E12:E48)</f>
        <v>235976.33649289125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2.11</v>
      </c>
      <c r="H57" s="401">
        <f ca="1">NOW()</f>
        <v>37314.52483923611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2.11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2.11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150804</v>
      </c>
      <c r="C66" s="605">
        <f>+B66*$G$4</f>
        <v>318196.44</v>
      </c>
      <c r="D66" s="47">
        <f>+Mojave!D47</f>
        <v>124078.95000000001</v>
      </c>
      <c r="E66" s="47">
        <f>+C66-D66</f>
        <v>194117.49</v>
      </c>
      <c r="F66" s="364">
        <f>+Mojave!A40</f>
        <v>37312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77115</v>
      </c>
      <c r="C67" s="605">
        <f>+B67*$G$4</f>
        <v>162712.65</v>
      </c>
      <c r="D67" s="47">
        <f>+SoCal!D47</f>
        <v>274615.33</v>
      </c>
      <c r="E67" s="47">
        <f>+C67-D67</f>
        <v>-111902.68000000002</v>
      </c>
      <c r="F67" s="364">
        <f>+SoCal!A40</f>
        <v>37312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135607.59</v>
      </c>
      <c r="D68" s="47">
        <f>+'El Paso'!C46</f>
        <v>-1582961.01</v>
      </c>
      <c r="E68" s="47">
        <f>+C68-D68</f>
        <v>1718568.6</v>
      </c>
      <c r="F68" s="364">
        <f>+'El Paso'!A39</f>
        <v>37312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48645</v>
      </c>
      <c r="C69" s="607">
        <f>+B69*$G$4</f>
        <v>102640.95</v>
      </c>
      <c r="D69" s="348">
        <f>+'PG&amp;E'!D47</f>
        <v>-101631.47</v>
      </c>
      <c r="E69" s="348">
        <f>+C69-D69</f>
        <v>204272.41999999998</v>
      </c>
      <c r="F69" s="364">
        <f>+'PG&amp;E'!A40</f>
        <v>37312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340833</v>
      </c>
      <c r="C70" s="387">
        <f>SUBTOTAL(9,C66:C69)</f>
        <v>719157.62999999989</v>
      </c>
      <c r="D70" s="387">
        <f>SUBTOTAL(9,D66:D69)</f>
        <v>-1285898.2</v>
      </c>
      <c r="E70" s="387">
        <f>SUBTOTAL(9,E66:E69)</f>
        <v>2005055.83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66561</v>
      </c>
      <c r="C73" s="606">
        <f>+B73*G57</f>
        <v>140443.71</v>
      </c>
      <c r="D73" s="200">
        <f>+'Red C'!D52</f>
        <v>486245.79</v>
      </c>
      <c r="E73" s="47">
        <f>+C73-D73</f>
        <v>-345802.07999999996</v>
      </c>
      <c r="F73" s="363">
        <f>+'Red C'!A45</f>
        <v>37312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3852</v>
      </c>
      <c r="C74" s="611">
        <f>+B74*$G$3</f>
        <v>8127.7199999999993</v>
      </c>
      <c r="D74" s="47">
        <f>+Amoco!D47</f>
        <v>343446</v>
      </c>
      <c r="E74" s="47">
        <f>+C74-D74</f>
        <v>-335318.28000000003</v>
      </c>
      <c r="F74" s="364">
        <f>+Amoco!A40</f>
        <v>37312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-60879</v>
      </c>
      <c r="C75" s="605">
        <f>+B75*$G$3</f>
        <v>-128454.68999999999</v>
      </c>
      <c r="D75" s="47">
        <f>+'El Paso'!F46</f>
        <v>-657254.01</v>
      </c>
      <c r="E75" s="47">
        <f>+C75-D75</f>
        <v>528799.32000000007</v>
      </c>
      <c r="F75" s="364">
        <f>+'El Paso'!A39</f>
        <v>37312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-13361</v>
      </c>
      <c r="C76" s="612">
        <f>+B76*$G$3</f>
        <v>-28191.71</v>
      </c>
      <c r="D76" s="348">
        <f>+NW!E49</f>
        <v>-487904.68</v>
      </c>
      <c r="E76" s="348">
        <f>+C76-D76</f>
        <v>459712.97</v>
      </c>
      <c r="F76" s="363">
        <f>+NW!B41</f>
        <v>37312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-3827</v>
      </c>
      <c r="C77" s="387">
        <f>SUBTOTAL(9,C73:C76)</f>
        <v>-8074.9699999999939</v>
      </c>
      <c r="D77" s="387">
        <f>SUBTOTAL(9,D73:D76)</f>
        <v>-315466.89999999997</v>
      </c>
      <c r="E77" s="387">
        <f>SUBTOTAL(9,E73:E76)</f>
        <v>307391.93000000005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67842</v>
      </c>
      <c r="C80" s="605">
        <f>+B80*$G$5</f>
        <v>143146.62</v>
      </c>
      <c r="D80" s="47">
        <f>+NGPL!D45</f>
        <v>193080.91</v>
      </c>
      <c r="E80" s="47">
        <f>+C80-D80</f>
        <v>-49934.290000000008</v>
      </c>
      <c r="F80" s="364">
        <f>+NGPL!A38</f>
        <v>37312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3655</v>
      </c>
      <c r="C81" s="606">
        <f>+B81*$G$4</f>
        <v>7712.0499999999993</v>
      </c>
      <c r="D81" s="47">
        <f>+PEPL!D47</f>
        <v>153005.93</v>
      </c>
      <c r="E81" s="47">
        <f>+C81-D81</f>
        <v>-145293.88</v>
      </c>
      <c r="F81" s="364">
        <f>+PEPL!A41</f>
        <v>37312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37108.57</v>
      </c>
      <c r="D82" s="200">
        <f>+CIG!D49</f>
        <v>385897</v>
      </c>
      <c r="E82" s="70">
        <f>+C82-D82</f>
        <v>-348788.43</v>
      </c>
      <c r="F82" s="364">
        <f>+CIG!A42</f>
        <v>37312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63520</v>
      </c>
      <c r="C83" s="607">
        <f>+B83*G59</f>
        <v>134027.19999999998</v>
      </c>
      <c r="D83" s="348">
        <f>+Lonestar!D50</f>
        <v>100768.96000000001</v>
      </c>
      <c r="E83" s="348">
        <f>+C83-D83</f>
        <v>33258.239999999976</v>
      </c>
      <c r="F83" s="363">
        <f>+Lonestar!A43</f>
        <v>37312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152604</v>
      </c>
      <c r="C84" s="387">
        <f>SUBTOTAL(9,C80:C83)</f>
        <v>321994.43999999994</v>
      </c>
      <c r="D84" s="387">
        <f>SUBTOTAL(9,D80:D83)</f>
        <v>832752.79999999993</v>
      </c>
      <c r="E84" s="387">
        <f>SUBTOTAL(9,E80:E83)</f>
        <v>-510758.36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489610</v>
      </c>
      <c r="C86" s="387">
        <f>SUBTOTAL(9,C66:C83)</f>
        <v>1033077.0999999999</v>
      </c>
      <c r="D86" s="387">
        <f>SUBTOTAL(9,D66:D83)</f>
        <v>-768612.3</v>
      </c>
      <c r="E86" s="387">
        <f>SUBTOTAL(9,E66:E83)</f>
        <v>1801689.4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2790975.7800000003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1322737.3364928912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8"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>
        <v>158404</v>
      </c>
      <c r="C29" s="436">
        <v>157124</v>
      </c>
      <c r="D29" s="481">
        <f t="shared" si="0"/>
        <v>-1280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>
        <v>150832</v>
      </c>
      <c r="C30" s="436">
        <v>157124</v>
      </c>
      <c r="D30" s="481">
        <f t="shared" si="0"/>
        <v>6292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3900539</v>
      </c>
      <c r="C37" s="410">
        <f>SUM(C6:C36)</f>
        <v>3909439</v>
      </c>
      <c r="D37" s="410">
        <f>SUM(D6:D36)</f>
        <v>8900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37312</v>
      </c>
      <c r="B40" s="285"/>
      <c r="C40" s="435"/>
      <c r="D40" s="307">
        <f>+D39+D37</f>
        <v>3852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37312</v>
      </c>
      <c r="B46" s="32"/>
      <c r="C46" s="32"/>
      <c r="D46" s="374">
        <f>+D37*'by type_area'!G3</f>
        <v>18779</v>
      </c>
    </row>
    <row r="47" spans="1:16" x14ac:dyDescent="0.2">
      <c r="A47" s="32"/>
      <c r="B47" s="32"/>
      <c r="C47" s="32"/>
      <c r="D47" s="200">
        <f>+D46+D45</f>
        <v>343446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-24303</v>
      </c>
      <c r="C28" s="24">
        <v>-24100</v>
      </c>
      <c r="D28" s="24">
        <f t="shared" si="0"/>
        <v>203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-1283</v>
      </c>
      <c r="C29" s="24">
        <v>-1100</v>
      </c>
      <c r="D29" s="24">
        <f t="shared" si="0"/>
        <v>183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-354917</v>
      </c>
      <c r="C36" s="24">
        <f>SUM(C5:C35)</f>
        <v>-355540</v>
      </c>
      <c r="D36" s="24">
        <f t="shared" si="0"/>
        <v>-623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-1314.53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37312</v>
      </c>
      <c r="B40"/>
      <c r="C40" s="48"/>
      <c r="D40" s="138">
        <f>+D39+D38</f>
        <v>18760.7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37312</v>
      </c>
      <c r="B46" s="32"/>
      <c r="C46" s="32"/>
      <c r="D46" s="349">
        <f>+D36</f>
        <v>-623</v>
      </c>
    </row>
    <row r="47" spans="1:65" x14ac:dyDescent="0.2">
      <c r="A47" s="32"/>
      <c r="B47" s="32"/>
      <c r="C47" s="32"/>
      <c r="D47" s="14">
        <f>+D46+D45</f>
        <v>6931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4" workbookViewId="0">
      <selection activeCell="A26" sqref="A2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807715</v>
      </c>
      <c r="C5" s="90">
        <v>834377</v>
      </c>
      <c r="D5" s="90">
        <f t="shared" ref="D5:D18" si="0">+C5-B5</f>
        <v>26662</v>
      </c>
      <c r="E5" s="275"/>
      <c r="F5" s="273"/>
    </row>
    <row r="6" spans="1:13" x14ac:dyDescent="0.2">
      <c r="A6" s="87">
        <v>78311</v>
      </c>
      <c r="B6" s="90">
        <f>271089+9594</f>
        <v>280683</v>
      </c>
      <c r="C6" s="90">
        <v>284983</v>
      </c>
      <c r="D6" s="90">
        <f t="shared" si="0"/>
        <v>4300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24783</v>
      </c>
      <c r="C7" s="90"/>
      <c r="D7" s="90">
        <f t="shared" si="0"/>
        <v>-24783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789963</v>
      </c>
      <c r="C8" s="90">
        <v>927830</v>
      </c>
      <c r="D8" s="90">
        <f t="shared" si="0"/>
        <v>137867</v>
      </c>
      <c r="E8" s="455"/>
      <c r="F8" s="273"/>
    </row>
    <row r="9" spans="1:13" x14ac:dyDescent="0.2">
      <c r="A9" s="87">
        <v>500239</v>
      </c>
      <c r="B9" s="90">
        <v>921644</v>
      </c>
      <c r="C9" s="90">
        <v>830825</v>
      </c>
      <c r="D9" s="90">
        <f t="shared" si="0"/>
        <v>-90819</v>
      </c>
      <c r="E9" s="275"/>
      <c r="F9" s="273"/>
    </row>
    <row r="10" spans="1:13" x14ac:dyDescent="0.2">
      <c r="A10" s="87">
        <v>500293</v>
      </c>
      <c r="B10" s="90">
        <f>410180+16204</f>
        <v>426384</v>
      </c>
      <c r="C10" s="90">
        <v>506900</v>
      </c>
      <c r="D10" s="90">
        <f t="shared" si="0"/>
        <v>80516</v>
      </c>
      <c r="E10" s="275"/>
      <c r="F10" s="273"/>
    </row>
    <row r="11" spans="1:13" x14ac:dyDescent="0.2">
      <c r="A11" s="87">
        <v>500302</v>
      </c>
      <c r="B11" s="90"/>
      <c r="C11" s="90">
        <v>8059</v>
      </c>
      <c r="D11" s="90">
        <f t="shared" si="0"/>
        <v>8059</v>
      </c>
      <c r="E11" s="275"/>
      <c r="F11" s="273"/>
    </row>
    <row r="12" spans="1:13" x14ac:dyDescent="0.2">
      <c r="A12" s="87">
        <v>500303</v>
      </c>
      <c r="B12" s="90"/>
      <c r="C12" s="90">
        <v>23513</v>
      </c>
      <c r="D12" s="90">
        <f t="shared" si="0"/>
        <v>23513</v>
      </c>
      <c r="E12" s="276"/>
      <c r="F12" s="465"/>
      <c r="G12" s="90"/>
    </row>
    <row r="13" spans="1:13" x14ac:dyDescent="0.2">
      <c r="A13" s="91">
        <v>500305</v>
      </c>
      <c r="B13" s="90">
        <v>1228243</v>
      </c>
      <c r="C13" s="90">
        <v>1315910</v>
      </c>
      <c r="D13" s="90">
        <f t="shared" si="0"/>
        <v>87667</v>
      </c>
      <c r="E13" s="275"/>
      <c r="F13" s="273"/>
    </row>
    <row r="14" spans="1:13" x14ac:dyDescent="0.2">
      <c r="A14" s="87">
        <v>500307</v>
      </c>
      <c r="B14" s="90">
        <f>78593+2991</f>
        <v>81584</v>
      </c>
      <c r="C14" s="90">
        <v>50813</v>
      </c>
      <c r="D14" s="90">
        <f t="shared" si="0"/>
        <v>-30771</v>
      </c>
      <c r="E14" s="275"/>
      <c r="F14" s="273"/>
    </row>
    <row r="15" spans="1:13" x14ac:dyDescent="0.2">
      <c r="A15" s="87">
        <v>500313</v>
      </c>
      <c r="B15" s="90"/>
      <c r="C15" s="90">
        <v>2412</v>
      </c>
      <c r="D15" s="90">
        <f t="shared" si="0"/>
        <v>2412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183126</v>
      </c>
      <c r="C17" s="90"/>
      <c r="D17" s="90">
        <f t="shared" si="0"/>
        <v>-183126</v>
      </c>
      <c r="E17" s="275"/>
      <c r="F17" s="273"/>
      <c r="G17" s="557"/>
    </row>
    <row r="18" spans="1:7" x14ac:dyDescent="0.2">
      <c r="A18" s="87">
        <v>500657</v>
      </c>
      <c r="B18" s="88">
        <v>99167</v>
      </c>
      <c r="C18" s="88">
        <v>54240</v>
      </c>
      <c r="D18" s="94">
        <f t="shared" si="0"/>
        <v>-44927</v>
      </c>
      <c r="E18" s="275"/>
      <c r="F18" s="465"/>
    </row>
    <row r="19" spans="1:7" x14ac:dyDescent="0.2">
      <c r="A19" s="87"/>
      <c r="B19" s="88"/>
      <c r="C19" s="88"/>
      <c r="D19" s="88">
        <f>SUM(D5:D18)</f>
        <v>-3430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2.11</v>
      </c>
      <c r="E20" s="207"/>
      <c r="F20" s="465"/>
    </row>
    <row r="21" spans="1:7" x14ac:dyDescent="0.2">
      <c r="A21" s="87"/>
      <c r="B21" s="88"/>
      <c r="C21" s="88"/>
      <c r="D21" s="96">
        <f>+D20*D19</f>
        <v>-7237.2999999999993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37287</v>
      </c>
      <c r="B23" s="88"/>
      <c r="C23" s="88"/>
      <c r="D23" s="582">
        <f>121616.94-11831*2.08</f>
        <v>97008.46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37312</v>
      </c>
      <c r="B25" s="88"/>
      <c r="C25" s="88"/>
      <c r="D25" s="318">
        <f>+D23+D21</f>
        <v>89771.16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37287</v>
      </c>
      <c r="B29" s="32"/>
      <c r="C29" s="32"/>
      <c r="D29" s="567">
        <f>70652-11831</f>
        <v>58821</v>
      </c>
    </row>
    <row r="30" spans="1:7" x14ac:dyDescent="0.2">
      <c r="A30" s="49">
        <f>+A25</f>
        <v>37312</v>
      </c>
      <c r="B30" s="32"/>
      <c r="C30" s="32"/>
      <c r="D30" s="349">
        <f>+D19</f>
        <v>-3430</v>
      </c>
    </row>
    <row r="31" spans="1:7" x14ac:dyDescent="0.2">
      <c r="A31" s="32"/>
      <c r="B31" s="32"/>
      <c r="C31" s="32"/>
      <c r="D31" s="14">
        <f>+D30+D29</f>
        <v>55391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C29" sqref="C29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>
        <v>39283</v>
      </c>
      <c r="C27" s="11">
        <v>39089</v>
      </c>
      <c r="D27" s="11">
        <v>32359</v>
      </c>
      <c r="E27" s="11">
        <v>29023</v>
      </c>
      <c r="F27" s="25">
        <f t="shared" si="2"/>
        <v>-3530</v>
      </c>
    </row>
    <row r="28" spans="1:7" x14ac:dyDescent="0.2">
      <c r="A28" s="41">
        <v>25</v>
      </c>
      <c r="B28" s="11">
        <v>33294</v>
      </c>
      <c r="C28" s="11">
        <v>39089</v>
      </c>
      <c r="D28" s="11">
        <v>29582</v>
      </c>
      <c r="E28" s="11">
        <v>29023</v>
      </c>
      <c r="F28" s="25">
        <f t="shared" si="2"/>
        <v>5236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1068295</v>
      </c>
      <c r="C35" s="11">
        <f>SUM(C4:C34)</f>
        <v>1077669</v>
      </c>
      <c r="D35" s="11">
        <f>SUM(D4:D34)</f>
        <v>586932</v>
      </c>
      <c r="E35" s="11">
        <f>SUM(E4:E34)</f>
        <v>590535</v>
      </c>
      <c r="F35" s="11">
        <f>+E35-D35+C35-B35</f>
        <v>12977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2.11</v>
      </c>
    </row>
    <row r="38" spans="1:7" x14ac:dyDescent="0.2">
      <c r="C38" s="48"/>
      <c r="D38" s="47"/>
      <c r="E38" s="48"/>
      <c r="F38" s="46">
        <f>+F37*F35</f>
        <v>27381.469999999998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37312</v>
      </c>
      <c r="C41" s="106"/>
      <c r="D41" s="106"/>
      <c r="E41" s="106"/>
      <c r="F41" s="106">
        <f>+F38+F40</f>
        <v>478899.51999999996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37312</v>
      </c>
      <c r="D47" s="349">
        <f>+F35</f>
        <v>12977</v>
      </c>
      <c r="E47" s="11"/>
      <c r="F47" s="11"/>
      <c r="G47" s="25"/>
    </row>
    <row r="48" spans="1:7" x14ac:dyDescent="0.2">
      <c r="D48" s="14">
        <f>+D47+D46</f>
        <v>26661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30" sqref="E3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186600</v>
      </c>
      <c r="C28" s="11">
        <v>193343</v>
      </c>
      <c r="D28" s="11"/>
      <c r="E28" s="11">
        <v>-2646</v>
      </c>
      <c r="F28" s="11">
        <f t="shared" si="2"/>
        <v>4097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191540</v>
      </c>
      <c r="C29" s="11">
        <v>194838</v>
      </c>
      <c r="D29" s="11"/>
      <c r="E29" s="11">
        <v>-2646</v>
      </c>
      <c r="F29" s="11">
        <f t="shared" si="2"/>
        <v>652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4566208</v>
      </c>
      <c r="C36" s="11">
        <f>SUM(C5:C35)</f>
        <v>4711652</v>
      </c>
      <c r="D36" s="11">
        <f>SUM(D5:D35)</f>
        <v>0</v>
      </c>
      <c r="E36" s="11">
        <f>SUM(E5:E35)</f>
        <v>-123614</v>
      </c>
      <c r="F36" s="11">
        <f>SUM(F5:F35)</f>
        <v>21830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37312</v>
      </c>
      <c r="F41" s="332">
        <f>+F39+F36</f>
        <v>-13361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37312</v>
      </c>
      <c r="C48" s="32"/>
      <c r="D48" s="32"/>
      <c r="E48" s="374">
        <f>+F36*'by type_area'!G3</f>
        <v>46061.299999999996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-487904.68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">
      <c r="A31" s="10">
        <v>24</v>
      </c>
      <c r="B31" s="11">
        <v>93998</v>
      </c>
      <c r="C31" s="11">
        <v>93799</v>
      </c>
      <c r="D31" s="11">
        <f t="shared" si="0"/>
        <v>-199</v>
      </c>
      <c r="E31" s="10"/>
      <c r="F31" s="11"/>
      <c r="G31" s="11"/>
      <c r="H31" s="11"/>
    </row>
    <row r="32" spans="1:8" x14ac:dyDescent="0.2">
      <c r="A32" s="10">
        <v>25</v>
      </c>
      <c r="B32" s="11">
        <v>94004</v>
      </c>
      <c r="C32" s="11">
        <v>93799</v>
      </c>
      <c r="D32" s="11">
        <f t="shared" si="0"/>
        <v>-205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2339034</v>
      </c>
      <c r="C39" s="11">
        <f>SUM(C8:C38)</f>
        <v>2335538</v>
      </c>
      <c r="D39" s="11">
        <f>SUM(D8:D38)</f>
        <v>-3496</v>
      </c>
      <c r="E39" s="10"/>
      <c r="F39" s="11"/>
      <c r="G39" s="11"/>
      <c r="H39" s="11"/>
    </row>
    <row r="40" spans="1:8" x14ac:dyDescent="0.2">
      <c r="A40" s="26"/>
      <c r="D40" s="75">
        <f>+summary!G4</f>
        <v>2.11</v>
      </c>
      <c r="E40" s="26"/>
      <c r="H40" s="75"/>
    </row>
    <row r="41" spans="1:8" x14ac:dyDescent="0.2">
      <c r="D41" s="195">
        <f>+D40*D39</f>
        <v>-7376.5599999999995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37312</v>
      </c>
      <c r="D43" s="196">
        <f>+D42+D41</f>
        <v>21298.440000000002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37312</v>
      </c>
      <c r="B49" s="32"/>
      <c r="C49" s="32"/>
      <c r="D49" s="349">
        <f>+D39</f>
        <v>-3496</v>
      </c>
    </row>
    <row r="50" spans="1:4" x14ac:dyDescent="0.2">
      <c r="A50" s="32"/>
      <c r="B50" s="32"/>
      <c r="C50" s="32"/>
      <c r="D50" s="14">
        <f>+D49+D48</f>
        <v>-45656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41" workbookViewId="0">
      <selection activeCell="B46" sqref="B46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37312</v>
      </c>
      <c r="I7" s="3" t="s">
        <v>254</v>
      </c>
      <c r="J7" s="15"/>
    </row>
    <row r="8" spans="1:14" x14ac:dyDescent="0.2">
      <c r="A8" s="248">
        <v>50895</v>
      </c>
      <c r="B8" s="339">
        <f>5211-4985</f>
        <v>226</v>
      </c>
      <c r="J8" s="15"/>
    </row>
    <row r="9" spans="1:14" x14ac:dyDescent="0.2">
      <c r="A9" s="248">
        <v>60874</v>
      </c>
      <c r="B9" s="339">
        <v>2514</v>
      </c>
      <c r="J9" s="15"/>
    </row>
    <row r="10" spans="1:14" x14ac:dyDescent="0.2">
      <c r="A10" s="248">
        <v>78169</v>
      </c>
      <c r="B10" s="339">
        <f>409189-393532-19545</f>
        <v>-3888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12408-10586</f>
        <v>1822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2977-2968</f>
        <v>9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3350-12753</f>
        <v>-9403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1339642-1364582</f>
        <v>-24940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-33661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2.11</v>
      </c>
      <c r="C19" s="199">
        <f>+B19*B18</f>
        <v>-71024.709999999992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1458451.8900000001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2.11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37312</v>
      </c>
      <c r="F39" s="349">
        <f>+B18</f>
        <v>-33661</v>
      </c>
      <c r="G39" s="349">
        <f>+B31</f>
        <v>0</v>
      </c>
      <c r="H39" s="349">
        <f>+B46</f>
        <v>3448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344039</v>
      </c>
      <c r="G40" s="14">
        <f>+G39+G38</f>
        <v>117857</v>
      </c>
      <c r="H40" s="14">
        <f>+H39+H38</f>
        <v>196883</v>
      </c>
      <c r="I40" s="14">
        <f>+H40+G40+F40</f>
        <v>658779</v>
      </c>
    </row>
    <row r="41" spans="1:9" x14ac:dyDescent="0.2">
      <c r="G41" s="32"/>
      <c r="H41" s="15"/>
      <c r="I41" s="32"/>
    </row>
    <row r="42" spans="1:9" x14ac:dyDescent="0.2">
      <c r="A42" s="245">
        <v>37312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2268</v>
      </c>
      <c r="G45" s="32"/>
      <c r="H45" s="380"/>
      <c r="I45" s="14"/>
    </row>
    <row r="46" spans="1:9" x14ac:dyDescent="0.2">
      <c r="B46" s="14">
        <f>SUM(B43:B45)</f>
        <v>3448</v>
      </c>
      <c r="G46" s="32"/>
      <c r="H46" s="380"/>
      <c r="I46" s="14"/>
    </row>
    <row r="47" spans="1:9" x14ac:dyDescent="0.2">
      <c r="B47" s="199">
        <f>+summary!G5</f>
        <v>2.11</v>
      </c>
      <c r="C47" s="199">
        <f>+B47*B46</f>
        <v>7275.28</v>
      </c>
      <c r="H47" s="380"/>
      <c r="I47" s="14"/>
    </row>
    <row r="48" spans="1:9" x14ac:dyDescent="0.2">
      <c r="C48" s="321">
        <f>+C47+C40</f>
        <v>863151.38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2693974.42</v>
      </c>
      <c r="I57" s="14">
        <f>SUM(I40:I54)</f>
        <v>714112</v>
      </c>
    </row>
    <row r="61" spans="1:9" x14ac:dyDescent="0.2">
      <c r="C61" s="15">
        <f>+DEFS!F49</f>
        <v>-2851715.2800000003</v>
      </c>
    </row>
    <row r="62" spans="1:9" x14ac:dyDescent="0.2">
      <c r="C62" s="15">
        <f>+C61+C57</f>
        <v>-157740.86000000034</v>
      </c>
      <c r="I62" s="31">
        <f>+I57+DEFS!K49</f>
        <v>253868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1458451.8900000001</v>
      </c>
      <c r="C72" s="14">
        <f>+F40</f>
        <v>344039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863151.38</v>
      </c>
      <c r="C74" s="14">
        <f>+H40</f>
        <v>196883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-643959.14</v>
      </c>
      <c r="C78" s="14">
        <f>+DEFS!J36</f>
        <v>-163075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-157740.85999999952</v>
      </c>
      <c r="C83" s="16">
        <f>SUM(C72:C82)</f>
        <v>253868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7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34826</v>
      </c>
      <c r="E22" s="11">
        <v>34133</v>
      </c>
      <c r="F22" s="11">
        <f t="shared" si="0"/>
        <v>-693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34858</v>
      </c>
      <c r="E23" s="11">
        <v>34133</v>
      </c>
      <c r="F23" s="11">
        <f t="shared" si="0"/>
        <v>-725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34939</v>
      </c>
      <c r="E24" s="11">
        <v>34133</v>
      </c>
      <c r="F24" s="11">
        <f t="shared" si="0"/>
        <v>-806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34727</v>
      </c>
      <c r="E25" s="11">
        <v>34133</v>
      </c>
      <c r="F25" s="11">
        <f t="shared" si="0"/>
        <v>-594</v>
      </c>
      <c r="I25" s="11"/>
      <c r="J25" s="24"/>
    </row>
    <row r="26" spans="1:10" x14ac:dyDescent="0.2">
      <c r="A26" s="10">
        <v>23</v>
      </c>
      <c r="B26" s="11"/>
      <c r="C26" s="11"/>
      <c r="D26" s="11">
        <v>34870</v>
      </c>
      <c r="E26" s="11">
        <v>34133</v>
      </c>
      <c r="F26" s="11">
        <f t="shared" si="0"/>
        <v>-737</v>
      </c>
      <c r="I26" s="11"/>
      <c r="J26" s="24"/>
    </row>
    <row r="27" spans="1:10" x14ac:dyDescent="0.2">
      <c r="A27" s="10">
        <v>24</v>
      </c>
      <c r="B27" s="11"/>
      <c r="C27" s="11"/>
      <c r="D27" s="11">
        <v>34908</v>
      </c>
      <c r="E27" s="11">
        <v>34133</v>
      </c>
      <c r="F27" s="11">
        <f t="shared" si="0"/>
        <v>-775</v>
      </c>
      <c r="I27" s="11"/>
      <c r="J27" s="24"/>
    </row>
    <row r="28" spans="1:10" x14ac:dyDescent="0.2">
      <c r="A28" s="10">
        <v>25</v>
      </c>
      <c r="B28" s="11"/>
      <c r="C28" s="11"/>
      <c r="D28" s="11">
        <v>35349</v>
      </c>
      <c r="E28" s="11">
        <v>34133</v>
      </c>
      <c r="F28" s="11">
        <f t="shared" si="0"/>
        <v>-1216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865902</v>
      </c>
      <c r="E35" s="11">
        <f>SUM(E4:E34)</f>
        <v>852750</v>
      </c>
      <c r="F35" s="11">
        <f>SUM(F4:F34)</f>
        <v>-13152</v>
      </c>
      <c r="G35" s="11"/>
      <c r="H35" s="49">
        <f>+A40</f>
        <v>37312</v>
      </c>
      <c r="I35" s="349">
        <f>+C36</f>
        <v>0</v>
      </c>
      <c r="J35" s="349">
        <f>+E36</f>
        <v>-13152</v>
      </c>
      <c r="K35" s="206"/>
      <c r="L35" s="14"/>
    </row>
    <row r="36" spans="1:13" x14ac:dyDescent="0.2">
      <c r="C36" s="25">
        <f>+C35-B35</f>
        <v>0</v>
      </c>
      <c r="E36" s="25">
        <f>+E35-D35</f>
        <v>-13152</v>
      </c>
      <c r="F36" s="25">
        <f>+E36+C36</f>
        <v>-13152</v>
      </c>
      <c r="H36" s="32"/>
      <c r="I36" s="14">
        <f>+I35+I34</f>
        <v>-183967</v>
      </c>
      <c r="J36" s="14">
        <f>+J35+J34</f>
        <v>-163075</v>
      </c>
      <c r="K36" s="14">
        <f>+J36+I36</f>
        <v>-347042</v>
      </c>
      <c r="L36" s="14"/>
    </row>
    <row r="37" spans="1:13" x14ac:dyDescent="0.2">
      <c r="C37" s="313">
        <f>+summary!G5</f>
        <v>2.11</v>
      </c>
      <c r="E37" s="104">
        <f>+C37</f>
        <v>2.11</v>
      </c>
      <c r="F37" s="138">
        <f>+F36*E37</f>
        <v>-27750.719999999998</v>
      </c>
    </row>
    <row r="38" spans="1:13" x14ac:dyDescent="0.2">
      <c r="C38" s="138">
        <f>+C37*C36</f>
        <v>0</v>
      </c>
      <c r="E38" s="136">
        <f>+E37*E36</f>
        <v>-27750.719999999998</v>
      </c>
      <c r="F38" s="138">
        <f>+E38+C38</f>
        <v>-27750.719999999998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37312</v>
      </c>
      <c r="B40" s="2" t="s">
        <v>45</v>
      </c>
      <c r="C40" s="314">
        <f>+C39+C38</f>
        <v>-1035385.61</v>
      </c>
      <c r="D40" s="252"/>
      <c r="E40" s="314">
        <f>+E39+E38</f>
        <v>-643959.14</v>
      </c>
      <c r="F40" s="314">
        <f>+E40+C40</f>
        <v>-1679344.75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-2851715.2800000003</v>
      </c>
      <c r="G49" s="246"/>
      <c r="K49" s="14">
        <f>SUM(K36:K48)</f>
        <v>-460244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2693974.42</v>
      </c>
      <c r="M51" s="14">
        <f>+Duke!I57</f>
        <v>714112</v>
      </c>
    </row>
    <row r="53" spans="3:13" x14ac:dyDescent="0.2">
      <c r="F53" s="104">
        <f>+F51+F49</f>
        <v>-157740.86000000034</v>
      </c>
      <c r="M53" s="16">
        <f>+M51+K49</f>
        <v>253868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-163075</v>
      </c>
      <c r="C74" s="247">
        <f>+E40</f>
        <v>-643959.14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196883</v>
      </c>
      <c r="C77" s="259">
        <f>+Duke!C48</f>
        <v>863151.38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344039</v>
      </c>
      <c r="C79" s="259">
        <f>+Duke!C20</f>
        <v>1458451.8900000001</v>
      </c>
    </row>
    <row r="81" spans="2:3" x14ac:dyDescent="0.2">
      <c r="B81" s="31">
        <f>SUM(B68:B80)</f>
        <v>253868</v>
      </c>
      <c r="C81" s="259">
        <f>SUM(C68:C80)</f>
        <v>-157740.8600000001</v>
      </c>
    </row>
    <row r="82" spans="2:3" x14ac:dyDescent="0.2">
      <c r="C82">
        <f>+C81/B81</f>
        <v>-0.62134991412860263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3" workbookViewId="0">
      <selection activeCell="E31" sqref="E31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5278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1027</v>
      </c>
      <c r="G26" s="11">
        <v>581</v>
      </c>
      <c r="H26" s="11">
        <v>1661</v>
      </c>
      <c r="I26" s="11">
        <v>895</v>
      </c>
      <c r="J26" s="25">
        <f t="shared" si="0"/>
        <v>-865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1021</v>
      </c>
      <c r="G27" s="11">
        <v>581</v>
      </c>
      <c r="H27" s="11">
        <v>1535</v>
      </c>
      <c r="I27" s="11">
        <v>895</v>
      </c>
      <c r="J27" s="25">
        <f t="shared" si="0"/>
        <v>-771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5749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1960</v>
      </c>
      <c r="I30" s="11">
        <v>895</v>
      </c>
      <c r="J30" s="25">
        <f t="shared" si="0"/>
        <v>-1270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5781</v>
      </c>
      <c r="C31" s="11">
        <v>6011</v>
      </c>
      <c r="D31" s="11"/>
      <c r="E31" s="11">
        <v>6</v>
      </c>
      <c r="F31" s="129">
        <v>833</v>
      </c>
      <c r="G31" s="11">
        <v>581</v>
      </c>
      <c r="H31" s="11">
        <v>1714</v>
      </c>
      <c r="I31" s="11">
        <v>895</v>
      </c>
      <c r="J31" s="25">
        <f t="shared" si="0"/>
        <v>-835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5256</v>
      </c>
      <c r="C32" s="11">
        <v>6011</v>
      </c>
      <c r="D32" s="11"/>
      <c r="E32" s="11">
        <v>6</v>
      </c>
      <c r="F32" s="129">
        <v>621</v>
      </c>
      <c r="G32" s="11">
        <v>581</v>
      </c>
      <c r="H32" s="11">
        <v>1587</v>
      </c>
      <c r="I32" s="11">
        <v>895</v>
      </c>
      <c r="J32" s="25">
        <f t="shared" si="0"/>
        <v>29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136540</v>
      </c>
      <c r="C39" s="11">
        <f t="shared" si="1"/>
        <v>147775</v>
      </c>
      <c r="D39" s="11">
        <f t="shared" si="1"/>
        <v>252</v>
      </c>
      <c r="E39" s="11">
        <f t="shared" si="1"/>
        <v>150</v>
      </c>
      <c r="F39" s="129">
        <f t="shared" si="1"/>
        <v>21409</v>
      </c>
      <c r="G39" s="11">
        <f t="shared" si="1"/>
        <v>14525</v>
      </c>
      <c r="H39" s="11">
        <f t="shared" si="1"/>
        <v>35911</v>
      </c>
      <c r="I39" s="11">
        <f t="shared" si="1"/>
        <v>22375</v>
      </c>
      <c r="J39" s="25">
        <f t="shared" si="1"/>
        <v>-9287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-19595.57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37312</v>
      </c>
      <c r="C43" s="48"/>
      <c r="J43" s="138">
        <f>+J42+J41</f>
        <v>321682.43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37312</v>
      </c>
      <c r="B48" s="32"/>
      <c r="C48" s="32"/>
      <c r="D48" s="349">
        <f>+J39</f>
        <v>-9287</v>
      </c>
      <c r="L48"/>
    </row>
    <row r="49" spans="1:12" x14ac:dyDescent="0.2">
      <c r="A49" s="32"/>
      <c r="B49" s="32"/>
      <c r="C49" s="32"/>
      <c r="D49" s="14">
        <f>+D48+D47</f>
        <v>126132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>
        <v>-43</v>
      </c>
      <c r="E31" s="410"/>
      <c r="F31" s="307">
        <f t="shared" si="0"/>
        <v>43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>
        <v>995</v>
      </c>
      <c r="C32" s="410"/>
      <c r="D32" s="410">
        <v>-448</v>
      </c>
      <c r="E32" s="410"/>
      <c r="F32" s="307">
        <f t="shared" si="0"/>
        <v>-547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995</v>
      </c>
      <c r="C39" s="410">
        <f>SUM(C8:C38)</f>
        <v>0</v>
      </c>
      <c r="D39" s="410">
        <f>SUM(D8:D38)</f>
        <v>-10750</v>
      </c>
      <c r="E39" s="410">
        <f>SUM(E8:E38)</f>
        <v>0</v>
      </c>
      <c r="F39" s="410">
        <f>SUM(F8:F38)</f>
        <v>9755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2.11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20583.05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37312</v>
      </c>
      <c r="B43" s="285"/>
      <c r="C43" s="435"/>
      <c r="D43" s="435"/>
      <c r="E43" s="435"/>
      <c r="F43" s="416">
        <f>+F42+F41</f>
        <v>172817.68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37312</v>
      </c>
      <c r="B48" s="32"/>
      <c r="C48" s="32"/>
      <c r="D48" s="349">
        <f>+F39</f>
        <v>9755</v>
      </c>
      <c r="E48" s="11"/>
    </row>
    <row r="49" spans="1:5" x14ac:dyDescent="0.2">
      <c r="A49" s="32"/>
      <c r="B49" s="32"/>
      <c r="C49" s="32"/>
      <c r="D49" s="14">
        <f>+D48+D47</f>
        <v>-358604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11" workbookViewId="0">
      <selection activeCell="E50" sqref="E50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2.11</v>
      </c>
      <c r="J3" s="373">
        <f ca="1">NOW()</f>
        <v>37314.52483923611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2.11</v>
      </c>
    </row>
    <row r="5" spans="1:33" ht="15" customHeight="1" x14ac:dyDescent="0.2">
      <c r="B5" s="553"/>
      <c r="F5" s="549" t="s">
        <v>117</v>
      </c>
      <c r="G5" s="550">
        <f>+'[3]1001'!$H$39</f>
        <v>2.11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846807.87</v>
      </c>
      <c r="C8" s="275">
        <f>+B8/$G$4</f>
        <v>401330.7440758294</v>
      </c>
      <c r="D8" s="364">
        <f>+PNM!A23</f>
        <v>37312</v>
      </c>
      <c r="E8" s="32" t="s">
        <v>85</v>
      </c>
      <c r="F8" s="32" t="s">
        <v>298</v>
      </c>
      <c r="G8" s="32" t="s">
        <v>289</v>
      </c>
      <c r="H8" s="32" t="s">
        <v>311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478899.51999999996</v>
      </c>
      <c r="C9" s="275">
        <f>+B9/$G$4</f>
        <v>226966.59715639809</v>
      </c>
      <c r="D9" s="363">
        <f>+Conoco!A41</f>
        <v>37312</v>
      </c>
      <c r="E9" s="32" t="s">
        <v>85</v>
      </c>
      <c r="F9" s="32" t="s">
        <v>299</v>
      </c>
      <c r="G9" s="32" t="s">
        <v>113</v>
      </c>
      <c r="H9" s="32" t="s">
        <v>312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614">
        <f>+KN_Westar!F41</f>
        <v>322468.58</v>
      </c>
      <c r="C10" s="275">
        <f>+B10/$G$4</f>
        <v>152828.71090047396</v>
      </c>
      <c r="D10" s="364">
        <f>+KN_Westar!A41</f>
        <v>37312</v>
      </c>
      <c r="E10" s="32" t="s">
        <v>85</v>
      </c>
      <c r="F10" s="32" t="s">
        <v>153</v>
      </c>
      <c r="G10" s="32" t="s">
        <v>100</v>
      </c>
      <c r="H10" s="32"/>
      <c r="I10" s="24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321682.43</v>
      </c>
      <c r="C11" s="275">
        <f>+B11/$G$4</f>
        <v>152456.1279620853</v>
      </c>
      <c r="D11" s="364">
        <f>+mewborne!A43</f>
        <v>37312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5">
        <f>+C12*$G$4</f>
        <v>318196.44</v>
      </c>
      <c r="C12" s="275">
        <f>+Mojave!D40</f>
        <v>150804</v>
      </c>
      <c r="D12" s="364">
        <f>+Mojave!A40</f>
        <v>37312</v>
      </c>
      <c r="E12" s="32" t="s">
        <v>84</v>
      </c>
      <c r="F12" s="32" t="s">
        <v>153</v>
      </c>
      <c r="G12" s="32" t="s">
        <v>100</v>
      </c>
      <c r="H12" s="609" t="s">
        <v>313</v>
      </c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3</v>
      </c>
      <c r="B13" s="614">
        <f>+'Amoco Abo'!$F$43</f>
        <v>172817.68</v>
      </c>
      <c r="C13" s="275">
        <f>+B13/$G$4</f>
        <v>81904.113744075832</v>
      </c>
      <c r="D13" s="364">
        <f>+'Amoco Abo'!A43</f>
        <v>37312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171932.43000000002</v>
      </c>
      <c r="C14" s="275">
        <f>+B14/$G$5</f>
        <v>81484.563981042666</v>
      </c>
      <c r="D14" s="364">
        <f>+Dominion!A41</f>
        <v>37312</v>
      </c>
      <c r="E14" s="32" t="s">
        <v>85</v>
      </c>
      <c r="F14" s="32" t="s">
        <v>298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5">
        <f>+EPFS!D41</f>
        <v>171862.64</v>
      </c>
      <c r="C15" s="206">
        <f>+B15/$G$5</f>
        <v>81451.488151658777</v>
      </c>
      <c r="D15" s="363">
        <f>+EPFS!A41</f>
        <v>37312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162712.65</v>
      </c>
      <c r="C16" s="206">
        <f>+SoCal!F40</f>
        <v>77115</v>
      </c>
      <c r="D16" s="363">
        <f>+SoCal!A40</f>
        <v>37312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143146.62</v>
      </c>
      <c r="C17" s="275">
        <f>+NGPL!H38</f>
        <v>67842</v>
      </c>
      <c r="D17" s="364">
        <f>+NGPL!A38</f>
        <v>37312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140443.71</v>
      </c>
      <c r="C18" s="347">
        <f>+'Red C'!$F$45</f>
        <v>66561</v>
      </c>
      <c r="D18" s="363">
        <f>+'Red C'!A45</f>
        <v>37312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31</v>
      </c>
      <c r="B19" s="345">
        <f>+C19*$G$5</f>
        <v>134027.19999999998</v>
      </c>
      <c r="C19" s="275">
        <f>+Lonestar!F43</f>
        <v>63520</v>
      </c>
      <c r="D19" s="363">
        <f>+Lonestar!A43</f>
        <v>37312</v>
      </c>
      <c r="E19" s="32" t="s">
        <v>84</v>
      </c>
      <c r="F19" s="32" t="s">
        <v>299</v>
      </c>
      <c r="G19" s="32" t="s">
        <v>102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132239.47</v>
      </c>
      <c r="C20" s="275">
        <f>+B20/$G$4</f>
        <v>62672.734597156399</v>
      </c>
      <c r="D20" s="364">
        <f>+Amarillo!A41</f>
        <v>37312</v>
      </c>
      <c r="E20" s="32" t="s">
        <v>85</v>
      </c>
      <c r="F20" s="32" t="s">
        <v>299</v>
      </c>
      <c r="G20" s="32" t="s">
        <v>113</v>
      </c>
      <c r="H20" s="32"/>
      <c r="I20" s="32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102640.95</v>
      </c>
      <c r="C21" s="206">
        <f>+'PG&amp;E'!D40</f>
        <v>48645</v>
      </c>
      <c r="D21" s="364">
        <f>+'PG&amp;E'!A40</f>
        <v>37312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442" t="s">
        <v>79</v>
      </c>
      <c r="B22" s="501">
        <f>+Agave!$D$25</f>
        <v>89771.16</v>
      </c>
      <c r="C22" s="462">
        <f>+B22/$G$4</f>
        <v>42545.573459715641</v>
      </c>
      <c r="D22" s="461">
        <f>+Agave!A25</f>
        <v>37312</v>
      </c>
      <c r="E22" s="442" t="s">
        <v>85</v>
      </c>
      <c r="F22" s="442" t="s">
        <v>299</v>
      </c>
      <c r="G22" s="442" t="s">
        <v>102</v>
      </c>
      <c r="H22" s="442"/>
      <c r="I22" s="204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69859.989999999991</v>
      </c>
      <c r="C23" s="275">
        <f>+williams!J40</f>
        <v>33109</v>
      </c>
      <c r="D23" s="363">
        <f>+williams!A40</f>
        <v>37312</v>
      </c>
      <c r="E23" s="204" t="s">
        <v>85</v>
      </c>
      <c r="F23" s="204" t="s">
        <v>153</v>
      </c>
      <c r="G23" s="204" t="s">
        <v>289</v>
      </c>
      <c r="H23" s="204"/>
      <c r="I23" s="32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139</v>
      </c>
      <c r="B24" s="345">
        <f>+'Citizens-Griffith'!D41</f>
        <v>64487.95</v>
      </c>
      <c r="C24" s="275">
        <f t="shared" ref="C24:C29" si="0">+B24/$G$4</f>
        <v>30563.009478672986</v>
      </c>
      <c r="D24" s="363">
        <f>+'Citizens-Griffith'!A41</f>
        <v>37312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305</v>
      </c>
      <c r="B25" s="345">
        <f>+Plains!$N$43</f>
        <v>63241.56</v>
      </c>
      <c r="C25" s="206">
        <f t="shared" si="0"/>
        <v>29972.303317535545</v>
      </c>
      <c r="D25" s="363">
        <f>+Plains!A43</f>
        <v>37287</v>
      </c>
      <c r="E25" s="204" t="s">
        <v>85</v>
      </c>
      <c r="F25" s="204"/>
      <c r="G25" s="204" t="s">
        <v>100</v>
      </c>
      <c r="H25" s="204"/>
      <c r="I25" s="204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109</v>
      </c>
      <c r="B26" s="345">
        <f>+Continental!F43</f>
        <v>48820.82</v>
      </c>
      <c r="C26" s="206">
        <f t="shared" si="0"/>
        <v>23137.829383886256</v>
      </c>
      <c r="D26" s="363">
        <f>+Continental!A43</f>
        <v>37312</v>
      </c>
      <c r="E26" s="204" t="s">
        <v>85</v>
      </c>
      <c r="F26" s="204" t="s">
        <v>153</v>
      </c>
      <c r="G26" s="204" t="s">
        <v>115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296</v>
      </c>
      <c r="B27" s="345">
        <f>+Stratland!$D$41</f>
        <v>48490.31</v>
      </c>
      <c r="C27" s="275">
        <f t="shared" si="0"/>
        <v>22981.189573459716</v>
      </c>
      <c r="D27" s="363">
        <f>+Stratland!A41</f>
        <v>37287</v>
      </c>
      <c r="E27" s="32" t="s">
        <v>85</v>
      </c>
      <c r="F27" s="32" t="s">
        <v>298</v>
      </c>
      <c r="G27" s="32" t="s">
        <v>102</v>
      </c>
      <c r="H27" s="32"/>
      <c r="I27" s="204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146</v>
      </c>
      <c r="B28" s="345">
        <f>+PGETX!$H$39</f>
        <v>37634.6</v>
      </c>
      <c r="C28" s="275">
        <f t="shared" si="0"/>
        <v>17836.303317535545</v>
      </c>
      <c r="D28" s="363">
        <f>+PGETX!E39</f>
        <v>37312</v>
      </c>
      <c r="E28" s="204" t="s">
        <v>85</v>
      </c>
      <c r="F28" s="204" t="s">
        <v>153</v>
      </c>
      <c r="G28" s="204" t="s">
        <v>102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127</v>
      </c>
      <c r="B29" s="345">
        <f>+Calpine!D41</f>
        <v>37144.159999999996</v>
      </c>
      <c r="C29" s="206">
        <f t="shared" si="0"/>
        <v>17603.8672985782</v>
      </c>
      <c r="D29" s="363">
        <f>+Calpine!A41</f>
        <v>37312</v>
      </c>
      <c r="E29" s="204" t="s">
        <v>85</v>
      </c>
      <c r="F29" s="204" t="s">
        <v>152</v>
      </c>
      <c r="G29" s="204" t="s">
        <v>99</v>
      </c>
      <c r="H29" s="204"/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37108.57</v>
      </c>
      <c r="C30" s="275">
        <f>+CIG!D42</f>
        <v>17587</v>
      </c>
      <c r="D30" s="364">
        <f>+CIG!A42</f>
        <v>37312</v>
      </c>
      <c r="E30" s="204" t="s">
        <v>84</v>
      </c>
      <c r="F30" s="32" t="s">
        <v>153</v>
      </c>
      <c r="G30" s="32" t="s">
        <v>113</v>
      </c>
      <c r="H30" s="609" t="s">
        <v>313</v>
      </c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87</v>
      </c>
      <c r="B31" s="614">
        <f>+NNG!$D$24</f>
        <v>23810.17</v>
      </c>
      <c r="C31" s="275">
        <f>+B31/$G$4</f>
        <v>11284.440758293838</v>
      </c>
      <c r="D31" s="363">
        <f>+NNG!A24</f>
        <v>37312</v>
      </c>
      <c r="E31" s="204" t="s">
        <v>85</v>
      </c>
      <c r="F31" s="204" t="s">
        <v>298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279</v>
      </c>
      <c r="B32" s="345">
        <f>+'WTG inc'!N43</f>
        <v>21483.360000000001</v>
      </c>
      <c r="C32" s="275">
        <f>+B32/$G$4</f>
        <v>10181.687203791471</v>
      </c>
      <c r="D32" s="364">
        <f>+'WTG inc'!A43</f>
        <v>37312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71</v>
      </c>
      <c r="B33" s="346">
        <f>+transcol!$D$43</f>
        <v>21298.440000000002</v>
      </c>
      <c r="C33" s="347">
        <f>+B33/$G$4</f>
        <v>10094.04739336493</v>
      </c>
      <c r="D33" s="363">
        <f>+transcol!A43</f>
        <v>37312</v>
      </c>
      <c r="E33" s="204" t="s">
        <v>85</v>
      </c>
      <c r="F33" s="204" t="s">
        <v>152</v>
      </c>
      <c r="G33" s="204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103</v>
      </c>
      <c r="B34" s="614">
        <f>+EOG!$J$41</f>
        <v>21228.799999999999</v>
      </c>
      <c r="C34" s="275">
        <f>+B34/$G$4</f>
        <v>10061.042654028437</v>
      </c>
      <c r="D34" s="363">
        <f>+EOG!A41</f>
        <v>37312</v>
      </c>
      <c r="E34" s="32" t="s">
        <v>85</v>
      </c>
      <c r="F34" s="32" t="s">
        <v>298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6</v>
      </c>
      <c r="B35" s="614">
        <f>+Oasis!$D$40</f>
        <v>18760.7</v>
      </c>
      <c r="C35" s="206">
        <f>+B35/$G$5</f>
        <v>8891.3270142180099</v>
      </c>
      <c r="D35" s="364">
        <f>+Oasis!A40</f>
        <v>37312</v>
      </c>
      <c r="E35" s="32" t="s">
        <v>85</v>
      </c>
      <c r="F35" s="32" t="s">
        <v>153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">
      <c r="A36" s="32" t="s">
        <v>287</v>
      </c>
      <c r="B36" s="345">
        <f>+C36*$G$3</f>
        <v>8127.7199999999993</v>
      </c>
      <c r="C36" s="275">
        <f>+Amoco!D40</f>
        <v>3852</v>
      </c>
      <c r="D36" s="364">
        <f>+Amoco!A40</f>
        <v>37312</v>
      </c>
      <c r="E36" s="32" t="s">
        <v>84</v>
      </c>
      <c r="F36" s="32" t="s">
        <v>152</v>
      </c>
      <c r="G36" s="32" t="s">
        <v>115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">
      <c r="A37" s="204" t="s">
        <v>142</v>
      </c>
      <c r="B37" s="346">
        <f>+C37*$G$4</f>
        <v>7712.0499999999993</v>
      </c>
      <c r="C37" s="347">
        <f>+PEPL!D41</f>
        <v>3655</v>
      </c>
      <c r="D37" s="363">
        <f>+PEPL!A41</f>
        <v>37312</v>
      </c>
      <c r="E37" s="204" t="s">
        <v>84</v>
      </c>
      <c r="F37" s="204" t="s">
        <v>299</v>
      </c>
      <c r="G37" s="204" t="s">
        <v>100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204" t="s">
        <v>33</v>
      </c>
      <c r="B38" s="345">
        <f>+'El Paso'!C39*summary!G4+'El Paso'!E39*summary!G3</f>
        <v>7152.9000000000087</v>
      </c>
      <c r="C38" s="275">
        <f>+'El Paso'!H39</f>
        <v>3390</v>
      </c>
      <c r="D38" s="363">
        <f>+'El Paso'!A39</f>
        <v>37312</v>
      </c>
      <c r="E38" s="204" t="s">
        <v>84</v>
      </c>
      <c r="F38" s="204" t="s">
        <v>153</v>
      </c>
      <c r="G38" s="204" t="s">
        <v>100</v>
      </c>
      <c r="H38" s="204"/>
      <c r="I38" s="204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3.5" customHeight="1" x14ac:dyDescent="0.2">
      <c r="A39" s="32" t="s">
        <v>131</v>
      </c>
      <c r="B39" s="615">
        <f>+SidR!D41</f>
        <v>1422.6499999999999</v>
      </c>
      <c r="C39" s="71">
        <f>+B39/$G$5</f>
        <v>674.24170616113747</v>
      </c>
      <c r="D39" s="364">
        <f>+SidR!A41</f>
        <v>37312</v>
      </c>
      <c r="E39" s="32" t="s">
        <v>85</v>
      </c>
      <c r="F39" s="32" t="s">
        <v>151</v>
      </c>
      <c r="G39" s="32" t="s">
        <v>102</v>
      </c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8" customHeight="1" x14ac:dyDescent="0.2">
      <c r="A40" s="32" t="s">
        <v>96</v>
      </c>
      <c r="B40" s="47">
        <f>SUM(B8:B39)</f>
        <v>4247434.1000000015</v>
      </c>
      <c r="C40" s="69">
        <f>SUM(C8:C39)</f>
        <v>2013001.9431279616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-579115.46000000008</v>
      </c>
      <c r="C43" s="206">
        <f>+B43/$G$4</f>
        <v>-274462.30331753561</v>
      </c>
      <c r="D43" s="363">
        <f>+Citizens!A18</f>
        <v>37312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-261179</v>
      </c>
      <c r="C44" s="206">
        <f>+B44/$G$4</f>
        <v>-123781.51658767773</v>
      </c>
      <c r="D44" s="364">
        <f>+'NS Steel'!A41</f>
        <v>37312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256</v>
      </c>
      <c r="B45" s="345">
        <f>+MiVida_Rich!D41</f>
        <v>-192285.66</v>
      </c>
      <c r="C45" s="206">
        <f>+B45/$G$5</f>
        <v>-91130.644549763034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309</v>
      </c>
      <c r="B46" s="346">
        <f>+Duke!B83</f>
        <v>-157740.85999999952</v>
      </c>
      <c r="C46" s="347">
        <f>+B46/$G$5</f>
        <v>-74758.701421800724</v>
      </c>
      <c r="D46" s="363">
        <f>+DEFS!A40</f>
        <v>37312</v>
      </c>
      <c r="E46" s="204" t="s">
        <v>85</v>
      </c>
      <c r="F46" s="32" t="s">
        <v>152</v>
      </c>
      <c r="G46" s="32" t="s">
        <v>100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">
      <c r="A47" s="32" t="s">
        <v>215</v>
      </c>
      <c r="B47" s="345">
        <f>+crosstex!F41</f>
        <v>-128914.52</v>
      </c>
      <c r="C47" s="206">
        <f>+B47/$G$4</f>
        <v>-61096.928909952614</v>
      </c>
      <c r="D47" s="364">
        <f>+crosstex!A41</f>
        <v>37312</v>
      </c>
      <c r="E47" s="32" t="s">
        <v>85</v>
      </c>
      <c r="F47" s="32" t="s">
        <v>151</v>
      </c>
      <c r="G47" s="32" t="s">
        <v>100</v>
      </c>
      <c r="H47" s="351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95</v>
      </c>
      <c r="B48" s="345">
        <f>+burlington!D42</f>
        <v>-60255.07</v>
      </c>
      <c r="C48" s="275">
        <f>+B48/$G$3</f>
        <v>-28556.905213270144</v>
      </c>
      <c r="D48" s="363">
        <f>+burlington!A42</f>
        <v>37312</v>
      </c>
      <c r="E48" s="204" t="s">
        <v>85</v>
      </c>
      <c r="F48" s="32" t="s">
        <v>153</v>
      </c>
      <c r="G48" s="32" t="s">
        <v>113</v>
      </c>
      <c r="H48" s="32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32" t="s">
        <v>1</v>
      </c>
      <c r="B49" s="345">
        <f>+C49*$G$3</f>
        <v>-28191.71</v>
      </c>
      <c r="C49" s="206">
        <f>+NW!$F$41</f>
        <v>-13361</v>
      </c>
      <c r="D49" s="363">
        <f>+NW!B41</f>
        <v>37312</v>
      </c>
      <c r="E49" s="32" t="s">
        <v>84</v>
      </c>
      <c r="F49" s="32" t="s">
        <v>152</v>
      </c>
      <c r="G49" s="32" t="s">
        <v>115</v>
      </c>
      <c r="H49" s="351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04" t="s">
        <v>203</v>
      </c>
      <c r="B50" s="346">
        <f>+WTGmktg!J43</f>
        <v>-29043.059999999998</v>
      </c>
      <c r="C50" s="206">
        <f>+B50/$G$4</f>
        <v>-13764.483412322275</v>
      </c>
      <c r="D50" s="363">
        <f>+WTGmktg!A43</f>
        <v>37312</v>
      </c>
      <c r="E50" s="32" t="s">
        <v>85</v>
      </c>
      <c r="F50" s="204" t="s">
        <v>152</v>
      </c>
      <c r="G50" s="204" t="s">
        <v>115</v>
      </c>
      <c r="H50" s="204"/>
      <c r="I50" s="32"/>
      <c r="J50" s="32"/>
      <c r="K50" s="32"/>
      <c r="L50" s="32"/>
      <c r="M50" s="32" t="s">
        <v>242</v>
      </c>
      <c r="N50" s="379">
        <v>23995</v>
      </c>
      <c r="O50" s="70">
        <v>-1023166</v>
      </c>
      <c r="P50" s="32" t="s">
        <v>244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32" t="s">
        <v>276</v>
      </c>
      <c r="B51" s="345">
        <f>+SWGasTrans!$D$41</f>
        <v>-17774.900000000001</v>
      </c>
      <c r="C51" s="275">
        <f>+B51/$G$4</f>
        <v>-8424.1232227488163</v>
      </c>
      <c r="D51" s="363">
        <f>+SWGasTrans!A41</f>
        <v>37312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/>
      <c r="N51" s="379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54" customFormat="1" ht="13.5" customHeight="1" x14ac:dyDescent="0.2">
      <c r="A52" s="32" t="s">
        <v>209</v>
      </c>
      <c r="B52" s="348">
        <f>+Devon!D41</f>
        <v>-1958.08</v>
      </c>
      <c r="C52" s="71">
        <f>+B52/$G$5</f>
        <v>-928</v>
      </c>
      <c r="D52" s="364">
        <f>+Devon!A41</f>
        <v>37312</v>
      </c>
      <c r="E52" s="32" t="s">
        <v>85</v>
      </c>
      <c r="F52" s="32" t="s">
        <v>299</v>
      </c>
      <c r="G52" s="32" t="s">
        <v>99</v>
      </c>
      <c r="H52" s="32" t="s">
        <v>310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SUM(B43:B52)</f>
        <v>-1456458.3199999996</v>
      </c>
      <c r="C53" s="206">
        <f>SUM(C43:C52)</f>
        <v>-690264.60663507099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2790975.7800000021</v>
      </c>
      <c r="C55" s="354">
        <f>+C53+C40</f>
        <v>1322737.3364928905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-124021</v>
      </c>
      <c r="C6" s="80"/>
      <c r="D6" s="80">
        <f t="shared" ref="D6:D14" si="0">+C6-B6</f>
        <v>124021</v>
      </c>
    </row>
    <row r="7" spans="1:4" x14ac:dyDescent="0.2">
      <c r="A7" s="32">
        <v>3531</v>
      </c>
      <c r="B7" s="309">
        <v>-759088</v>
      </c>
      <c r="C7" s="80">
        <v>-300715</v>
      </c>
      <c r="D7" s="80">
        <f t="shared" si="0"/>
        <v>458373</v>
      </c>
    </row>
    <row r="8" spans="1:4" x14ac:dyDescent="0.2">
      <c r="A8" s="32">
        <v>60667</v>
      </c>
      <c r="B8" s="309">
        <v>-18</v>
      </c>
      <c r="C8" s="80">
        <v>-844451</v>
      </c>
      <c r="D8" s="80">
        <f t="shared" si="0"/>
        <v>-844433</v>
      </c>
    </row>
    <row r="9" spans="1:4" x14ac:dyDescent="0.2">
      <c r="A9" s="32">
        <v>60749</v>
      </c>
      <c r="B9" s="309">
        <v>74665</v>
      </c>
      <c r="C9" s="80">
        <v>-242521</v>
      </c>
      <c r="D9" s="80">
        <f t="shared" si="0"/>
        <v>-317186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-585535</v>
      </c>
      <c r="C11" s="80"/>
      <c r="D11" s="80">
        <f t="shared" si="0"/>
        <v>585535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6310</v>
      </c>
    </row>
    <row r="19" spans="1:5" x14ac:dyDescent="0.2">
      <c r="A19" s="32" t="s">
        <v>81</v>
      </c>
      <c r="B19" s="69"/>
      <c r="C19" s="69"/>
      <c r="D19" s="73">
        <f>+summary!G4</f>
        <v>2.11</v>
      </c>
    </row>
    <row r="20" spans="1:5" x14ac:dyDescent="0.2">
      <c r="B20" s="69"/>
      <c r="C20" s="69"/>
      <c r="D20" s="75">
        <f>+D19*D18</f>
        <v>13314.099999999999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37312</v>
      </c>
      <c r="B24" s="69"/>
      <c r="C24" s="69"/>
      <c r="D24" s="331">
        <f>+D22+D20</f>
        <v>23810.17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37312</v>
      </c>
      <c r="D33" s="349">
        <f>+D18</f>
        <v>6310</v>
      </c>
    </row>
    <row r="34" spans="1:4" x14ac:dyDescent="0.2">
      <c r="D34" s="14">
        <f>+D33+D32</f>
        <v>10656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-93171</v>
      </c>
      <c r="C5" s="90">
        <v>-50640</v>
      </c>
      <c r="D5" s="90">
        <f t="shared" ref="D5:D13" si="0">+C5-B5</f>
        <v>42531</v>
      </c>
      <c r="E5" s="69"/>
      <c r="F5" s="201"/>
    </row>
    <row r="6" spans="1:11" x14ac:dyDescent="0.2">
      <c r="A6" s="87">
        <v>9238</v>
      </c>
      <c r="B6" s="90">
        <v>-18207</v>
      </c>
      <c r="C6" s="90">
        <v>-25000</v>
      </c>
      <c r="D6" s="90">
        <f t="shared" si="0"/>
        <v>-6793</v>
      </c>
      <c r="E6" s="275"/>
      <c r="F6" s="201"/>
      <c r="K6" s="65"/>
    </row>
    <row r="7" spans="1:11" x14ac:dyDescent="0.2">
      <c r="A7" s="87">
        <v>56422</v>
      </c>
      <c r="B7" s="90">
        <v>-1923338</v>
      </c>
      <c r="C7" s="90">
        <v>-1833999</v>
      </c>
      <c r="D7" s="90">
        <f t="shared" si="0"/>
        <v>89339</v>
      </c>
      <c r="E7" s="275"/>
      <c r="F7" s="201"/>
    </row>
    <row r="8" spans="1:11" x14ac:dyDescent="0.2">
      <c r="A8" s="87">
        <v>58710</v>
      </c>
      <c r="B8" s="90">
        <v>-4947</v>
      </c>
      <c r="C8" s="90">
        <v>-32282</v>
      </c>
      <c r="D8" s="90">
        <f t="shared" si="0"/>
        <v>-27335</v>
      </c>
      <c r="E8" s="275"/>
      <c r="F8" s="201"/>
    </row>
    <row r="9" spans="1:11" x14ac:dyDescent="0.2">
      <c r="A9" s="87">
        <v>60921</v>
      </c>
      <c r="B9" s="90">
        <v>-1366847</v>
      </c>
      <c r="C9" s="90">
        <v>-1421352</v>
      </c>
      <c r="D9" s="90">
        <f t="shared" si="0"/>
        <v>-54505</v>
      </c>
      <c r="E9" s="275"/>
      <c r="F9" s="201"/>
    </row>
    <row r="10" spans="1:11" x14ac:dyDescent="0.2">
      <c r="A10" s="87">
        <v>78026</v>
      </c>
      <c r="B10" s="90"/>
      <c r="C10" s="90">
        <v>13750</v>
      </c>
      <c r="D10" s="90">
        <f t="shared" si="0"/>
        <v>13750</v>
      </c>
      <c r="E10" s="275"/>
      <c r="F10" s="465"/>
    </row>
    <row r="11" spans="1:11" x14ac:dyDescent="0.2">
      <c r="A11" s="87">
        <v>500084</v>
      </c>
      <c r="B11" s="90">
        <v>-54680</v>
      </c>
      <c r="C11" s="90">
        <v>-75000</v>
      </c>
      <c r="D11" s="90">
        <f t="shared" si="0"/>
        <v>-20320</v>
      </c>
      <c r="E11" s="276"/>
      <c r="F11" s="465"/>
    </row>
    <row r="12" spans="1:11" x14ac:dyDescent="0.2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">
      <c r="A13" s="87">
        <v>500097</v>
      </c>
      <c r="B13" s="90">
        <v>-68130</v>
      </c>
      <c r="C13" s="90">
        <v>-102961</v>
      </c>
      <c r="D13" s="90">
        <f t="shared" si="0"/>
        <v>-34831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5433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2.11</v>
      </c>
      <c r="E18" s="277"/>
      <c r="F18" s="465"/>
    </row>
    <row r="19" spans="1:7" x14ac:dyDescent="0.2">
      <c r="A19" s="87"/>
      <c r="B19" s="88"/>
      <c r="C19" s="88"/>
      <c r="D19" s="96">
        <f>+D18*D17</f>
        <v>11463.63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37312</v>
      </c>
      <c r="B23" s="88"/>
      <c r="C23" s="88"/>
      <c r="D23" s="318">
        <f>+D21+D19</f>
        <v>846807.87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37312</v>
      </c>
      <c r="B29" s="32"/>
      <c r="C29" s="32"/>
      <c r="D29" s="349">
        <f>+D17</f>
        <v>5433</v>
      </c>
    </row>
    <row r="30" spans="1:7" x14ac:dyDescent="0.2">
      <c r="A30" s="32"/>
      <c r="B30" s="32"/>
      <c r="C30" s="32"/>
      <c r="D30" s="14">
        <f>+D29+D28</f>
        <v>345654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B28" sqref="B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>
        <v>45700</v>
      </c>
      <c r="C25" s="327">
        <v>45653</v>
      </c>
      <c r="D25" s="327">
        <v>-35088</v>
      </c>
      <c r="E25" s="327">
        <v>-43800</v>
      </c>
      <c r="F25" s="327">
        <v>28192</v>
      </c>
      <c r="G25" s="327">
        <v>28452</v>
      </c>
      <c r="H25" s="90">
        <f t="shared" si="0"/>
        <v>-8499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>
        <v>45671</v>
      </c>
      <c r="C26" s="327">
        <v>45681</v>
      </c>
      <c r="D26" s="327">
        <v>-39139</v>
      </c>
      <c r="E26" s="327">
        <v>-39801</v>
      </c>
      <c r="F26" s="327">
        <v>28343</v>
      </c>
      <c r="G26" s="327">
        <v>28415</v>
      </c>
      <c r="H26" s="90">
        <f t="shared" si="0"/>
        <v>-580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>
        <v>45716</v>
      </c>
      <c r="C27" s="327">
        <v>45684</v>
      </c>
      <c r="D27" s="327">
        <v>-39099</v>
      </c>
      <c r="E27" s="327">
        <v>-35469</v>
      </c>
      <c r="F27" s="327">
        <v>28277</v>
      </c>
      <c r="G27" s="327">
        <v>28309</v>
      </c>
      <c r="H27" s="90">
        <f t="shared" si="0"/>
        <v>3630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1020028</v>
      </c>
      <c r="C34" s="287">
        <f t="shared" si="2"/>
        <v>1012033</v>
      </c>
      <c r="D34" s="14">
        <f t="shared" si="2"/>
        <v>-183849</v>
      </c>
      <c r="E34" s="14">
        <f t="shared" si="2"/>
        <v>-234030</v>
      </c>
      <c r="F34" s="14">
        <f t="shared" si="2"/>
        <v>669981</v>
      </c>
      <c r="G34" s="14">
        <f t="shared" si="2"/>
        <v>660533</v>
      </c>
      <c r="H34" s="14">
        <f t="shared" si="2"/>
        <v>-67624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37312</v>
      </c>
      <c r="B38" s="14"/>
      <c r="C38" s="14"/>
      <c r="D38" s="14"/>
      <c r="E38" s="14"/>
      <c r="F38" s="14"/>
      <c r="G38" s="14"/>
      <c r="H38" s="150">
        <f>+H37+H34</f>
        <v>67842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37312</v>
      </c>
      <c r="B44" s="32"/>
      <c r="C44" s="32"/>
      <c r="D44" s="374">
        <f>+H34*'by type_area'!G4</f>
        <v>-142686.63999999998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193080.91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F33" sqref="F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">
      <c r="A27" s="10">
        <v>24</v>
      </c>
      <c r="B27" s="11">
        <v>-19999</v>
      </c>
      <c r="C27" s="11">
        <v>-19960</v>
      </c>
      <c r="D27" s="25">
        <f t="shared" si="0"/>
        <v>39</v>
      </c>
    </row>
    <row r="28" spans="1:8" x14ac:dyDescent="0.2">
      <c r="A28" s="10">
        <v>25</v>
      </c>
      <c r="B28" s="11">
        <v>-19991</v>
      </c>
      <c r="C28" s="11">
        <v>-19960</v>
      </c>
      <c r="D28" s="25">
        <f t="shared" si="0"/>
        <v>31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-471122</v>
      </c>
      <c r="C35" s="11">
        <f>SUM(C4:C34)</f>
        <v>-498277</v>
      </c>
      <c r="D35" s="11">
        <f>SUM(D4:D34)</f>
        <v>-27155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37312</v>
      </c>
      <c r="D40" s="51">
        <f>+D38+D35</f>
        <v>150804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37312</v>
      </c>
      <c r="B46" s="32"/>
      <c r="C46" s="32"/>
      <c r="D46" s="374">
        <f>+D35*'by type_area'!G4</f>
        <v>-57297.049999999996</v>
      </c>
    </row>
    <row r="47" spans="1:4" x14ac:dyDescent="0.2">
      <c r="A47" s="32"/>
      <c r="B47" s="32"/>
      <c r="C47" s="32"/>
      <c r="D47" s="200">
        <f>+D46+D45</f>
        <v>124078.95000000001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3" workbookViewId="0">
      <selection activeCell="C45" sqref="C4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12279</v>
      </c>
      <c r="C27" s="11">
        <v>14500</v>
      </c>
      <c r="D27" s="11">
        <v>8680</v>
      </c>
      <c r="E27" s="11">
        <v>10686</v>
      </c>
      <c r="F27" s="11"/>
      <c r="G27" s="11"/>
      <c r="H27" s="11"/>
      <c r="I27" s="11"/>
      <c r="J27" s="11">
        <f t="shared" si="0"/>
        <v>4227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12425</v>
      </c>
      <c r="C28" s="11">
        <v>14500</v>
      </c>
      <c r="D28" s="11">
        <v>8456</v>
      </c>
      <c r="E28" s="11">
        <v>10686</v>
      </c>
      <c r="F28" s="11"/>
      <c r="G28" s="11"/>
      <c r="H28" s="11">
        <v>81</v>
      </c>
      <c r="I28" s="11"/>
      <c r="J28" s="11">
        <f t="shared" si="0"/>
        <v>4224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246149</v>
      </c>
      <c r="C35" s="11">
        <f t="shared" ref="C35:I35" si="1">SUM(C4:C34)</f>
        <v>242300</v>
      </c>
      <c r="D35" s="11">
        <f t="shared" si="1"/>
        <v>213192</v>
      </c>
      <c r="E35" s="11">
        <f t="shared" si="1"/>
        <v>216144</v>
      </c>
      <c r="F35" s="11">
        <f t="shared" si="1"/>
        <v>1</v>
      </c>
      <c r="G35" s="11">
        <f t="shared" si="1"/>
        <v>3500</v>
      </c>
      <c r="H35" s="11">
        <f t="shared" si="1"/>
        <v>39973</v>
      </c>
      <c r="I35" s="11">
        <f t="shared" si="1"/>
        <v>38500</v>
      </c>
      <c r="J35" s="11">
        <f>SUM(J4:J34)</f>
        <v>1129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2382.19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37312</v>
      </c>
      <c r="J41" s="319">
        <f>+J39+J37</f>
        <v>21228.799999999999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37312</v>
      </c>
      <c r="B47" s="32"/>
      <c r="C47" s="32"/>
      <c r="D47" s="349">
        <f>+J35</f>
        <v>1129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-117529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B40" sqref="B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-19847</v>
      </c>
      <c r="E25" s="24">
        <v>-20850</v>
      </c>
      <c r="F25" s="24">
        <f t="shared" si="0"/>
        <v>-1003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-32898</v>
      </c>
      <c r="E26" s="24">
        <v>-32850</v>
      </c>
      <c r="F26" s="24">
        <f t="shared" si="0"/>
        <v>48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-20431</v>
      </c>
      <c r="E27" s="24">
        <v>-23304</v>
      </c>
      <c r="F27" s="24">
        <f t="shared" si="0"/>
        <v>-2873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-19407</v>
      </c>
      <c r="E28" s="24">
        <v>-16100</v>
      </c>
      <c r="F28" s="24">
        <f t="shared" si="0"/>
        <v>3307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-18863</v>
      </c>
      <c r="E29" s="24">
        <v>-16100</v>
      </c>
      <c r="F29" s="24">
        <f t="shared" si="0"/>
        <v>2763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-29733</v>
      </c>
      <c r="E30" s="24">
        <v>-31953</v>
      </c>
      <c r="F30" s="24">
        <f t="shared" si="0"/>
        <v>-2220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-460739</v>
      </c>
      <c r="E37" s="24">
        <f>SUM(E6:E36)</f>
        <v>-464081</v>
      </c>
      <c r="F37" s="24">
        <f>SUM(F6:F36)</f>
        <v>-3342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-7051.62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37312</v>
      </c>
      <c r="E41" s="14"/>
      <c r="F41" s="104">
        <f>+F40+F39</f>
        <v>322468.58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37312</v>
      </c>
      <c r="B47" s="32"/>
      <c r="C47" s="32"/>
      <c r="D47" s="349">
        <f>+F37</f>
        <v>-3342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5" sqref="E55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">
      <c r="A31" s="10">
        <v>24</v>
      </c>
      <c r="B31" s="11"/>
      <c r="C31" s="11"/>
      <c r="D31" s="11"/>
      <c r="E31" s="11">
        <v>135</v>
      </c>
      <c r="F31" s="25">
        <f t="shared" si="0"/>
        <v>135</v>
      </c>
    </row>
    <row r="32" spans="1:10" x14ac:dyDescent="0.2">
      <c r="A32" s="10">
        <v>25</v>
      </c>
      <c r="B32" s="11"/>
      <c r="C32" s="11"/>
      <c r="D32" s="11"/>
      <c r="E32" s="11">
        <v>135</v>
      </c>
      <c r="F32" s="25">
        <f t="shared" si="0"/>
        <v>135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2858</v>
      </c>
      <c r="F39" s="25">
        <f>SUM(F8:F38)</f>
        <v>2858</v>
      </c>
    </row>
    <row r="40" spans="1:6" x14ac:dyDescent="0.2">
      <c r="A40" s="26"/>
      <c r="C40" s="14"/>
      <c r="F40" s="253">
        <f>+summary!G4</f>
        <v>2.11</v>
      </c>
    </row>
    <row r="41" spans="1:6" x14ac:dyDescent="0.2">
      <c r="F41" s="138">
        <f>+F40*F39</f>
        <v>6030.3799999999992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37312</v>
      </c>
      <c r="C43" s="48"/>
      <c r="F43" s="138">
        <f>+F42+F41</f>
        <v>48820.82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37312</v>
      </c>
      <c r="B49" s="32"/>
      <c r="C49" s="32"/>
      <c r="D49" s="349">
        <f>+F39</f>
        <v>2858</v>
      </c>
    </row>
    <row r="50" spans="1:4" x14ac:dyDescent="0.2">
      <c r="A50" s="32"/>
      <c r="B50" s="32"/>
      <c r="C50" s="32"/>
      <c r="D50" s="14">
        <f>+D49+D48</f>
        <v>7439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D33" sqref="D3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37312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37312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1" sqref="C3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-1796916</v>
      </c>
      <c r="I19" s="119">
        <f>+C37</f>
        <v>-1778260</v>
      </c>
      <c r="J19" s="119">
        <f>+I19-H19</f>
        <v>18656</v>
      </c>
      <c r="K19" s="411">
        <f>+D38</f>
        <v>2.11</v>
      </c>
      <c r="L19" s="416">
        <f>+K19*J19</f>
        <v>39364.159999999996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149148</v>
      </c>
      <c r="K24" s="407"/>
      <c r="L24" s="110">
        <f>+L19+L17</f>
        <v>121049.25999999983</v>
      </c>
      <c r="M24" s="2"/>
      <c r="N24" s="34"/>
    </row>
    <row r="25" spans="1:14" x14ac:dyDescent="0.2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57369.317535544949</v>
      </c>
    </row>
    <row r="27" spans="1:14" x14ac:dyDescent="0.2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>
        <v>-81315</v>
      </c>
      <c r="C29" s="11">
        <v>-84052</v>
      </c>
      <c r="D29" s="25">
        <f t="shared" si="0"/>
        <v>-2737</v>
      </c>
    </row>
    <row r="30" spans="1:14" x14ac:dyDescent="0.2">
      <c r="A30" s="10">
        <v>25</v>
      </c>
      <c r="B30" s="129">
        <v>-84842</v>
      </c>
      <c r="C30" s="11">
        <v>-84052</v>
      </c>
      <c r="D30" s="25">
        <f t="shared" si="0"/>
        <v>790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-1796916</v>
      </c>
      <c r="C37" s="11">
        <f>SUM(C6:C36)</f>
        <v>-1778260</v>
      </c>
      <c r="D37" s="25">
        <f>SUM(D6:D36)</f>
        <v>18656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39364.159999999996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37312</v>
      </c>
      <c r="C41" s="48"/>
      <c r="D41" s="138">
        <f>+D40+D39</f>
        <v>37144.159999999996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37312</v>
      </c>
      <c r="B46" s="32"/>
      <c r="C46" s="32"/>
      <c r="D46" s="349">
        <f>+D37</f>
        <v>18656</v>
      </c>
    </row>
    <row r="47" spans="1:4" x14ac:dyDescent="0.2">
      <c r="A47" s="32"/>
      <c r="B47" s="32"/>
      <c r="C47" s="32"/>
      <c r="D47" s="14">
        <f>+D46+D45</f>
        <v>104688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1" sqref="C3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">
      <c r="A29" s="10">
        <v>24</v>
      </c>
      <c r="B29" s="11">
        <v>37826</v>
      </c>
      <c r="C29" s="11">
        <v>40100</v>
      </c>
      <c r="D29" s="25">
        <f t="shared" si="0"/>
        <v>2274</v>
      </c>
    </row>
    <row r="30" spans="1:4" x14ac:dyDescent="0.2">
      <c r="A30" s="10">
        <v>25</v>
      </c>
      <c r="B30" s="11">
        <v>35219</v>
      </c>
      <c r="C30" s="11">
        <v>37633</v>
      </c>
      <c r="D30" s="25">
        <f t="shared" si="0"/>
        <v>2414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907462</v>
      </c>
      <c r="C37" s="11">
        <f>SUM(C6:C36)</f>
        <v>941086</v>
      </c>
      <c r="D37" s="25">
        <f>SUM(D6:D36)</f>
        <v>33624</v>
      </c>
    </row>
    <row r="38" spans="1:4" x14ac:dyDescent="0.2">
      <c r="A38" s="26"/>
      <c r="B38" s="31"/>
      <c r="C38" s="14"/>
      <c r="D38" s="326">
        <f>+summary!G5</f>
        <v>2.11</v>
      </c>
    </row>
    <row r="39" spans="1:4" x14ac:dyDescent="0.2">
      <c r="D39" s="138">
        <f>+D38*D37</f>
        <v>70946.64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37312</v>
      </c>
      <c r="C41" s="48"/>
      <c r="D41" s="138">
        <f>+D40+D39</f>
        <v>171862.64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37312</v>
      </c>
      <c r="B46" s="32"/>
      <c r="C46" s="32"/>
      <c r="D46" s="349">
        <f>+D37</f>
        <v>33624</v>
      </c>
    </row>
    <row r="47" spans="1:4" x14ac:dyDescent="0.2">
      <c r="A47" s="32"/>
      <c r="B47" s="32"/>
      <c r="C47" s="32"/>
      <c r="D47" s="14">
        <f>+D46+D45</f>
        <v>95856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29" sqref="C2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301970</v>
      </c>
      <c r="C27" s="11">
        <v>298848</v>
      </c>
      <c r="D27" s="11"/>
      <c r="E27" s="11">
        <v>4782</v>
      </c>
      <c r="F27" s="11">
        <v>40357</v>
      </c>
      <c r="G27" s="11">
        <v>41168</v>
      </c>
      <c r="H27" s="11">
        <v>97760</v>
      </c>
      <c r="I27" s="11">
        <v>97631</v>
      </c>
      <c r="J27" s="11">
        <f t="shared" si="0"/>
        <v>2342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304070</v>
      </c>
      <c r="C28" s="11">
        <v>300932</v>
      </c>
      <c r="D28" s="11"/>
      <c r="E28" s="11"/>
      <c r="F28" s="11">
        <v>40471</v>
      </c>
      <c r="G28" s="11">
        <v>41168</v>
      </c>
      <c r="H28" s="11">
        <v>113314</v>
      </c>
      <c r="I28" s="11">
        <v>112600</v>
      </c>
      <c r="J28" s="11">
        <f t="shared" si="0"/>
        <v>-3155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7653286</v>
      </c>
      <c r="C35" s="11">
        <f t="shared" ref="C35:I35" si="3">SUM(C4:C34)</f>
        <v>7673676</v>
      </c>
      <c r="D35" s="11">
        <f t="shared" si="3"/>
        <v>421386</v>
      </c>
      <c r="E35" s="11">
        <f t="shared" si="3"/>
        <v>443216</v>
      </c>
      <c r="F35" s="11">
        <f t="shared" si="3"/>
        <v>1008190</v>
      </c>
      <c r="G35" s="11">
        <f t="shared" si="3"/>
        <v>1004259</v>
      </c>
      <c r="H35" s="11">
        <f t="shared" si="3"/>
        <v>3068615</v>
      </c>
      <c r="I35" s="11">
        <f t="shared" si="3"/>
        <v>3063435</v>
      </c>
      <c r="J35" s="11">
        <f>SUM(J4:J34)</f>
        <v>33109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37312</v>
      </c>
      <c r="J40" s="51">
        <f>+J38+J35</f>
        <v>33109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37312</v>
      </c>
      <c r="B47" s="32"/>
      <c r="C47" s="32"/>
      <c r="D47" s="374">
        <f>+J35*'by type_area'!G3</f>
        <v>69859.989999999991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69859.989999999991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">
      <c r="A29" s="10">
        <v>24</v>
      </c>
      <c r="B29" s="11">
        <v>43486</v>
      </c>
      <c r="C29" s="11">
        <v>41270</v>
      </c>
      <c r="D29" s="25">
        <f t="shared" si="0"/>
        <v>-2216</v>
      </c>
    </row>
    <row r="30" spans="1:4" x14ac:dyDescent="0.2">
      <c r="A30" s="10">
        <v>25</v>
      </c>
      <c r="B30" s="11">
        <v>23908</v>
      </c>
      <c r="C30" s="11">
        <v>22919</v>
      </c>
      <c r="D30" s="25">
        <f t="shared" si="0"/>
        <v>-989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1018019</v>
      </c>
      <c r="C37" s="11">
        <f>SUM(C6:C36)</f>
        <v>1017970</v>
      </c>
      <c r="D37" s="25">
        <f>SUM(D6:D36)</f>
        <v>-49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-103.39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37312</v>
      </c>
      <c r="C41" s="48"/>
      <c r="D41" s="138">
        <f>+D40+D39</f>
        <v>1422.6499999999999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37312</v>
      </c>
      <c r="B47" s="32"/>
      <c r="C47" s="32"/>
      <c r="D47" s="349">
        <f>+D37</f>
        <v>-49</v>
      </c>
    </row>
    <row r="48" spans="1:4" x14ac:dyDescent="0.2">
      <c r="A48" s="32"/>
      <c r="B48" s="32"/>
      <c r="C48" s="32"/>
      <c r="D48" s="14">
        <f>+D47+D46</f>
        <v>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C31" sqref="C3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">
      <c r="A29" s="10">
        <v>24</v>
      </c>
      <c r="B29" s="11">
        <v>-1775</v>
      </c>
      <c r="C29" s="11">
        <v>-657</v>
      </c>
      <c r="D29" s="25">
        <f t="shared" si="0"/>
        <v>1118</v>
      </c>
    </row>
    <row r="30" spans="1:15" x14ac:dyDescent="0.2">
      <c r="A30" s="10">
        <v>25</v>
      </c>
      <c r="B30" s="11">
        <v>-1682</v>
      </c>
      <c r="C30" s="11">
        <v>-657</v>
      </c>
      <c r="D30" s="25">
        <f t="shared" si="0"/>
        <v>1025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-30760</v>
      </c>
      <c r="C37" s="11">
        <f>SUM(C6:C36)</f>
        <v>-15760</v>
      </c>
      <c r="D37" s="25">
        <f>SUM(D6:D36)</f>
        <v>15000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31649.999999999996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37312</v>
      </c>
      <c r="C41" s="48"/>
      <c r="D41" s="138">
        <f>+D40+D39</f>
        <v>-261179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37312</v>
      </c>
      <c r="B49" s="32"/>
      <c r="C49" s="32"/>
      <c r="D49" s="349">
        <f>+D37</f>
        <v>15000</v>
      </c>
    </row>
    <row r="50" spans="1:4" x14ac:dyDescent="0.2">
      <c r="A50" s="32"/>
      <c r="B50" s="32"/>
      <c r="C50" s="32"/>
      <c r="D50" s="14">
        <f>+D49+D48</f>
        <v>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-50001</v>
      </c>
      <c r="C25" s="11">
        <v>-69999</v>
      </c>
      <c r="D25" s="25">
        <f t="shared" si="0"/>
        <v>-19998</v>
      </c>
    </row>
    <row r="26" spans="1:4" x14ac:dyDescent="0.2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">
      <c r="A29" s="10">
        <v>24</v>
      </c>
      <c r="B29" s="11">
        <v>-3979</v>
      </c>
      <c r="C29" s="11">
        <v>-5000</v>
      </c>
      <c r="D29" s="25">
        <f t="shared" si="0"/>
        <v>-1021</v>
      </c>
    </row>
    <row r="30" spans="1:4" x14ac:dyDescent="0.2">
      <c r="A30" s="10">
        <v>25</v>
      </c>
      <c r="B30" s="11">
        <v>-41787</v>
      </c>
      <c r="C30" s="11">
        <v>-35000</v>
      </c>
      <c r="D30" s="25">
        <f t="shared" si="0"/>
        <v>6787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-1094532</v>
      </c>
      <c r="C37" s="11">
        <f>SUM(C6:C36)</f>
        <v>-1075167</v>
      </c>
      <c r="D37" s="25">
        <f>SUM(D6:D36)</f>
        <v>19365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40860.149999999994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37312</v>
      </c>
      <c r="C41" s="48"/>
      <c r="D41" s="138">
        <f>+D40+D39</f>
        <v>64487.95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37312</v>
      </c>
      <c r="B47" s="32"/>
      <c r="C47" s="32"/>
      <c r="D47" s="349">
        <f>+D37</f>
        <v>19365</v>
      </c>
    </row>
    <row r="48" spans="1:4" x14ac:dyDescent="0.2">
      <c r="A48" s="32"/>
      <c r="B48" s="32"/>
      <c r="C48" s="32"/>
      <c r="D48" s="14">
        <f>+D47+D46</f>
        <v>34307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C5" sqref="C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-3150</v>
      </c>
      <c r="D5" s="90">
        <f>+C5-B5</f>
        <v>-3147</v>
      </c>
      <c r="E5" s="275"/>
      <c r="F5" s="273"/>
    </row>
    <row r="6" spans="1:13" x14ac:dyDescent="0.2">
      <c r="A6" s="87">
        <v>500046</v>
      </c>
      <c r="B6" s="90">
        <f>-9696-291</f>
        <v>-9987</v>
      </c>
      <c r="C6" s="90"/>
      <c r="D6" s="90">
        <f t="shared" ref="D6:D11" si="0">+C6-B6</f>
        <v>9987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-20262-601</f>
        <v>-20863</v>
      </c>
      <c r="C8" s="90">
        <v>-42800</v>
      </c>
      <c r="D8" s="90">
        <f t="shared" si="0"/>
        <v>-21937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-15097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2.11</v>
      </c>
      <c r="E13" s="277"/>
      <c r="F13" s="273"/>
    </row>
    <row r="14" spans="1:13" x14ac:dyDescent="0.2">
      <c r="A14" s="87"/>
      <c r="B14" s="88"/>
      <c r="C14" s="88"/>
      <c r="D14" s="96">
        <f>+D13*D12</f>
        <v>-31854.67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37312</v>
      </c>
      <c r="B18" s="88"/>
      <c r="C18" s="88"/>
      <c r="D18" s="318">
        <f>+D16+D14</f>
        <v>-579115.46000000008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-15097</v>
      </c>
    </row>
    <row r="24" spans="1:7" x14ac:dyDescent="0.2">
      <c r="A24" s="49">
        <f>+A18</f>
        <v>37312</v>
      </c>
      <c r="B24" s="32"/>
      <c r="C24" s="32"/>
      <c r="D24" s="14">
        <f>+D23+D22</f>
        <v>-56520</v>
      </c>
      <c r="E24" s="344">
        <f>+D18/D24</f>
        <v>10.246204175513094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31" sqref="C3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">
      <c r="A29" s="10">
        <v>24</v>
      </c>
      <c r="B29" s="11">
        <v>-67841</v>
      </c>
      <c r="C29" s="11">
        <v>-71522</v>
      </c>
      <c r="D29" s="25">
        <f t="shared" si="0"/>
        <v>-3681</v>
      </c>
    </row>
    <row r="30" spans="1:4" x14ac:dyDescent="0.2">
      <c r="A30" s="10">
        <v>25</v>
      </c>
      <c r="B30" s="129">
        <v>-72792</v>
      </c>
      <c r="C30" s="11">
        <v>-77040</v>
      </c>
      <c r="D30" s="25">
        <f t="shared" si="0"/>
        <v>-4248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-1331617</v>
      </c>
      <c r="C37" s="11">
        <f>SUM(C6:C36)</f>
        <v>-1347554</v>
      </c>
      <c r="D37" s="25">
        <f>SUM(D6:D36)</f>
        <v>-15937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37312</v>
      </c>
      <c r="C41" s="48"/>
      <c r="D41" s="25">
        <f>+D40+D37</f>
        <v>3655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37312</v>
      </c>
      <c r="B46" s="32"/>
      <c r="C46" s="32"/>
      <c r="D46" s="374">
        <f>+D37*'by type_area'!G4</f>
        <v>-33627.07</v>
      </c>
    </row>
    <row r="47" spans="1:4" x14ac:dyDescent="0.2">
      <c r="A47" s="32"/>
      <c r="B47" s="32"/>
      <c r="C47" s="32"/>
      <c r="D47" s="200">
        <f>+D46+D45</f>
        <v>153005.93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G55" sqref="G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-115</v>
      </c>
      <c r="C29" s="11">
        <v>-115</v>
      </c>
      <c r="D29" s="11"/>
      <c r="E29" s="11"/>
      <c r="F29" s="11">
        <v>-567</v>
      </c>
      <c r="G29" s="11">
        <v>-1278</v>
      </c>
      <c r="H29" s="11"/>
      <c r="I29" s="11"/>
      <c r="J29" s="11">
        <f t="shared" si="0"/>
        <v>-711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-246</v>
      </c>
      <c r="C30" s="11">
        <v>-115</v>
      </c>
      <c r="D30" s="11"/>
      <c r="E30" s="11"/>
      <c r="F30" s="11">
        <v>-955</v>
      </c>
      <c r="G30" s="11">
        <v>-1278</v>
      </c>
      <c r="H30" s="11"/>
      <c r="I30" s="11"/>
      <c r="J30" s="11">
        <f t="shared" si="0"/>
        <v>-192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-3587</v>
      </c>
      <c r="C37" s="11">
        <f t="shared" ref="C37:I37" si="1">SUM(C6:C36)</f>
        <v>-3519</v>
      </c>
      <c r="D37" s="11">
        <f t="shared" si="1"/>
        <v>0</v>
      </c>
      <c r="E37" s="11">
        <f t="shared" si="1"/>
        <v>0</v>
      </c>
      <c r="F37" s="11">
        <f t="shared" si="1"/>
        <v>-25411</v>
      </c>
      <c r="G37" s="11">
        <f t="shared" si="1"/>
        <v>-21618</v>
      </c>
      <c r="H37" s="11">
        <f t="shared" si="1"/>
        <v>0</v>
      </c>
      <c r="I37" s="11">
        <f t="shared" si="1"/>
        <v>0</v>
      </c>
      <c r="J37" s="11">
        <f>SUM(J6:J36)</f>
        <v>3861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8146.7099999999991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37312</v>
      </c>
      <c r="J43" s="319">
        <f>+J41+J39</f>
        <v>-29043.059999999998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37312</v>
      </c>
      <c r="B49" s="32"/>
      <c r="C49" s="32"/>
      <c r="D49" s="349">
        <f>+J37</f>
        <v>3861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-366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K28" workbookViewId="0">
      <selection activeCell="K30" sqref="K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>
        <v>-688</v>
      </c>
      <c r="M29" s="11">
        <v>-658</v>
      </c>
      <c r="N29" s="11">
        <f t="shared" si="0"/>
        <v>30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>
        <v>-681</v>
      </c>
      <c r="M30" s="11">
        <v>-648</v>
      </c>
      <c r="N30" s="11">
        <f t="shared" si="0"/>
        <v>33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-18503</v>
      </c>
      <c r="M37" s="11">
        <f>SUM(M6:M36)</f>
        <v>-20258</v>
      </c>
      <c r="N37" s="11">
        <f t="shared" si="1"/>
        <v>-1755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-3703.0499999999997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37312</v>
      </c>
      <c r="N43" s="319">
        <f>+N41+N39</f>
        <v>21483.360000000001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37312</v>
      </c>
      <c r="B49" s="32"/>
      <c r="C49" s="32"/>
      <c r="D49" s="349">
        <f>+N37</f>
        <v>-1755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6800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">
      <c r="A29" s="10">
        <v>24</v>
      </c>
      <c r="B29" s="11">
        <v>258</v>
      </c>
      <c r="C29" s="11">
        <v>71</v>
      </c>
      <c r="D29" s="25">
        <f t="shared" si="0"/>
        <v>-187</v>
      </c>
    </row>
    <row r="30" spans="1:4" x14ac:dyDescent="0.2">
      <c r="A30" s="10">
        <v>25</v>
      </c>
      <c r="B30" s="11">
        <v>249</v>
      </c>
      <c r="C30" s="11">
        <v>65</v>
      </c>
      <c r="D30" s="25">
        <f t="shared" si="0"/>
        <v>-184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4847</v>
      </c>
      <c r="C37" s="11">
        <f>SUM(C6:C36)</f>
        <v>3586</v>
      </c>
      <c r="D37" s="25">
        <f>SUM(D6:D36)</f>
        <v>-1261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-2660.71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37312</v>
      </c>
      <c r="C41" s="48"/>
      <c r="D41" s="138">
        <f>+D40+D39</f>
        <v>171932.43000000002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37312</v>
      </c>
      <c r="B47" s="32"/>
      <c r="C47" s="32"/>
      <c r="D47" s="349">
        <f>+D37</f>
        <v>-1261</v>
      </c>
    </row>
    <row r="48" spans="1:4" x14ac:dyDescent="0.2">
      <c r="A48" s="32"/>
      <c r="B48" s="32"/>
      <c r="C48" s="32"/>
      <c r="D48" s="14">
        <f>+D47+D46</f>
        <v>75129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">
      <c r="A29" s="10">
        <v>24</v>
      </c>
      <c r="B29" s="11"/>
      <c r="C29" s="11">
        <v>482</v>
      </c>
      <c r="D29" s="25">
        <f t="shared" si="0"/>
        <v>482</v>
      </c>
    </row>
    <row r="30" spans="1:4" x14ac:dyDescent="0.2">
      <c r="A30" s="10">
        <v>25</v>
      </c>
      <c r="B30" s="11">
        <v>3</v>
      </c>
      <c r="C30" s="11">
        <v>482</v>
      </c>
      <c r="D30" s="25">
        <f t="shared" si="0"/>
        <v>479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8750</v>
      </c>
      <c r="C37" s="11">
        <f>SUM(C6:C36)</f>
        <v>7822</v>
      </c>
      <c r="D37" s="25">
        <f>SUM(D6:D36)</f>
        <v>-928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-1958.08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37312</v>
      </c>
      <c r="C41" s="48"/>
      <c r="D41" s="138">
        <f>+D40+D39</f>
        <v>-1958.08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37312</v>
      </c>
      <c r="B47" s="32"/>
      <c r="C47" s="32"/>
      <c r="D47" s="349">
        <f>+D37</f>
        <v>-928</v>
      </c>
    </row>
    <row r="48" spans="1:4" x14ac:dyDescent="0.2">
      <c r="A48" s="32"/>
      <c r="B48" s="32"/>
      <c r="C48" s="32"/>
      <c r="D48" s="14">
        <f>+D47+D46</f>
        <v>-928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6" workbookViewId="0">
      <selection activeCell="E30" sqref="E30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>
        <v>-20705</v>
      </c>
      <c r="C28" s="11">
        <v>-10000</v>
      </c>
      <c r="D28" s="11">
        <v>-32992</v>
      </c>
      <c r="E28" s="11">
        <v>-32428</v>
      </c>
      <c r="F28" s="11">
        <f t="shared" si="0"/>
        <v>11269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>
        <v>-26268</v>
      </c>
      <c r="C29" s="11">
        <v>-10000</v>
      </c>
      <c r="D29" s="11">
        <v>-48027</v>
      </c>
      <c r="E29" s="11">
        <v>-47530</v>
      </c>
      <c r="F29" s="11">
        <f t="shared" si="0"/>
        <v>16765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-235208</v>
      </c>
      <c r="C36" s="44">
        <f>SUM(C5:C35)</f>
        <v>-210000</v>
      </c>
      <c r="D36" s="43">
        <f>SUM(D5:D35)</f>
        <v>-1031289</v>
      </c>
      <c r="E36" s="43">
        <f>SUM(E5:E35)</f>
        <v>-1027657</v>
      </c>
      <c r="F36" s="11">
        <f>SUM(F5:F35)</f>
        <v>28840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2.11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60852.399999999994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37312</v>
      </c>
      <c r="B43" s="32"/>
      <c r="C43" s="106"/>
      <c r="D43" s="106"/>
      <c r="E43" s="106"/>
      <c r="F43" s="24">
        <f>+F42+F36</f>
        <v>63520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37312</v>
      </c>
      <c r="B49" s="32"/>
      <c r="C49" s="32"/>
      <c r="D49" s="76">
        <f>+F36</f>
        <v>28840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100768.96000000001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>
        <v>-2000</v>
      </c>
      <c r="F28" s="24">
        <f t="shared" si="0"/>
        <v>-1575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-2155</v>
      </c>
      <c r="C29" s="24">
        <v>-1736</v>
      </c>
      <c r="D29" s="24">
        <v>-630</v>
      </c>
      <c r="E29" s="24">
        <v>-2000</v>
      </c>
      <c r="F29" s="24">
        <f t="shared" si="0"/>
        <v>-951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-2291</v>
      </c>
      <c r="C30" s="24">
        <v>-1736</v>
      </c>
      <c r="D30" s="24">
        <v>-2726</v>
      </c>
      <c r="E30" s="24">
        <v>-2000</v>
      </c>
      <c r="F30" s="24">
        <f t="shared" si="0"/>
        <v>1281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-53750</v>
      </c>
      <c r="C37" s="24">
        <f>SUM(C6:C36)</f>
        <v>-53215</v>
      </c>
      <c r="D37" s="24">
        <f>SUM(D6:D36)</f>
        <v>-43722</v>
      </c>
      <c r="E37" s="24">
        <f>SUM(E6:E36)</f>
        <v>-50000</v>
      </c>
      <c r="F37" s="24">
        <f>SUM(F6:F36)</f>
        <v>-5743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-12117.73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37312</v>
      </c>
      <c r="C41" s="319"/>
      <c r="D41" s="262"/>
      <c r="E41" s="262"/>
      <c r="F41" s="104">
        <f>+F40+F39</f>
        <v>-128914.52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37312</v>
      </c>
      <c r="B47" s="32"/>
      <c r="C47" s="32"/>
      <c r="D47" s="349">
        <f>+F37</f>
        <v>-5743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-38710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18" workbookViewId="0">
      <selection activeCell="E31" sqref="E31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314</v>
      </c>
      <c r="D5" s="121" t="s">
        <v>19</v>
      </c>
      <c r="E5" s="121" t="s">
        <v>314</v>
      </c>
      <c r="F5" s="121" t="s">
        <v>19</v>
      </c>
      <c r="G5" s="121" t="s">
        <v>314</v>
      </c>
      <c r="H5" s="121" t="s">
        <v>19</v>
      </c>
      <c r="I5" s="121" t="s">
        <v>314</v>
      </c>
      <c r="J5" s="121" t="s">
        <v>19</v>
      </c>
      <c r="K5" s="121" t="s">
        <v>314</v>
      </c>
      <c r="L5" s="121" t="s">
        <v>19</v>
      </c>
      <c r="M5" s="121" t="s">
        <v>314</v>
      </c>
      <c r="N5" s="121" t="s">
        <v>19</v>
      </c>
      <c r="O5" s="121" t="s">
        <v>314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-2198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73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-2380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255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-2788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672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>
        <v>-3897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1772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>
        <v>-3429</v>
      </c>
      <c r="C26" s="24">
        <v>-2100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1304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>
        <v>-3624</v>
      </c>
      <c r="C27" s="24">
        <v>-2100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1499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>
        <v>-3490</v>
      </c>
      <c r="C28" s="24">
        <v>-2100</v>
      </c>
      <c r="D28" s="24"/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1365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>
        <v>-3596</v>
      </c>
      <c r="C29" s="24">
        <v>-2100</v>
      </c>
      <c r="D29" s="24"/>
      <c r="E29" s="24">
        <v>-21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1475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>
        <v>-3724</v>
      </c>
      <c r="C30" s="24">
        <v>-2100</v>
      </c>
      <c r="D30" s="24"/>
      <c r="E30" s="24">
        <v>-20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1604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-73235</v>
      </c>
      <c r="C37" s="24">
        <f t="shared" si="1"/>
        <v>-52500</v>
      </c>
      <c r="D37" s="24">
        <f t="shared" si="1"/>
        <v>-10</v>
      </c>
      <c r="E37" s="24">
        <f t="shared" si="1"/>
        <v>-616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20129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42472.189999999995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37312</v>
      </c>
      <c r="E41" s="14"/>
      <c r="O41" s="441"/>
      <c r="P41" s="104">
        <f>+P40+P39</f>
        <v>132239.47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37312</v>
      </c>
      <c r="B47" s="32"/>
      <c r="C47" s="32"/>
      <c r="D47" s="349">
        <f>+P37</f>
        <v>20129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57170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2.3130920062970088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">
      <c r="A29" s="10">
        <v>24</v>
      </c>
      <c r="B29" s="11">
        <v>-15127</v>
      </c>
      <c r="C29" s="11">
        <v>-14000</v>
      </c>
      <c r="D29" s="25">
        <f t="shared" si="0"/>
        <v>1127</v>
      </c>
    </row>
    <row r="30" spans="1:4" x14ac:dyDescent="0.2">
      <c r="A30" s="10">
        <v>25</v>
      </c>
      <c r="B30" s="11">
        <v>-15049</v>
      </c>
      <c r="C30" s="11">
        <v>-14000</v>
      </c>
      <c r="D30" s="25">
        <f t="shared" si="0"/>
        <v>1049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-458276</v>
      </c>
      <c r="C37" s="11">
        <f>SUM(C6:C36)</f>
        <v>-453819</v>
      </c>
      <c r="D37" s="25">
        <f>SUM(D6:D36)</f>
        <v>4457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9404.2699999999986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37312</v>
      </c>
      <c r="C41" s="48"/>
      <c r="D41" s="138">
        <f>+D40+D39</f>
        <v>-17774.900000000001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37312</v>
      </c>
      <c r="B47" s="32"/>
      <c r="C47" s="32"/>
      <c r="D47" s="349">
        <f>+D37</f>
        <v>4457</v>
      </c>
    </row>
    <row r="48" spans="1:4" x14ac:dyDescent="0.2">
      <c r="A48" s="32"/>
      <c r="B48" s="32"/>
      <c r="C48" s="32"/>
      <c r="D48" s="14">
        <f>+D47+D46</f>
        <v>4445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2.11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278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2.11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138725</v>
      </c>
      <c r="C26" s="11">
        <v>138233</v>
      </c>
      <c r="D26" s="25">
        <f t="shared" si="0"/>
        <v>-492</v>
      </c>
    </row>
    <row r="27" spans="1:4" x14ac:dyDescent="0.2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">
      <c r="A30" s="10">
        <v>24</v>
      </c>
      <c r="B30" s="11">
        <v>167315</v>
      </c>
      <c r="C30" s="11">
        <v>170043</v>
      </c>
      <c r="D30" s="25">
        <f t="shared" si="0"/>
        <v>2728</v>
      </c>
    </row>
    <row r="31" spans="1:4" x14ac:dyDescent="0.2">
      <c r="A31" s="10">
        <v>25</v>
      </c>
      <c r="B31" s="11">
        <v>165086</v>
      </c>
      <c r="C31" s="11">
        <v>165263</v>
      </c>
      <c r="D31" s="25">
        <f t="shared" si="0"/>
        <v>177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3728866</v>
      </c>
      <c r="C38" s="11">
        <f>SUM(C7:C37)</f>
        <v>3729505</v>
      </c>
      <c r="D38" s="11">
        <f>SUM(D7:D37)</f>
        <v>639</v>
      </c>
    </row>
    <row r="39" spans="1:8" x14ac:dyDescent="0.2">
      <c r="A39" s="26"/>
      <c r="C39" s="14"/>
      <c r="D39" s="106">
        <f>+summary!G3</f>
        <v>2.11</v>
      </c>
    </row>
    <row r="40" spans="1:8" x14ac:dyDescent="0.2">
      <c r="D40" s="138">
        <f>+D39*D38</f>
        <v>1348.29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37312</v>
      </c>
      <c r="D42" s="319">
        <f>+D41+D40</f>
        <v>-60255.07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37312</v>
      </c>
      <c r="B48" s="32"/>
      <c r="C48" s="32"/>
      <c r="D48" s="349">
        <f>+D38</f>
        <v>639</v>
      </c>
    </row>
    <row r="49" spans="1:4" x14ac:dyDescent="0.2">
      <c r="A49" s="32"/>
      <c r="B49" s="32"/>
      <c r="C49" s="32"/>
      <c r="D49" s="14">
        <f>+D48+D47</f>
        <v>-28978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9" sqref="B2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">
      <c r="A27" s="10">
        <v>24</v>
      </c>
      <c r="B27" s="129">
        <v>-184779</v>
      </c>
      <c r="C27" s="11">
        <v>-184230</v>
      </c>
      <c r="D27" s="25">
        <f t="shared" si="0"/>
        <v>549</v>
      </c>
    </row>
    <row r="28" spans="1:4" x14ac:dyDescent="0.2">
      <c r="A28" s="10">
        <v>25</v>
      </c>
      <c r="B28" s="129">
        <v>-184969</v>
      </c>
      <c r="C28" s="11">
        <v>-181930</v>
      </c>
      <c r="D28" s="25">
        <f t="shared" si="0"/>
        <v>3039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-5845207</v>
      </c>
      <c r="C35" s="11">
        <f>SUM(C4:C34)</f>
        <v>-5825284</v>
      </c>
      <c r="D35" s="11">
        <f>SUM(D4:D34)</f>
        <v>19923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37312</v>
      </c>
      <c r="D40" s="51">
        <f>+D38+D35</f>
        <v>48645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37312</v>
      </c>
      <c r="B46" s="32"/>
      <c r="C46" s="32"/>
      <c r="D46" s="374">
        <f>+D35*'by type_area'!G4</f>
        <v>42037.53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-101631.47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">
      <c r="A27" s="10">
        <v>24</v>
      </c>
      <c r="B27" s="11">
        <v>-499408</v>
      </c>
      <c r="C27" s="11">
        <v>-498282</v>
      </c>
      <c r="D27" s="11"/>
      <c r="E27" s="11"/>
      <c r="F27" s="25">
        <f t="shared" si="0"/>
        <v>1126</v>
      </c>
      <c r="H27" s="10"/>
      <c r="I27" s="11"/>
      <c r="K27" s="25"/>
    </row>
    <row r="28" spans="1:11" x14ac:dyDescent="0.2">
      <c r="A28" s="10">
        <v>25</v>
      </c>
      <c r="B28" s="11">
        <v>-478849</v>
      </c>
      <c r="C28" s="11">
        <v>-472622</v>
      </c>
      <c r="D28" s="11"/>
      <c r="E28" s="11"/>
      <c r="F28" s="25">
        <f t="shared" si="0"/>
        <v>6227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-14756749</v>
      </c>
      <c r="C35" s="11">
        <f>SUM(C4:C34)</f>
        <v>-14773646</v>
      </c>
      <c r="D35" s="11">
        <f>SUM(D4:D34)</f>
        <v>0</v>
      </c>
      <c r="E35" s="11">
        <f>SUM(E4:E34)</f>
        <v>0</v>
      </c>
      <c r="F35" s="11">
        <f>SUM(F4:F34)</f>
        <v>-16897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37312</v>
      </c>
      <c r="D40" s="246"/>
      <c r="E40" s="246"/>
      <c r="F40" s="51">
        <f>+F38+F35</f>
        <v>77115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37312</v>
      </c>
      <c r="B46" s="32"/>
      <c r="C46" s="32"/>
      <c r="D46" s="472">
        <f>+F35*'by type_area'!G4</f>
        <v>-35652.67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274615.33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" workbookViewId="0">
      <selection activeCell="E29" sqref="E2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-44723</v>
      </c>
      <c r="C22" s="11">
        <v>-6327</v>
      </c>
      <c r="D22" s="11"/>
      <c r="E22" s="11">
        <v>-37867</v>
      </c>
      <c r="F22" s="11"/>
      <c r="G22" s="11"/>
      <c r="H22" s="11">
        <f t="shared" si="0"/>
        <v>529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-79601</v>
      </c>
      <c r="C23" s="11">
        <v>217</v>
      </c>
      <c r="D23" s="11"/>
      <c r="E23" s="11">
        <v>-78867</v>
      </c>
      <c r="F23" s="11"/>
      <c r="G23" s="11"/>
      <c r="H23" s="11">
        <f t="shared" si="0"/>
        <v>951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-84593</v>
      </c>
      <c r="C24" s="11">
        <v>-39260</v>
      </c>
      <c r="D24" s="11"/>
      <c r="E24" s="11">
        <v>-44867</v>
      </c>
      <c r="F24" s="11"/>
      <c r="G24" s="11"/>
      <c r="H24" s="11">
        <f t="shared" si="0"/>
        <v>466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-38903</v>
      </c>
      <c r="C25" s="11">
        <v>-16110</v>
      </c>
      <c r="D25" s="11"/>
      <c r="E25" s="11">
        <v>-21903</v>
      </c>
      <c r="F25" s="11"/>
      <c r="G25" s="11"/>
      <c r="H25" s="11">
        <f t="shared" si="0"/>
        <v>890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-156375</v>
      </c>
      <c r="C26" s="11">
        <v>-60639</v>
      </c>
      <c r="D26" s="11"/>
      <c r="E26" s="11">
        <v>-92786</v>
      </c>
      <c r="F26" s="11"/>
      <c r="G26" s="11"/>
      <c r="H26" s="11">
        <f t="shared" si="0"/>
        <v>2950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>
        <v>-148949</v>
      </c>
      <c r="C27" s="11">
        <v>-60856</v>
      </c>
      <c r="D27" s="11"/>
      <c r="E27" s="11">
        <v>-85767</v>
      </c>
      <c r="F27" s="11"/>
      <c r="G27" s="11"/>
      <c r="H27" s="11">
        <f t="shared" si="0"/>
        <v>2326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>
        <v>-148600</v>
      </c>
      <c r="C28" s="11">
        <v>-60856</v>
      </c>
      <c r="D28" s="11"/>
      <c r="E28" s="11">
        <v>-85767</v>
      </c>
      <c r="F28" s="11"/>
      <c r="G28" s="11"/>
      <c r="H28" s="11">
        <f t="shared" si="0"/>
        <v>1977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-1554391</v>
      </c>
      <c r="C35" s="44">
        <f t="shared" si="3"/>
        <v>-428673</v>
      </c>
      <c r="D35" s="11">
        <f t="shared" si="3"/>
        <v>0</v>
      </c>
      <c r="E35" s="44">
        <f t="shared" si="3"/>
        <v>-1112558</v>
      </c>
      <c r="F35" s="11">
        <f t="shared" si="3"/>
        <v>0</v>
      </c>
      <c r="G35" s="11">
        <f t="shared" si="3"/>
        <v>0</v>
      </c>
      <c r="H35" s="11">
        <f t="shared" si="3"/>
        <v>13160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27767.599999999999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37312</v>
      </c>
      <c r="F39" s="471"/>
      <c r="G39" s="471"/>
      <c r="H39" s="319">
        <f>+H38+H37</f>
        <v>37634.6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37312</v>
      </c>
      <c r="E47" s="457">
        <f>+H35</f>
        <v>13160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45636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-337074</v>
      </c>
      <c r="E28" s="11">
        <v>-332515</v>
      </c>
      <c r="F28" s="11"/>
      <c r="G28" s="11"/>
      <c r="H28" s="24">
        <f t="shared" si="0"/>
        <v>4559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-331812</v>
      </c>
      <c r="E29" s="11">
        <v>-329242</v>
      </c>
      <c r="F29" s="11"/>
      <c r="G29" s="11"/>
      <c r="H29" s="24">
        <f t="shared" si="0"/>
        <v>2570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-8225738</v>
      </c>
      <c r="E36" s="11">
        <f t="shared" si="15"/>
        <v>-8301225</v>
      </c>
      <c r="F36" s="11">
        <f t="shared" si="15"/>
        <v>0</v>
      </c>
      <c r="G36" s="11">
        <f t="shared" si="15"/>
        <v>0</v>
      </c>
      <c r="H36" s="11">
        <f t="shared" si="15"/>
        <v>-75487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-75487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37312</v>
      </c>
      <c r="B39" s="2" t="s">
        <v>45</v>
      </c>
      <c r="C39" s="131">
        <f>+C38+C37</f>
        <v>64269</v>
      </c>
      <c r="D39" s="252"/>
      <c r="E39" s="131">
        <f>+E38+E37</f>
        <v>-60879</v>
      </c>
      <c r="F39" s="252"/>
      <c r="G39" s="131"/>
      <c r="H39" s="131">
        <f>+H38+H36</f>
        <v>3390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37312</v>
      </c>
      <c r="B45" s="32"/>
      <c r="C45" s="47">
        <f>+C37*summary!G4</f>
        <v>0</v>
      </c>
      <c r="D45" s="205"/>
      <c r="E45" s="376">
        <f>+E37*summary!G3</f>
        <v>-159277.56999999998</v>
      </c>
      <c r="F45" s="47">
        <f>+E45+C45</f>
        <v>-159277.56999999998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55" sqref="C5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37312</v>
      </c>
      <c r="I23" s="11">
        <f>+B39</f>
        <v>4627484</v>
      </c>
      <c r="J23" s="11">
        <f>+C39</f>
        <v>4661904</v>
      </c>
      <c r="K23" s="11">
        <f>+D39</f>
        <v>398629</v>
      </c>
      <c r="L23" s="11">
        <f>+E39</f>
        <v>400698</v>
      </c>
      <c r="M23" s="42">
        <f>+J23-I23+L23-K23</f>
        <v>36489</v>
      </c>
      <c r="N23" s="102">
        <f>+summary!G3</f>
        <v>2.11</v>
      </c>
      <c r="O23" s="496">
        <f>+N23*M23</f>
        <v>76991.789999999994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126289</v>
      </c>
      <c r="N24" s="102"/>
      <c r="O24" s="102">
        <f>SUM(O9:O23)</f>
        <v>645108.13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184984</v>
      </c>
      <c r="C31" s="150">
        <v>187342</v>
      </c>
      <c r="D31" s="150">
        <v>20988</v>
      </c>
      <c r="E31" s="150">
        <v>21555</v>
      </c>
      <c r="F31" s="11">
        <f t="shared" si="5"/>
        <v>2925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190204</v>
      </c>
      <c r="C32" s="150">
        <v>190349</v>
      </c>
      <c r="D32" s="150">
        <v>19796</v>
      </c>
      <c r="E32" s="150">
        <v>18547</v>
      </c>
      <c r="F32" s="11">
        <f t="shared" si="5"/>
        <v>-1104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4627484</v>
      </c>
      <c r="C39" s="150">
        <f>SUM(C8:C38)</f>
        <v>4661904</v>
      </c>
      <c r="D39" s="150">
        <f>SUM(D8:D38)</f>
        <v>398629</v>
      </c>
      <c r="E39" s="150">
        <f>SUM(E8:E38)</f>
        <v>400698</v>
      </c>
      <c r="F39" s="11">
        <f t="shared" si="5"/>
        <v>36489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37312</v>
      </c>
      <c r="B45" s="32"/>
      <c r="C45" s="106"/>
      <c r="D45" s="106"/>
      <c r="E45" s="106"/>
      <c r="F45" s="24">
        <f>+F44+F39</f>
        <v>66561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37312</v>
      </c>
      <c r="B51" s="32"/>
      <c r="C51" s="32"/>
      <c r="D51" s="349">
        <f>+F39*summary!G3</f>
        <v>76991.789999999994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486245.79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7.3052656961283633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2002-02-26T22:48:52Z</cp:lastPrinted>
  <dcterms:created xsi:type="dcterms:W3CDTF">2000-03-28T16:52:23Z</dcterms:created>
  <dcterms:modified xsi:type="dcterms:W3CDTF">2023-09-14T17:11:20Z</dcterms:modified>
</cp:coreProperties>
</file>