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7A5390-303D-45A2-B29D-64DE4AC08CF9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8" l="1"/>
  <c r="D5" i="8"/>
  <c r="B6" i="8"/>
  <c r="D6" i="8"/>
  <c r="B7" i="8"/>
  <c r="D7" i="8"/>
  <c r="B8" i="8"/>
  <c r="D8" i="8"/>
  <c r="B9" i="8"/>
  <c r="D9" i="8"/>
  <c r="D10" i="8"/>
  <c r="D11" i="8"/>
  <c r="B12" i="8"/>
  <c r="D12" i="8"/>
  <c r="B13" i="8"/>
  <c r="D13" i="8"/>
  <c r="D14" i="8"/>
  <c r="D15" i="8"/>
  <c r="B16" i="8"/>
  <c r="D16" i="8"/>
  <c r="B17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2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7" i="67"/>
  <c r="H38" i="67"/>
  <c r="A43" i="67"/>
  <c r="D43" i="67"/>
  <c r="A44" i="67"/>
  <c r="D44" i="67"/>
  <c r="F44" i="67"/>
  <c r="D45" i="67"/>
  <c r="F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1" i="93"/>
  <c r="N43" i="93"/>
  <c r="A48" i="93"/>
  <c r="D48" i="93"/>
  <c r="A49" i="93"/>
  <c r="D49" i="93"/>
  <c r="D50" i="93"/>
  <c r="B5" i="64"/>
  <c r="D5" i="64"/>
  <c r="B6" i="64"/>
  <c r="D6" i="64"/>
  <c r="B7" i="64"/>
  <c r="D7" i="64"/>
  <c r="D8" i="64"/>
  <c r="B9" i="64"/>
  <c r="D9" i="64"/>
  <c r="D10" i="64"/>
  <c r="B11" i="64"/>
  <c r="D11" i="64"/>
  <c r="D12" i="64"/>
  <c r="B13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P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38" i="2"/>
  <c r="J40" i="2"/>
  <c r="A46" i="2"/>
  <c r="D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<sst xmlns="http://schemas.openxmlformats.org/spreadsheetml/2006/main" count="1013" uniqueCount="315">
  <si>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</si>
  <si>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</si>
  <si>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</si>
  <si>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</si>
  <si>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</si>
  <si>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</si>
  <si>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</si>
  <si>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</si>
  <si>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</si>
  <si>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</si>
  <si>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</si>
  <si>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</si>
  <si>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</si>
  <si>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</si>
  <si>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</si>
  <si>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</si>
  <si>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</si>
  <si>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</si>
  <si>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</si>
  <si>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</si>
  <si>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</si>
  <si>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</si>
  <si>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</si>
  <si>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</si>
  <si>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</si>
  <si>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</si>
  <si>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</si>
  <si>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</si>
  <si>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</si>
  <si>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</si>
  <si>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</si>
  <si>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</si>
  <si>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</si>
  <si>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</si>
  <si>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</si>
  <si>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</si>
  <si>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</si>
  <si>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</si>
  <si>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</si>
  <si>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</si>
  <si>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</si>
  <si>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</si>
  <si>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</si>
  <si>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</si>
  <si>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</si>
  <si>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</si>
  <si>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</si>
  <si>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</si>
  <si>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</si>
  <si>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</si>
  <si>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</si>
  <si>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</si>
  <si>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</si>
  <si>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</si>
  <si>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</si>
  <si>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</si>
  <si>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</si>
  <si>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</si>
  <si>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</si>
  <si>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</si>
  <si>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</si>
  <si>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</si>
  <si>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</si>
  <si>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</si>
  <si>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</si>
  <si>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</si>
  <si>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</si>
  <si>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</si>
  <si>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</si>
  <si>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</si>
  <si>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</si>
  <si>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</si>
  <si>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</si>
  <si>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</si>
  <si>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</si>
  <si>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</si>
  <si>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</si>
  <si>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</si>
  <si>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</si>
  <si>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</si>
  <si>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</si>
  <si>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</si>
  <si>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</si>
  <si>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</si>
  <si>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</si>
  <si>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</si>
  <si>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</si>
  <si>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</si>
  <si>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</si>
  <si>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</si>
  <si>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</si>
  <si>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</si>
  <si>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</si>
  <si>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</si>
  <si>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</si>
  <si>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</si>
  <si>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</si>
  <si>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</si>
  <si>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</si>
  <si>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</si>
  <si>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</si>
  <si>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</si>
  <si>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</si>
  <si>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</si>
  <si>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</si>
  <si>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</si>
  <si>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</si>
  <si>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</si>
  <si>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</si>
  <si>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</si>
  <si>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</si>
  <si>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</si>
  <si>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</si>
  <si>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</si>
  <si>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</si>
  <si>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</si>
  <si>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</si>
  <si>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</si>
  <si>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</si>
  <si>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</si>
  <si>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</si>
  <si>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</si>
  <si>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</si>
  <si>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</si>
  <si>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</si>
  <si>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</si>
  <si>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</si>
  <si>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</si>
  <si>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</si>
  <si>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</si>
  <si>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</si>
  <si>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</si>
  <si>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</si>
  <si>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</si>
  <si>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</si>
  <si>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</si>
  <si>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</si>
  <si>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</si>
  <si>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</si>
  <si>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</si>
  <si>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</si>
  <si>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</si>
  <si>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</si>
  <si>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</si>
  <si>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</si>
  <si>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</si>
  <si>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</si>
  <si>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</si>
  <si>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</si>
  <si>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</si>
  <si>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</si>
  <si>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</si>
  <si>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</si>
  <si>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</si>
  <si>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</si>
  <si>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</si>
  <si>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</si>
  <si>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</si>
  <si>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</si>
  <si>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</si>
  <si>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</si>
  <si>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</si>
  <si>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</si>
  <si>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</si>
  <si>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</si>
  <si>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</si>
  <si>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</si>
  <si>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</si>
  <si>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</si>
  <si>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</si>
  <si>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</si>
  <si>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</si>
  <si>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</si>
  <si>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</si>
  <si>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</si>
  <si>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</si>
  <si>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</si>
  <si>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</si>
  <si>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</si>
  <si>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</si>
  <si>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</si>
  <si>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</si>
  <si>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</si>
  <si>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</si>
  <si>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</si>
  <si>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</si>
  <si>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</si>
  <si>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</si>
  <si>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</si>
  <si>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</si>
  <si>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</si>
  <si>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</si>
  <si>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</si>
  <si>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</si>
  <si>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</si>
  <si>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</si>
  <si>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</si>
  <si>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</si>
  <si>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</si>
  <si>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</si>
  <si>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</si>
  <si>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</si>
  <si>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</si>
  <si>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</si>
  <si>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</si>
  <si>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</si>
  <si>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</si>
  <si>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</si>
  <si>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</si>
  <si>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</si>
  <si>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</si>
  <si>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</si>
  <si>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</si>
  <si>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</si>
  <si>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</si>
  <si>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</si>
  <si>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</si>
  <si>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</si>
  <si>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</si>
  <si>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</si>
  <si>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</si>
  <si>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</si>
  <si>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</si>
  <si>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</si>
  <si>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</si>
  <si>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</si>
  <si>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</si>
  <si>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</si>
  <si>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</si>
  <si>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</si>
  <si>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</si>
  <si>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</si>
  <si>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</si>
  <si>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</si>
  <si>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</si>
  <si>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</si>
  <si>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</si>
  <si>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</si>
  <si>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</si>
  <si>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</si>
  <si>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</si>
  <si>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</si>
  <si>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</si>
  <si>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</si>
  <si>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</si>
  <si>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</si>
  <si>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</si>
  <si>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</si>
  <si>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</si>
  <si>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</si>
  <si>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</si>
  <si>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</si>
  <si>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</si>
  <si>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</si>
  <si>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</si>
  <si>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</si>
  <si>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</si>
  <si>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</si>
  <si>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</si>
  <si>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</si>
  <si>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</si>
  <si>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</si>
  <si>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</si>
  <si>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</si>
  <si>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</si>
  <si>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</si>
  <si>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</si>
  <si>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</si>
  <si>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</si>
  <si>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</si>
  <si>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</si>
  <si>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</si>
  <si>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</si>
  <si>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</si>
  <si>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</si>
  <si>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</si>
  <si>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</si>
  <si>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</si>
  <si>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</si>
  <si>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</si>
  <si>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</si>
  <si>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</si>
  <si>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</si>
  <si>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</si>
  <si>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</si>
  <si>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</si>
  <si>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</si>
  <si>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</si>
  <si>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</si>
  <si>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</si>
  <si>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</si>
  <si>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</si>
  <si>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</si>
  <si>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</si>
  <si>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</si>
  <si>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</si>
  <si>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</si>
  <si>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</si>
  <si>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</si>
  <si>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</si>
  <si>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</si>
  <si>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</si>
  <si>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</si>
  <si>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</si>
  <si>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</si>
  <si>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</si>
  <si>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</si>
  <si>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</si>
  <si>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</si>
  <si>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</si>
  <si>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</si>
  <si>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</si>
  <si>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working on payback plan with PNM- will meet 2/22</t>
  </si>
  <si>
    <t>reconciling and working on payback plan</t>
  </si>
  <si>
    <t>volumetric through 11/30/01 - majority of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</si>
</sst>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  <xf numFmtId="5" fontId="9" fillId="0" borderId="1" xfId="0" applyNumberFormat="1" applyFont="1" applyBorder="1" applyAlignment="1">
      <alignment horizontal="right"/>
    </xf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2.08</v>
          </cell>
          <cell r="K39">
            <v>2.09</v>
          </cell>
          <cell r="M39">
            <v>2.08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83" workbookViewId="0">
      <selection activeCell="D37" sqref="D37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2"/>
    </row>
    <row r="2" spans="1:32" ht="12.95" customHeight="1" x14ac:dyDescent="0.2">
      <c r="A2" s="34" t="s">
        <v>140</v>
      </c>
      <c r="D2" s="7"/>
      <c r="F2" s="382" t="s">
        <v>78</v>
      </c>
      <c r="G2" s="385"/>
      <c r="H2" s="32"/>
    </row>
    <row r="3" spans="1:32" ht="12.95" customHeight="1" x14ac:dyDescent="0.2">
      <c r="D3" s="7"/>
      <c r="F3" s="383" t="s">
        <v>29</v>
      </c>
      <c r="G3" s="386">
        <f>+summary!G3</f>
        <v>2.09</v>
      </c>
      <c r="H3" s="401">
        <f ca="1">NOW()</f>
        <v>37307.846196180559</v>
      </c>
    </row>
    <row r="4" spans="1:32" ht="12.95" customHeight="1" x14ac:dyDescent="0.2">
      <c r="A4" s="34" t="s">
        <v>144</v>
      </c>
      <c r="C4" s="34" t="s">
        <v>5</v>
      </c>
      <c r="D4" s="7"/>
      <c r="F4" s="384" t="s">
        <v>30</v>
      </c>
      <c r="G4" s="386">
        <f>+summary!G4</f>
        <v>2.08</v>
      </c>
      <c r="H4" s="32"/>
    </row>
    <row r="5" spans="1:32" ht="12.95" customHeight="1" x14ac:dyDescent="0.2">
      <c r="D5" s="7"/>
      <c r="F5" s="383" t="s">
        <v>117</v>
      </c>
      <c r="G5" s="386">
        <f>+summary!G5</f>
        <v>2.08</v>
      </c>
      <c r="H5" s="32"/>
    </row>
    <row r="6" spans="1:32" ht="6.95" customHeight="1" x14ac:dyDescent="0.2"/>
    <row r="7" spans="1:32" ht="12.95" customHeight="1" x14ac:dyDescent="0.2">
      <c r="A7" s="399" t="s">
        <v>162</v>
      </c>
      <c r="B7" s="400"/>
      <c r="AD7" s="32"/>
      <c r="AE7" s="32"/>
      <c r="AF7" s="32"/>
    </row>
    <row r="8" spans="1:32" ht="15.95" customHeight="1" outlineLevel="2" x14ac:dyDescent="0.2">
      <c r="A8" s="32"/>
      <c r="B8" s="440" t="s">
        <v>192</v>
      </c>
      <c r="C8" s="397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5" t="s">
        <v>89</v>
      </c>
      <c r="B9" s="390" t="s">
        <v>193</v>
      </c>
      <c r="C9" s="398" t="s">
        <v>186</v>
      </c>
      <c r="D9" s="426" t="s">
        <v>190</v>
      </c>
      <c r="E9" s="39" t="s">
        <v>188</v>
      </c>
      <c r="F9" s="39" t="s">
        <v>145</v>
      </c>
      <c r="G9" s="389" t="s">
        <v>150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5" t="s">
        <v>154</v>
      </c>
    </row>
    <row r="12" spans="1:32" ht="13.5" customHeight="1" outlineLevel="1" x14ac:dyDescent="0.2">
      <c r="A12" s="499" t="s">
        <v>127</v>
      </c>
      <c r="B12" s="606">
        <f>+Calpine!D41</f>
        <v>50582.880000000005</v>
      </c>
      <c r="C12" s="368">
        <f>+B12/$G$4</f>
        <v>24318.692307692309</v>
      </c>
      <c r="D12" s="14">
        <f>+Calpine!D47</f>
        <v>111418</v>
      </c>
      <c r="E12" s="70">
        <f>+C12-D12</f>
        <v>-87099.307692307688</v>
      </c>
      <c r="F12" s="363">
        <f>+Calpine!A41</f>
        <v>37305</v>
      </c>
      <c r="G12" s="203" t="s">
        <v>152</v>
      </c>
      <c r="H12" s="204" t="s">
        <v>99</v>
      </c>
      <c r="I12" s="351"/>
      <c r="J12" s="70"/>
      <c r="K12" s="32"/>
    </row>
    <row r="13" spans="1:32" ht="13.5" customHeight="1" outlineLevel="2" x14ac:dyDescent="0.2">
      <c r="A13" s="248" t="s">
        <v>139</v>
      </c>
      <c r="B13" s="606">
        <f>+'Citizens-Griffith'!D41</f>
        <v>96384.12000000001</v>
      </c>
      <c r="C13" s="367">
        <f>+B13/$G$4</f>
        <v>46338.519230769234</v>
      </c>
      <c r="D13" s="14">
        <f>+'Citizens-Griffith'!D48</f>
        <v>49921</v>
      </c>
      <c r="E13" s="70">
        <f>+C13-D13</f>
        <v>-3582.4807692307659</v>
      </c>
      <c r="F13" s="363">
        <f>+'Citizens-Griffith'!A41</f>
        <v>37306</v>
      </c>
      <c r="G13" s="203" t="s">
        <v>300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277</v>
      </c>
      <c r="B14" s="612">
        <f>+SWGasTrans!D41</f>
        <v>-27828.129999999997</v>
      </c>
      <c r="C14" s="367">
        <f>+B14/G4</f>
        <v>-13378.908653846152</v>
      </c>
      <c r="D14" s="14">
        <f>+SWGasTrans!$D$48</f>
        <v>-324</v>
      </c>
      <c r="E14" s="70">
        <f>+C14-D14</f>
        <v>-13054.908653846152</v>
      </c>
      <c r="F14" s="363">
        <f>+SWGasTrans!A41</f>
        <v>37305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5">
        <f>+'NS Steel'!D41</f>
        <v>-269782.59999999998</v>
      </c>
      <c r="C15" s="367">
        <f>+B15/$G$4</f>
        <v>-129703.17307692306</v>
      </c>
      <c r="D15" s="14">
        <f>+'NS Steel'!D50</f>
        <v>-3264</v>
      </c>
      <c r="E15" s="70">
        <f>+C15-D15</f>
        <v>-126439.17307692306</v>
      </c>
      <c r="F15" s="364">
        <f>+'NS Steel'!A41</f>
        <v>37305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">
      <c r="A16" s="499" t="s">
        <v>135</v>
      </c>
      <c r="B16" s="348">
        <f>+Citizens!D18</f>
        <v>-563447.35000000009</v>
      </c>
      <c r="C16" s="369">
        <f>+B16/$G$4</f>
        <v>-270888.14903846156</v>
      </c>
      <c r="D16" s="349">
        <f>+Citizens!D24</f>
        <v>-49205</v>
      </c>
      <c r="E16" s="72">
        <f>+C16-D16</f>
        <v>-221683.14903846156</v>
      </c>
      <c r="F16" s="363">
        <f>+Citizens!A18</f>
        <v>37304</v>
      </c>
      <c r="G16" s="203" t="s">
        <v>300</v>
      </c>
      <c r="H16" s="204" t="s">
        <v>99</v>
      </c>
      <c r="I16" s="418" t="s">
        <v>175</v>
      </c>
      <c r="J16" s="32"/>
      <c r="K16" s="32"/>
      <c r="T16" s="259"/>
    </row>
    <row r="17" spans="1:20" ht="15.95" customHeight="1" outlineLevel="2" x14ac:dyDescent="0.2">
      <c r="A17" s="153" t="s">
        <v>155</v>
      </c>
      <c r="B17" s="387">
        <f>SUBTOTAL(9,B12:B16)</f>
        <v>-714091.08000000007</v>
      </c>
      <c r="C17" s="392">
        <f>SUBTOTAL(9,C12:C16)</f>
        <v>-343313.01923076925</v>
      </c>
      <c r="D17" s="393">
        <f>SUBTOTAL(9,D12:D16)</f>
        <v>108546</v>
      </c>
      <c r="E17" s="394">
        <f>SUBTOTAL(9,E12:E16)</f>
        <v>-451859.01923076925</v>
      </c>
      <c r="F17" s="363"/>
      <c r="G17" s="203"/>
      <c r="H17" s="204"/>
      <c r="I17" s="351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6" t="s">
        <v>57</v>
      </c>
      <c r="G19" s="7"/>
    </row>
    <row r="20" spans="1:20" ht="13.5" customHeight="1" outlineLevel="2" x14ac:dyDescent="0.2">
      <c r="A20" s="248" t="s">
        <v>71</v>
      </c>
      <c r="B20" s="611">
        <f>+transcol!$D$43</f>
        <v>-374.28000000000247</v>
      </c>
      <c r="C20" s="367">
        <f>+B20/$G$4</f>
        <v>-179.94230769230887</v>
      </c>
      <c r="D20" s="14">
        <f>+transcol!D50</f>
        <v>-56126</v>
      </c>
      <c r="E20" s="70">
        <f>+C20-D20</f>
        <v>55946.057692307688</v>
      </c>
      <c r="F20" s="364">
        <f>+transcol!A43</f>
        <v>37305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499" t="s">
        <v>289</v>
      </c>
      <c r="B21" s="611">
        <f>+C21*G3</f>
        <v>-18950.03</v>
      </c>
      <c r="C21" s="367">
        <f>+williams!J40</f>
        <v>-9067</v>
      </c>
      <c r="D21" s="14">
        <f>+C21</f>
        <v>-9067</v>
      </c>
      <c r="E21" s="70">
        <f>+C21-D21</f>
        <v>0</v>
      </c>
      <c r="F21" s="364">
        <f>+williams!A40</f>
        <v>37306</v>
      </c>
      <c r="G21" s="203" t="s">
        <v>153</v>
      </c>
      <c r="H21" s="32" t="s">
        <v>290</v>
      </c>
      <c r="I21" s="32"/>
      <c r="J21" s="32"/>
      <c r="K21" s="32"/>
      <c r="T21" s="259"/>
    </row>
    <row r="22" spans="1:20" ht="13.5" customHeight="1" outlineLevel="2" x14ac:dyDescent="0.2">
      <c r="A22" s="499" t="s">
        <v>95</v>
      </c>
      <c r="B22" s="613">
        <f>+burlington!D42</f>
        <v>-56909.22</v>
      </c>
      <c r="C22" s="371">
        <f>+B22/$G$3</f>
        <v>-27229.291866028711</v>
      </c>
      <c r="D22" s="349">
        <f>+burlington!D49</f>
        <v>-27371</v>
      </c>
      <c r="E22" s="72">
        <f>+C22-D22</f>
        <v>141.7081339712895</v>
      </c>
      <c r="F22" s="363">
        <f>+burlington!A42</f>
        <v>37305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5" customHeight="1" outlineLevel="2" x14ac:dyDescent="0.2">
      <c r="A23" s="153" t="s">
        <v>157</v>
      </c>
      <c r="B23" s="387">
        <f>SUBTOTAL(9,B20:B22)</f>
        <v>-76233.53</v>
      </c>
      <c r="C23" s="388">
        <f>SUBTOTAL(9,C20:C22)</f>
        <v>-36476.234173721023</v>
      </c>
      <c r="D23" s="393">
        <f>SUBTOTAL(9,D20:D22)</f>
        <v>-92564</v>
      </c>
      <c r="E23" s="394">
        <f>SUBTOTAL(9,E20:E22)</f>
        <v>56087.765826278977</v>
      </c>
      <c r="F23" s="363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5" t="s">
        <v>158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5" customHeight="1" outlineLevel="2" x14ac:dyDescent="0.2">
      <c r="A26" s="499" t="s">
        <v>87</v>
      </c>
      <c r="B26" s="478">
        <f>+NNG!$D$24</f>
        <v>35753.51</v>
      </c>
      <c r="C26" s="367">
        <f>+B26/$G$4</f>
        <v>17189.1875</v>
      </c>
      <c r="D26" s="14">
        <f>+NNG!D34</f>
        <v>16489</v>
      </c>
      <c r="E26" s="70">
        <f t="shared" ref="E26:E48" si="0">+C26-D26</f>
        <v>700.1875</v>
      </c>
      <c r="F26" s="363">
        <f>+NNG!A24</f>
        <v>37305</v>
      </c>
      <c r="G26" s="204" t="s">
        <v>299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606">
        <f>+Conoco!$F$41</f>
        <v>464068.77</v>
      </c>
      <c r="C27" s="367">
        <f>+B27/$G$4</f>
        <v>223109.98557692309</v>
      </c>
      <c r="D27" s="14">
        <f>+Conoco!D48</f>
        <v>19718</v>
      </c>
      <c r="E27" s="70">
        <f t="shared" si="0"/>
        <v>203391.98557692309</v>
      </c>
      <c r="F27" s="363">
        <f>+Conoco!A41</f>
        <v>37306</v>
      </c>
      <c r="G27" s="32" t="s">
        <v>300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">
      <c r="A28" s="248" t="s">
        <v>3</v>
      </c>
      <c r="B28" s="606">
        <f>+'Amoco Abo'!$F$43</f>
        <v>167603.75</v>
      </c>
      <c r="C28" s="367">
        <f>+B28/$G$4</f>
        <v>80578.725961538454</v>
      </c>
      <c r="D28" s="14">
        <f>+'Amoco Abo'!D49</f>
        <v>-360970</v>
      </c>
      <c r="E28" s="70">
        <f t="shared" si="0"/>
        <v>441548.72596153844</v>
      </c>
      <c r="F28" s="364">
        <f>+'Amoco Abo'!A43</f>
        <v>37305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">
      <c r="A29" s="248" t="s">
        <v>107</v>
      </c>
      <c r="B29" s="606">
        <f>+KN_Westar!F41</f>
        <v>328563.40000000002</v>
      </c>
      <c r="C29" s="367">
        <f>+B29/$G$4</f>
        <v>157963.17307692309</v>
      </c>
      <c r="D29" s="14">
        <f>+KN_Westar!D48</f>
        <v>-37442</v>
      </c>
      <c r="E29" s="70">
        <f t="shared" si="0"/>
        <v>195405.17307692309</v>
      </c>
      <c r="F29" s="364">
        <f>+KN_Westar!A41</f>
        <v>37305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499" t="s">
        <v>247</v>
      </c>
      <c r="B30" s="606">
        <f>+summary!$B$43</f>
        <v>-128990.14999999956</v>
      </c>
      <c r="C30" s="368">
        <f>+B30/$G$5</f>
        <v>-62014.495192307477</v>
      </c>
      <c r="D30" s="14">
        <f>+DEFS!$I$36+DEFS!$J$36+DEFS!$K$45+DEFS!$K$46+DEFS!$K$47+DEFS!$K$48+Duke!I53+Duke!I54+Duke!F40+Duke!G40+Duke!H40</f>
        <v>267065</v>
      </c>
      <c r="E30" s="70">
        <f t="shared" si="0"/>
        <v>-329079.49519230745</v>
      </c>
      <c r="F30" s="364">
        <f>+DEFS!A40</f>
        <v>37304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606">
        <f>+mewborne!$J$43</f>
        <v>326518.32</v>
      </c>
      <c r="C31" s="367">
        <f>+B31/$G$4</f>
        <v>156979.96153846153</v>
      </c>
      <c r="D31" s="14">
        <f>+mewborne!D49</f>
        <v>128323</v>
      </c>
      <c r="E31" s="70">
        <f t="shared" si="0"/>
        <v>28656.961538461532</v>
      </c>
      <c r="F31" s="364">
        <f>+mewborne!A43</f>
        <v>37305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146</v>
      </c>
      <c r="B32" s="478">
        <f>+PGETX!$H$39</f>
        <v>16254.68</v>
      </c>
      <c r="C32" s="367">
        <f>+B32/$G$4</f>
        <v>7814.75</v>
      </c>
      <c r="D32" s="14">
        <f>+PGETX!E48</f>
        <v>35547</v>
      </c>
      <c r="E32" s="70">
        <f t="shared" si="0"/>
        <v>-27732.25</v>
      </c>
      <c r="F32" s="364">
        <f>+PGETX!E39</f>
        <v>37305</v>
      </c>
      <c r="G32" s="32" t="s">
        <v>301</v>
      </c>
      <c r="H32" s="32" t="s">
        <v>102</v>
      </c>
      <c r="I32" s="32" t="s">
        <v>174</v>
      </c>
      <c r="J32" s="32"/>
      <c r="K32" s="32"/>
    </row>
    <row r="33" spans="1:11" ht="14.1" customHeight="1" x14ac:dyDescent="0.2">
      <c r="A33" s="248" t="s">
        <v>82</v>
      </c>
      <c r="B33" s="606">
        <f>+PNM!$D$23</f>
        <v>879575.44</v>
      </c>
      <c r="C33" s="367">
        <f>+B33/$G$4</f>
        <v>422872.80769230763</v>
      </c>
      <c r="D33" s="14">
        <f>+PNM!D30</f>
        <v>361486</v>
      </c>
      <c r="E33" s="70">
        <f t="shared" si="0"/>
        <v>61386.80769230763</v>
      </c>
      <c r="F33" s="364">
        <f>+PNM!A23</f>
        <v>37306</v>
      </c>
      <c r="G33" s="32" t="s">
        <v>299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612">
        <f>+EOG!J41</f>
        <v>-11989.39</v>
      </c>
      <c r="C34" s="367">
        <f>+B34/$G$4</f>
        <v>-5764.1298076923076</v>
      </c>
      <c r="D34" s="14">
        <f>+EOG!D48</f>
        <v>-133483</v>
      </c>
      <c r="E34" s="70">
        <f t="shared" si="0"/>
        <v>127718.87019230769</v>
      </c>
      <c r="F34" s="363">
        <f>+EOG!A41</f>
        <v>37305</v>
      </c>
      <c r="G34" s="32" t="s">
        <v>299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345">
        <f>+Oasis!D40</f>
        <v>19746.59</v>
      </c>
      <c r="C35" s="367">
        <f>+B35/G5</f>
        <v>9493.5528846153848</v>
      </c>
      <c r="D35" s="14">
        <f>+Oasis!D47</f>
        <v>7396</v>
      </c>
      <c r="E35" s="70">
        <f>+C35-D35</f>
        <v>2097.5528846153848</v>
      </c>
      <c r="F35" s="363">
        <f>+Oasis!A40</f>
        <v>37305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478">
        <f>+SidR!D41</f>
        <v>12824.599999999999</v>
      </c>
      <c r="C36" s="367">
        <f>+B36/$G$5</f>
        <v>6165.6730769230762</v>
      </c>
      <c r="D36" s="14">
        <f>+SidR!D48</f>
        <v>5981</v>
      </c>
      <c r="E36" s="70">
        <f t="shared" si="0"/>
        <v>184.67307692307622</v>
      </c>
      <c r="F36" s="364">
        <f>+SidR!A41</f>
        <v>37305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">
      <c r="A37" s="499" t="s">
        <v>257</v>
      </c>
      <c r="B37" s="612">
        <f>+MiVida_Rich!D41</f>
        <v>-192285.66</v>
      </c>
      <c r="C37" s="367">
        <f>+B37/$G$5</f>
        <v>-92445.028846153844</v>
      </c>
      <c r="D37" s="14">
        <f>+MiVida_Rich!D48</f>
        <v>-45949</v>
      </c>
      <c r="E37" s="70">
        <f>+C37-D37</f>
        <v>-46496.028846153844</v>
      </c>
      <c r="F37" s="364">
        <f>+MiVida_Rich!A41</f>
        <v>37287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206</v>
      </c>
      <c r="B38" s="606">
        <f>+Dominion!D41</f>
        <v>172974.90000000002</v>
      </c>
      <c r="C38" s="367">
        <f>+B38/$G$5</f>
        <v>83161.009615384624</v>
      </c>
      <c r="D38" s="14">
        <f>+Dominion!D48</f>
        <v>75612</v>
      </c>
      <c r="E38" s="70">
        <f t="shared" si="0"/>
        <v>7549.0096153846243</v>
      </c>
      <c r="F38" s="364">
        <f>+Dominion!A41</f>
        <v>37306</v>
      </c>
      <c r="G38" s="203" t="s">
        <v>299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203</v>
      </c>
      <c r="B39" s="612">
        <f>+WTGmktg!J43</f>
        <v>-24888.649999999994</v>
      </c>
      <c r="C39" s="367">
        <f>+B39/$G$4</f>
        <v>-11965.697115384612</v>
      </c>
      <c r="D39" s="14">
        <f>+WTGmktg!D50</f>
        <v>1687</v>
      </c>
      <c r="E39" s="70">
        <f t="shared" si="0"/>
        <v>-13652.697115384612</v>
      </c>
      <c r="F39" s="364">
        <f>+WTGmktg!A43</f>
        <v>37305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280</v>
      </c>
      <c r="B40" s="345">
        <f>+'WTG inc'!N43</f>
        <v>22368.01</v>
      </c>
      <c r="C40" s="367">
        <f>+B40/G4</f>
        <v>10753.850961538461</v>
      </c>
      <c r="D40" s="14">
        <f>+'WTG inc'!D50</f>
        <v>7200</v>
      </c>
      <c r="E40" s="70">
        <f>+C40-D40</f>
        <v>3553.850961538461</v>
      </c>
      <c r="F40" s="364">
        <f>+'WTG inc'!A43</f>
        <v>37305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207</v>
      </c>
      <c r="B41" s="612">
        <f>+Devon!D41</f>
        <v>-8941.92</v>
      </c>
      <c r="C41" s="367">
        <f>+B41/$G$5</f>
        <v>-4299</v>
      </c>
      <c r="D41" s="14">
        <f>+Devon!D48</f>
        <v>-4299</v>
      </c>
      <c r="E41" s="70">
        <f t="shared" si="0"/>
        <v>0</v>
      </c>
      <c r="F41" s="364">
        <f>+Devon!A41</f>
        <v>37305</v>
      </c>
      <c r="G41" s="203" t="s">
        <v>300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216</v>
      </c>
      <c r="B42" s="345">
        <f>+crosstex!F41</f>
        <v>-134414.39000000001</v>
      </c>
      <c r="C42" s="367">
        <f>+B42/$G$4</f>
        <v>-64622.30288461539</v>
      </c>
      <c r="D42" s="14">
        <f>+crosstex!D48</f>
        <v>-41437</v>
      </c>
      <c r="E42" s="70">
        <f t="shared" si="0"/>
        <v>-23185.30288461539</v>
      </c>
      <c r="F42" s="364">
        <f>+crosstex!A41</f>
        <v>37304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217</v>
      </c>
      <c r="B43" s="606">
        <f>+Amarillo!P41</f>
        <v>102694.48</v>
      </c>
      <c r="C43" s="367">
        <f>+B43/$G$4</f>
        <v>49372.346153846149</v>
      </c>
      <c r="D43" s="14">
        <f>+Amarillo!D48</f>
        <v>43256</v>
      </c>
      <c r="E43" s="70">
        <f t="shared" si="0"/>
        <v>6116.3461538461488</v>
      </c>
      <c r="F43" s="364">
        <f>+Amarillo!A41</f>
        <v>37304</v>
      </c>
      <c r="G43" s="203" t="s">
        <v>300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295</v>
      </c>
      <c r="B44" s="606">
        <f>+Stratland!$D$41</f>
        <v>48490.31</v>
      </c>
      <c r="C44" s="368">
        <f>+B44/$G$4</f>
        <v>23312.649038461535</v>
      </c>
      <c r="D44" s="14">
        <f>+Stratland!D48</f>
        <v>17403</v>
      </c>
      <c r="E44" s="70">
        <f>+C44-D44</f>
        <v>5909.6490384615354</v>
      </c>
      <c r="F44" s="363">
        <f>+Stratland!A41</f>
        <v>37287</v>
      </c>
      <c r="G44" s="203" t="s">
        <v>299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306</v>
      </c>
      <c r="B45" s="606">
        <f>+Plains!$N$43</f>
        <v>63241.56</v>
      </c>
      <c r="C45" s="609">
        <f>+B45/$G$4</f>
        <v>30404.596153846152</v>
      </c>
      <c r="D45" s="14">
        <f>+Plains!D50</f>
        <v>22284</v>
      </c>
      <c r="E45" s="70">
        <f>+C45-D45</f>
        <v>8120.5961538461524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606">
        <f>+Continental!F43</f>
        <v>46769.48</v>
      </c>
      <c r="C46" s="368">
        <f>+B46/$G$4</f>
        <v>22485.326923076926</v>
      </c>
      <c r="D46" s="14">
        <f>+Continental!D50</f>
        <v>6494</v>
      </c>
      <c r="E46" s="70">
        <f t="shared" si="0"/>
        <v>15991.326923076926</v>
      </c>
      <c r="F46" s="364">
        <f>+Continental!A43</f>
        <v>37305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606">
        <f>+EPFS!D41</f>
        <v>143000.64000000001</v>
      </c>
      <c r="C47" s="368">
        <f>+B47/$G$5</f>
        <v>68750.307692307702</v>
      </c>
      <c r="D47" s="14">
        <f>+EPFS!D47</f>
        <v>82465</v>
      </c>
      <c r="E47" s="70">
        <f t="shared" si="0"/>
        <v>-13714.692307692298</v>
      </c>
      <c r="F47" s="363">
        <f>+EPFS!A41</f>
        <v>37306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499" t="s">
        <v>79</v>
      </c>
      <c r="B48" s="608">
        <f>+Agave!$D$24</f>
        <v>108157.26000000001</v>
      </c>
      <c r="C48" s="369">
        <f>+B48/$G$4</f>
        <v>51998.682692307695</v>
      </c>
      <c r="D48" s="349">
        <f>+Agave!D31</f>
        <v>64181</v>
      </c>
      <c r="E48" s="72">
        <f t="shared" si="0"/>
        <v>-12182.317307692305</v>
      </c>
      <c r="F48" s="363">
        <f>+Agave!A24</f>
        <v>37306</v>
      </c>
      <c r="G48" s="203" t="s">
        <v>300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160</v>
      </c>
      <c r="B49" s="387">
        <f>SUBTOTAL(9,B26:B48)</f>
        <v>2457095.540000001</v>
      </c>
      <c r="C49" s="392">
        <f>SUBTOTAL(9,C26:C48)</f>
        <v>1181295.932692308</v>
      </c>
      <c r="D49" s="393">
        <f>SUBTOTAL(9,D26:D48)</f>
        <v>539007</v>
      </c>
      <c r="E49" s="394">
        <f>SUBTOTAL(9,E26:E48)</f>
        <v>642288.93269230786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161</v>
      </c>
      <c r="B51" s="387">
        <f>SUBTOTAL(9,B12:B48)</f>
        <v>1666770.9300000013</v>
      </c>
      <c r="C51" s="392">
        <f>SUBTOTAL(9,C12:C48)</f>
        <v>801506.67928781768</v>
      </c>
      <c r="D51" s="393">
        <f>SUBTOTAL(9,D12:D48)</f>
        <v>554989</v>
      </c>
      <c r="E51" s="394">
        <f>SUBTOTAL(9,E12:E48)</f>
        <v>246517.6792878175</v>
      </c>
      <c r="F51" s="363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">
      <c r="D57" s="7"/>
      <c r="F57" s="383" t="s">
        <v>29</v>
      </c>
      <c r="G57" s="386">
        <f>+G3</f>
        <v>2.09</v>
      </c>
      <c r="H57" s="401">
        <f ca="1">NOW()</f>
        <v>37307.846196180559</v>
      </c>
    </row>
    <row r="58" spans="1:19" ht="13.5" customHeight="1" outlineLevel="2" x14ac:dyDescent="0.2">
      <c r="A58" s="34" t="s">
        <v>144</v>
      </c>
      <c r="C58" s="34" t="s">
        <v>5</v>
      </c>
      <c r="D58" s="7"/>
      <c r="F58" s="384" t="s">
        <v>30</v>
      </c>
      <c r="G58" s="386">
        <f>+G4</f>
        <v>2.08</v>
      </c>
      <c r="H58" s="32"/>
    </row>
    <row r="59" spans="1:19" ht="13.5" customHeight="1" outlineLevel="1" x14ac:dyDescent="0.2">
      <c r="D59" s="7"/>
      <c r="F59" s="383" t="s">
        <v>117</v>
      </c>
      <c r="G59" s="386">
        <f>+G5</f>
        <v>2.08</v>
      </c>
      <c r="H59" s="32"/>
    </row>
    <row r="60" spans="1:19" ht="13.5" customHeight="1" outlineLevel="2" x14ac:dyDescent="0.2"/>
    <row r="61" spans="1:19" ht="13.5" customHeight="1" outlineLevel="2" x14ac:dyDescent="0.2">
      <c r="A61" s="399" t="s">
        <v>163</v>
      </c>
      <c r="B61" s="400"/>
      <c r="E61" s="12" t="s">
        <v>196</v>
      </c>
    </row>
    <row r="62" spans="1:19" ht="13.5" customHeight="1" outlineLevel="2" x14ac:dyDescent="0.2">
      <c r="A62" s="32"/>
      <c r="B62" s="402" t="s">
        <v>187</v>
      </c>
      <c r="C62" s="402" t="s">
        <v>194</v>
      </c>
      <c r="D62" s="402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5" t="s">
        <v>89</v>
      </c>
      <c r="B63" s="398" t="s">
        <v>0</v>
      </c>
      <c r="C63" s="377" t="s">
        <v>165</v>
      </c>
      <c r="D63" s="39" t="s">
        <v>195</v>
      </c>
      <c r="E63" s="39" t="s">
        <v>198</v>
      </c>
      <c r="F63" s="39" t="s">
        <v>145</v>
      </c>
      <c r="G63" s="389" t="s">
        <v>150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5" t="s">
        <v>154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500">
        <f>+Mojave!D40</f>
        <v>173432</v>
      </c>
      <c r="C66" s="606">
        <f>+B66*$G$4</f>
        <v>360738.56</v>
      </c>
      <c r="D66" s="47">
        <f>+Mojave!D47</f>
        <v>171959.84</v>
      </c>
      <c r="E66" s="47">
        <f>+C66-D66</f>
        <v>188778.72</v>
      </c>
      <c r="F66" s="364">
        <f>+Mojave!A40</f>
        <v>37306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">
      <c r="A67" s="248" t="s">
        <v>32</v>
      </c>
      <c r="B67" s="368">
        <f>+SoCal!F40</f>
        <v>79815</v>
      </c>
      <c r="C67" s="606">
        <f>+B67*$G$4</f>
        <v>166015.20000000001</v>
      </c>
      <c r="D67" s="47">
        <f>+SoCal!D47</f>
        <v>280738.24</v>
      </c>
      <c r="E67" s="47">
        <f>+C67-D67</f>
        <v>-114723.03999999998</v>
      </c>
      <c r="F67" s="364">
        <f>+SoCal!A40</f>
        <v>37306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177</v>
      </c>
      <c r="B68" s="367">
        <f>+'El Paso'!C39</f>
        <v>64269</v>
      </c>
      <c r="C68" s="606">
        <f>+B68*$G$4</f>
        <v>133679.52000000002</v>
      </c>
      <c r="D68" s="47">
        <f>+'El Paso'!C46</f>
        <v>-1582961.01</v>
      </c>
      <c r="E68" s="47">
        <f>+C68-D68</f>
        <v>1716640.53</v>
      </c>
      <c r="F68" s="364">
        <f>+'El Paso'!A39</f>
        <v>37306</v>
      </c>
      <c r="G68" s="419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">
      <c r="A69" s="248" t="s">
        <v>114</v>
      </c>
      <c r="B69" s="369">
        <f>+'PG&amp;E'!D40</f>
        <v>42027</v>
      </c>
      <c r="C69" s="608">
        <f>+B69*$G$4</f>
        <v>87416.16</v>
      </c>
      <c r="D69" s="348">
        <f>+'PG&amp;E'!D47</f>
        <v>-115994.6</v>
      </c>
      <c r="E69" s="348">
        <f>+C69-D69</f>
        <v>203410.76</v>
      </c>
      <c r="F69" s="364">
        <f>+'PG&amp;E'!A40</f>
        <v>37306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155</v>
      </c>
      <c r="B70" s="392">
        <f>SUBTOTAL(9,B66:B69)</f>
        <v>359543</v>
      </c>
      <c r="C70" s="387">
        <f>SUBTOTAL(9,C66:C69)</f>
        <v>747849.44000000006</v>
      </c>
      <c r="D70" s="387">
        <f>SUBTOTAL(9,D66:D69)</f>
        <v>-1246257.5300000003</v>
      </c>
      <c r="E70" s="387">
        <f>SUBTOTAL(9,E66:E69)</f>
        <v>1994106.97</v>
      </c>
      <c r="F70" s="364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5" t="s">
        <v>57</v>
      </c>
      <c r="B72" s="286"/>
      <c r="C72" s="247"/>
      <c r="G72" s="203"/>
    </row>
    <row r="73" spans="1:11" x14ac:dyDescent="0.2">
      <c r="A73" s="248" t="s">
        <v>23</v>
      </c>
      <c r="B73" s="367">
        <f>+'Red C'!F45</f>
        <v>62053</v>
      </c>
      <c r="C73" s="607">
        <f>+B73*G57</f>
        <v>129690.76999999999</v>
      </c>
      <c r="D73" s="200">
        <f>+'Red C'!D52</f>
        <v>476094.29</v>
      </c>
      <c r="E73" s="47">
        <f>+C73-D73</f>
        <v>-346403.52</v>
      </c>
      <c r="F73" s="363">
        <f>+'Red C'!A45</f>
        <v>37306</v>
      </c>
      <c r="G73" s="203" t="s">
        <v>152</v>
      </c>
      <c r="H73" s="32" t="s">
        <v>115</v>
      </c>
      <c r="I73" s="32"/>
      <c r="J73" s="32"/>
      <c r="K73" s="32"/>
    </row>
    <row r="74" spans="1:11" x14ac:dyDescent="0.2">
      <c r="A74" s="248" t="s">
        <v>288</v>
      </c>
      <c r="B74" s="367">
        <f>+Amoco!D40</f>
        <v>-4151</v>
      </c>
      <c r="C74" s="612">
        <f>+B74*$G$3</f>
        <v>-8675.59</v>
      </c>
      <c r="D74" s="47">
        <f>+Amoco!D47</f>
        <v>326541.73</v>
      </c>
      <c r="E74" s="47">
        <f>+C74-D74</f>
        <v>-335217.32</v>
      </c>
      <c r="F74" s="364">
        <f>+Amoco!A40</f>
        <v>37305</v>
      </c>
      <c r="G74" s="203" t="s">
        <v>152</v>
      </c>
      <c r="H74" s="32" t="s">
        <v>115</v>
      </c>
      <c r="I74" s="32"/>
      <c r="J74" s="32"/>
      <c r="K74" s="32"/>
    </row>
    <row r="75" spans="1:11" x14ac:dyDescent="0.2">
      <c r="A75" s="248" t="s">
        <v>178</v>
      </c>
      <c r="B75" s="367">
        <f>+'El Paso'!E39</f>
        <v>-40926</v>
      </c>
      <c r="C75" s="606">
        <f>+B75*$G$3</f>
        <v>-85535.34</v>
      </c>
      <c r="D75" s="47">
        <f>+'El Paso'!F46</f>
        <v>-657254.01</v>
      </c>
      <c r="E75" s="47">
        <f>+C75-D75</f>
        <v>571718.67000000004</v>
      </c>
      <c r="F75" s="364">
        <f>+'El Paso'!A39</f>
        <v>37306</v>
      </c>
      <c r="G75" s="419" t="s">
        <v>153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9">
        <f>+NW!$F$41</f>
        <v>-10490</v>
      </c>
      <c r="C76" s="613">
        <f>+B76*$G$3</f>
        <v>-21924.1</v>
      </c>
      <c r="D76" s="348">
        <f>+NW!E49</f>
        <v>-482340.89</v>
      </c>
      <c r="E76" s="348">
        <f>+C76-D76</f>
        <v>460416.79000000004</v>
      </c>
      <c r="F76" s="363">
        <f>+NW!B41</f>
        <v>37305</v>
      </c>
      <c r="G76" s="203" t="s">
        <v>152</v>
      </c>
      <c r="H76" s="32" t="s">
        <v>115</v>
      </c>
      <c r="I76" s="32"/>
      <c r="J76" s="32"/>
      <c r="K76" s="32"/>
    </row>
    <row r="77" spans="1:11" x14ac:dyDescent="0.2">
      <c r="A77" s="32" t="s">
        <v>156</v>
      </c>
      <c r="B77" s="392">
        <f>SUBTOTAL(9,B73:B76)</f>
        <v>6486</v>
      </c>
      <c r="C77" s="387">
        <f>SUBTOTAL(9,C73:C76)</f>
        <v>13555.739999999998</v>
      </c>
      <c r="D77" s="387">
        <f>SUBTOTAL(9,D73:D76)</f>
        <v>-336958.88</v>
      </c>
      <c r="E77" s="387">
        <f>SUBTOTAL(9,E73:E76)</f>
        <v>350514.62</v>
      </c>
      <c r="F77" s="363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5" t="s">
        <v>158</v>
      </c>
      <c r="B79" s="286"/>
      <c r="C79" s="247"/>
      <c r="G79" s="203"/>
    </row>
    <row r="80" spans="1:11" x14ac:dyDescent="0.2">
      <c r="A80" s="248" t="s">
        <v>88</v>
      </c>
      <c r="B80" s="367">
        <f>+NGPL!H38</f>
        <v>89593</v>
      </c>
      <c r="C80" s="606">
        <f>+B80*$G$5</f>
        <v>186353.44</v>
      </c>
      <c r="D80" s="47">
        <f>+NGPL!D45</f>
        <v>240351.71</v>
      </c>
      <c r="E80" s="47">
        <f>+C80-D80</f>
        <v>-53998.26999999999</v>
      </c>
      <c r="F80" s="364">
        <f>+NGPL!A38</f>
        <v>37306</v>
      </c>
      <c r="G80" s="203" t="s">
        <v>152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7">
        <f>+PEPL!D41</f>
        <v>23751</v>
      </c>
      <c r="C81" s="607">
        <f>+B81*$G$4</f>
        <v>49402.080000000002</v>
      </c>
      <c r="D81" s="47">
        <f>+PEPL!D47</f>
        <v>195283.72</v>
      </c>
      <c r="E81" s="47">
        <f>+C81-D81</f>
        <v>-145881.64000000001</v>
      </c>
      <c r="F81" s="364">
        <f>+PEPL!A41</f>
        <v>37305</v>
      </c>
      <c r="G81" s="32" t="s">
        <v>300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607">
        <f>+B82*$G$4</f>
        <v>36580.959999999999</v>
      </c>
      <c r="D82" s="200">
        <f>+CIG!D49</f>
        <v>385897</v>
      </c>
      <c r="E82" s="70">
        <f>+C82-D82</f>
        <v>-349316.04</v>
      </c>
      <c r="F82" s="364">
        <f>+CIG!A42</f>
        <v>37305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">
      <c r="A83" s="248" t="s">
        <v>31</v>
      </c>
      <c r="B83" s="371">
        <f>+Lonestar!F43</f>
        <v>42065</v>
      </c>
      <c r="C83" s="608">
        <f>+B83*G59</f>
        <v>87495.2</v>
      </c>
      <c r="D83" s="348">
        <f>+Lonestar!D50</f>
        <v>79313.960000000006</v>
      </c>
      <c r="E83" s="348">
        <f>+C83-D83</f>
        <v>8181.2399999999907</v>
      </c>
      <c r="F83" s="363">
        <f>+Lonestar!A43</f>
        <v>37305</v>
      </c>
      <c r="G83" s="32" t="s">
        <v>300</v>
      </c>
      <c r="H83" s="32" t="s">
        <v>102</v>
      </c>
      <c r="I83" s="32"/>
      <c r="J83" s="32"/>
      <c r="K83" s="32"/>
    </row>
    <row r="84" spans="1:12" x14ac:dyDescent="0.2">
      <c r="A84" s="2" t="s">
        <v>159</v>
      </c>
      <c r="B84" s="388">
        <f>SUBTOTAL(9,B80:B83)</f>
        <v>172996</v>
      </c>
      <c r="C84" s="387">
        <f>SUBTOTAL(9,C80:C83)</f>
        <v>359831.68000000005</v>
      </c>
      <c r="D84" s="387">
        <f>SUBTOTAL(9,D80:D83)</f>
        <v>900846.3899999999</v>
      </c>
      <c r="E84" s="387">
        <f>SUBTOTAL(9,E80:E83)</f>
        <v>-541014.71</v>
      </c>
      <c r="F84" s="363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164</v>
      </c>
      <c r="B86" s="388">
        <f>SUBTOTAL(9,B66:B83)</f>
        <v>539025</v>
      </c>
      <c r="C86" s="387">
        <f>SUBTOTAL(9,C66:C83)</f>
        <v>1121236.8600000001</v>
      </c>
      <c r="D86" s="387">
        <f>SUBTOTAL(9,D66:D83)</f>
        <v>-682370.02000000025</v>
      </c>
      <c r="E86" s="387">
        <f>SUBTOTAL(9,E66:E83)</f>
        <v>1803606.8799999997</v>
      </c>
      <c r="F86" s="363"/>
      <c r="H86" s="32"/>
      <c r="I86" s="32"/>
      <c r="J86" s="32"/>
      <c r="K86" s="32"/>
    </row>
    <row r="87" spans="1:12" x14ac:dyDescent="0.2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5" thickBot="1" x14ac:dyDescent="0.25">
      <c r="A89" s="2" t="s">
        <v>166</v>
      </c>
      <c r="B89" s="395">
        <f>+C86+B51</f>
        <v>2788007.7900000014</v>
      </c>
      <c r="C89" s="206"/>
      <c r="D89" s="345"/>
      <c r="E89" s="345"/>
      <c r="F89" s="352"/>
      <c r="H89" s="32"/>
      <c r="I89" s="32"/>
      <c r="J89" s="32"/>
      <c r="K89" s="32"/>
    </row>
    <row r="90" spans="1:12" ht="13.5" thickTop="1" x14ac:dyDescent="0.2">
      <c r="A90" s="2" t="s">
        <v>167</v>
      </c>
      <c r="B90" s="14">
        <f>+B86+C51</f>
        <v>1340531.6792878178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16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5" workbookViewId="0">
      <selection activeCell="C43" sqref="C43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9">
        <v>1</v>
      </c>
      <c r="B6" s="410">
        <v>147304</v>
      </c>
      <c r="C6" s="410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9">
        <v>2</v>
      </c>
      <c r="B7" s="436">
        <v>162193</v>
      </c>
      <c r="C7" s="410">
        <v>159898</v>
      </c>
      <c r="D7" s="307">
        <f>+C7-B7</f>
        <v>-2295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9">
        <v>3</v>
      </c>
      <c r="B8" s="436">
        <v>156474</v>
      </c>
      <c r="C8" s="410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9">
        <v>4</v>
      </c>
      <c r="B9" s="436">
        <v>156008</v>
      </c>
      <c r="C9" s="410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9">
        <v>5</v>
      </c>
      <c r="B10" s="436">
        <v>152552</v>
      </c>
      <c r="C10" s="410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9">
        <v>6</v>
      </c>
      <c r="B11" s="436">
        <v>156411</v>
      </c>
      <c r="C11" s="410">
        <v>154640</v>
      </c>
      <c r="D11" s="307">
        <f t="shared" si="0"/>
        <v>-1771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9">
        <v>7</v>
      </c>
      <c r="B12" s="436">
        <v>159223</v>
      </c>
      <c r="C12" s="410">
        <v>157936</v>
      </c>
      <c r="D12" s="307">
        <f t="shared" si="0"/>
        <v>-1287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9">
        <v>8</v>
      </c>
      <c r="B13" s="436">
        <v>154279</v>
      </c>
      <c r="C13" s="410">
        <v>153799</v>
      </c>
      <c r="D13" s="307">
        <f t="shared" si="0"/>
        <v>-480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9">
        <v>9</v>
      </c>
      <c r="B14" s="410">
        <v>154445</v>
      </c>
      <c r="C14" s="410">
        <v>152757</v>
      </c>
      <c r="D14" s="307">
        <f t="shared" si="0"/>
        <v>-1688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9">
        <v>10</v>
      </c>
      <c r="B15" s="410">
        <v>155369</v>
      </c>
      <c r="C15" s="410">
        <v>152757</v>
      </c>
      <c r="D15" s="307">
        <f t="shared" si="0"/>
        <v>-2612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9">
        <v>11</v>
      </c>
      <c r="B16" s="410">
        <v>156066</v>
      </c>
      <c r="C16" s="410">
        <v>154251</v>
      </c>
      <c r="D16" s="307">
        <f t="shared" si="0"/>
        <v>-1815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9">
        <v>12</v>
      </c>
      <c r="B17" s="410">
        <v>157916</v>
      </c>
      <c r="C17" s="410">
        <v>154251</v>
      </c>
      <c r="D17" s="307">
        <f t="shared" si="0"/>
        <v>-3665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9">
        <v>13</v>
      </c>
      <c r="B18" s="410">
        <v>152043</v>
      </c>
      <c r="C18" s="410">
        <v>149527</v>
      </c>
      <c r="D18" s="307">
        <f t="shared" si="0"/>
        <v>-2516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9">
        <v>14</v>
      </c>
      <c r="B19" s="410">
        <v>159460</v>
      </c>
      <c r="C19" s="410">
        <v>159170</v>
      </c>
      <c r="D19" s="307">
        <f t="shared" si="0"/>
        <v>-290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9">
        <v>15</v>
      </c>
      <c r="B20" s="410">
        <v>151954</v>
      </c>
      <c r="C20" s="410">
        <v>156660</v>
      </c>
      <c r="D20" s="307">
        <f t="shared" si="0"/>
        <v>4706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9">
        <v>16</v>
      </c>
      <c r="B21" s="410">
        <v>161371</v>
      </c>
      <c r="C21" s="410">
        <v>161663</v>
      </c>
      <c r="D21" s="307">
        <f t="shared" si="0"/>
        <v>292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9">
        <v>17</v>
      </c>
      <c r="B22" s="436">
        <v>163543</v>
      </c>
      <c r="C22" s="410">
        <v>162791</v>
      </c>
      <c r="D22" s="307">
        <f t="shared" si="0"/>
        <v>-752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9">
        <v>18</v>
      </c>
      <c r="B23" s="436">
        <v>160795</v>
      </c>
      <c r="C23" s="410">
        <v>162790</v>
      </c>
      <c r="D23" s="307">
        <f t="shared" si="0"/>
        <v>1995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9">
        <v>19</v>
      </c>
      <c r="B24" s="436"/>
      <c r="C24" s="436"/>
      <c r="D24" s="481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9">
        <v>20</v>
      </c>
      <c r="B25" s="436"/>
      <c r="C25" s="436"/>
      <c r="D25" s="481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9">
        <v>21</v>
      </c>
      <c r="B26" s="436"/>
      <c r="C26" s="436"/>
      <c r="D26" s="481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9">
        <v>22</v>
      </c>
      <c r="B27" s="436"/>
      <c r="C27" s="436"/>
      <c r="D27" s="481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9">
        <v>23</v>
      </c>
      <c r="B28" s="436"/>
      <c r="C28" s="436"/>
      <c r="D28" s="481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9">
        <v>24</v>
      </c>
      <c r="B29" s="436"/>
      <c r="C29" s="436"/>
      <c r="D29" s="481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9">
        <v>25</v>
      </c>
      <c r="B30" s="436"/>
      <c r="C30" s="436"/>
      <c r="D30" s="481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9"/>
      <c r="B37" s="410">
        <f>SUM(B6:B36)</f>
        <v>2817406</v>
      </c>
      <c r="C37" s="410">
        <f>SUM(C6:C36)</f>
        <v>2818303</v>
      </c>
      <c r="D37" s="410">
        <f>SUM(D6:D36)</f>
        <v>897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37287</v>
      </c>
      <c r="B39" s="285"/>
      <c r="C39" s="434"/>
      <c r="D39" s="486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37305</v>
      </c>
      <c r="B40" s="285"/>
      <c r="C40" s="435"/>
      <c r="D40" s="307">
        <f>+D39+D37</f>
        <v>-4151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37287</v>
      </c>
      <c r="B45" s="32"/>
      <c r="C45" s="32"/>
      <c r="D45" s="487">
        <v>324667</v>
      </c>
    </row>
    <row r="46" spans="1:16" x14ac:dyDescent="0.2">
      <c r="A46" s="49">
        <f>+A40</f>
        <v>37305</v>
      </c>
      <c r="B46" s="32"/>
      <c r="C46" s="32"/>
      <c r="D46" s="374">
        <f>+D37*'by type_area'!G3</f>
        <v>1874.7299999999998</v>
      </c>
    </row>
    <row r="47" spans="1:16" x14ac:dyDescent="0.2">
      <c r="A47" s="32"/>
      <c r="B47" s="32"/>
      <c r="C47" s="32"/>
      <c r="D47" s="200">
        <f>+D46+D45</f>
        <v>326541.73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7" workbookViewId="0">
      <selection activeCell="C45" sqref="C45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-2958</v>
      </c>
      <c r="C8" s="51">
        <v>-2500</v>
      </c>
      <c r="D8" s="24">
        <f t="shared" si="0"/>
        <v>458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-6319</v>
      </c>
      <c r="C11" s="24">
        <v>-5000</v>
      </c>
      <c r="D11" s="24">
        <f t="shared" si="0"/>
        <v>1319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-352</v>
      </c>
      <c r="C12" s="51">
        <v>-6899</v>
      </c>
      <c r="D12" s="24">
        <f t="shared" si="0"/>
        <v>-6547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-6424</v>
      </c>
      <c r="C14" s="24"/>
      <c r="D14" s="24">
        <f t="shared" si="0"/>
        <v>6424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-13804</v>
      </c>
      <c r="C15" s="24">
        <v>-20000</v>
      </c>
      <c r="D15" s="24">
        <f t="shared" si="0"/>
        <v>-6196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-16324</v>
      </c>
      <c r="C17" s="24">
        <v>-16000</v>
      </c>
      <c r="D17" s="24">
        <f t="shared" si="0"/>
        <v>324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-23772</v>
      </c>
      <c r="C18" s="24">
        <v>-23741</v>
      </c>
      <c r="D18" s="24">
        <f t="shared" si="0"/>
        <v>31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-15589</v>
      </c>
      <c r="C19" s="24">
        <v>-15000</v>
      </c>
      <c r="D19" s="24">
        <f t="shared" si="0"/>
        <v>589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-14045</v>
      </c>
      <c r="C20" s="24">
        <v>-14000</v>
      </c>
      <c r="D20" s="24">
        <f t="shared" si="0"/>
        <v>45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-15357</v>
      </c>
      <c r="C21" s="24">
        <v>-14000</v>
      </c>
      <c r="D21" s="24">
        <f t="shared" si="0"/>
        <v>1357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-14292</v>
      </c>
      <c r="C22" s="24">
        <v>-14000</v>
      </c>
      <c r="D22" s="24">
        <f t="shared" si="0"/>
        <v>292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-185982</v>
      </c>
      <c r="C36" s="24">
        <f>SUM(C5:C35)</f>
        <v>-186140</v>
      </c>
      <c r="D36" s="24">
        <f t="shared" si="0"/>
        <v>-158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2.08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-328.64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37287</v>
      </c>
      <c r="B39"/>
      <c r="C39" s="15"/>
      <c r="D39" s="490">
        <v>20075.23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37305</v>
      </c>
      <c r="B40"/>
      <c r="C40" s="48"/>
      <c r="D40" s="138">
        <f>+D39+D38</f>
        <v>19746.59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37287</v>
      </c>
      <c r="B45" s="32"/>
      <c r="C45" s="32"/>
      <c r="D45" s="485">
        <v>7554</v>
      </c>
    </row>
    <row r="46" spans="1:65" x14ac:dyDescent="0.2">
      <c r="A46" s="49">
        <f>+A40</f>
        <v>37305</v>
      </c>
      <c r="B46" s="32"/>
      <c r="C46" s="32"/>
      <c r="D46" s="349">
        <f>+D36</f>
        <v>-158</v>
      </c>
    </row>
    <row r="47" spans="1:65" x14ac:dyDescent="0.2">
      <c r="A47" s="32"/>
      <c r="B47" s="32"/>
      <c r="C47" s="32"/>
      <c r="D47" s="14">
        <f>+D46+D45</f>
        <v>7396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C11" sqref="C11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f>585778+30937</f>
        <v>616715</v>
      </c>
      <c r="C5" s="90">
        <v>635781</v>
      </c>
      <c r="D5" s="90">
        <f>+C5-B5</f>
        <v>19066</v>
      </c>
      <c r="E5" s="275"/>
      <c r="F5" s="273"/>
    </row>
    <row r="6" spans="1:13" x14ac:dyDescent="0.2">
      <c r="A6" s="87">
        <v>78311</v>
      </c>
      <c r="B6" s="90">
        <f>212279+10600</f>
        <v>222879</v>
      </c>
      <c r="C6" s="90">
        <v>219800</v>
      </c>
      <c r="D6" s="90">
        <f t="shared" ref="D6:D17" si="0">+C6-B6</f>
        <v>-3079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f>577690+31991</f>
        <v>609681</v>
      </c>
      <c r="C7" s="90">
        <v>715088</v>
      </c>
      <c r="D7" s="90">
        <f t="shared" si="0"/>
        <v>105407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f>668836+36966</f>
        <v>705802</v>
      </c>
      <c r="C8" s="90">
        <v>634379</v>
      </c>
      <c r="D8" s="90">
        <f t="shared" si="0"/>
        <v>-71423</v>
      </c>
      <c r="E8" s="455"/>
      <c r="F8" s="273"/>
    </row>
    <row r="9" spans="1:13" x14ac:dyDescent="0.2">
      <c r="A9" s="87">
        <v>500293</v>
      </c>
      <c r="B9" s="90">
        <f>313636+15726</f>
        <v>329362</v>
      </c>
      <c r="C9" s="90">
        <v>385310</v>
      </c>
      <c r="D9" s="90">
        <f t="shared" si="0"/>
        <v>55948</v>
      </c>
      <c r="E9" s="275"/>
      <c r="F9" s="273"/>
    </row>
    <row r="10" spans="1:13" x14ac:dyDescent="0.2">
      <c r="A10" s="87">
        <v>500302</v>
      </c>
      <c r="B10" s="90"/>
      <c r="C10" s="90">
        <v>5757</v>
      </c>
      <c r="D10" s="90">
        <f t="shared" si="0"/>
        <v>5757</v>
      </c>
      <c r="E10" s="275"/>
      <c r="F10" s="273"/>
    </row>
    <row r="11" spans="1:13" x14ac:dyDescent="0.2">
      <c r="A11" s="87">
        <v>500303</v>
      </c>
      <c r="B11" s="90"/>
      <c r="C11" s="90">
        <v>17263</v>
      </c>
      <c r="D11" s="90">
        <f t="shared" si="0"/>
        <v>17263</v>
      </c>
      <c r="E11" s="275"/>
      <c r="F11" s="273"/>
    </row>
    <row r="12" spans="1:13" x14ac:dyDescent="0.2">
      <c r="A12" s="91">
        <v>500305</v>
      </c>
      <c r="B12" s="90">
        <f>844029+46179+47595</f>
        <v>937803</v>
      </c>
      <c r="C12" s="90">
        <v>1001188</v>
      </c>
      <c r="D12" s="90">
        <f t="shared" si="0"/>
        <v>63385</v>
      </c>
      <c r="E12" s="276"/>
      <c r="F12" s="465"/>
      <c r="G12" s="90"/>
    </row>
    <row r="13" spans="1:13" x14ac:dyDescent="0.2">
      <c r="A13" s="87">
        <v>500307</v>
      </c>
      <c r="B13" s="90">
        <f>59494+3199</f>
        <v>62693</v>
      </c>
      <c r="C13" s="90">
        <v>38470</v>
      </c>
      <c r="D13" s="90">
        <f t="shared" si="0"/>
        <v>-24223</v>
      </c>
      <c r="E13" s="275"/>
      <c r="F13" s="273"/>
    </row>
    <row r="14" spans="1:13" x14ac:dyDescent="0.2">
      <c r="A14" s="87">
        <v>500313</v>
      </c>
      <c r="B14" s="90"/>
      <c r="C14" s="90">
        <v>1826</v>
      </c>
      <c r="D14" s="90">
        <f t="shared" si="0"/>
        <v>1826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f>128849+9000</f>
        <v>137849</v>
      </c>
      <c r="C16" s="90"/>
      <c r="D16" s="90">
        <f t="shared" si="0"/>
        <v>-137849</v>
      </c>
      <c r="E16" s="275"/>
      <c r="F16" s="273"/>
    </row>
    <row r="17" spans="1:7" x14ac:dyDescent="0.2">
      <c r="A17" s="87">
        <v>500657</v>
      </c>
      <c r="B17" s="88">
        <f>66484+4913</f>
        <v>71397</v>
      </c>
      <c r="C17" s="88">
        <v>32848</v>
      </c>
      <c r="D17" s="94">
        <f t="shared" si="0"/>
        <v>-38549</v>
      </c>
      <c r="E17" s="275"/>
      <c r="F17" s="273"/>
      <c r="G17" s="557"/>
    </row>
    <row r="18" spans="1:7" x14ac:dyDescent="0.2">
      <c r="A18" s="87"/>
      <c r="B18" s="88"/>
      <c r="C18" s="88"/>
      <c r="D18" s="88">
        <f>SUM(D5:D17)</f>
        <v>-6471</v>
      </c>
      <c r="E18" s="275"/>
      <c r="F18" s="465"/>
    </row>
    <row r="19" spans="1:7" x14ac:dyDescent="0.2">
      <c r="A19" s="87" t="s">
        <v>81</v>
      </c>
      <c r="B19" s="88"/>
      <c r="C19" s="88"/>
      <c r="D19" s="95">
        <f>+summary!G5</f>
        <v>2.08</v>
      </c>
      <c r="E19" s="277"/>
      <c r="F19" s="465"/>
    </row>
    <row r="20" spans="1:7" x14ac:dyDescent="0.2">
      <c r="A20" s="87"/>
      <c r="B20" s="88"/>
      <c r="C20" s="88"/>
      <c r="D20" s="96">
        <f>+D19*D18</f>
        <v>-13459.68</v>
      </c>
      <c r="E20" s="207"/>
      <c r="F20" s="465"/>
    </row>
    <row r="21" spans="1:7" x14ac:dyDescent="0.2">
      <c r="A21" s="87"/>
      <c r="B21" s="88"/>
      <c r="C21" s="88"/>
      <c r="D21" s="96"/>
      <c r="E21" s="207"/>
      <c r="F21" s="201"/>
    </row>
    <row r="22" spans="1:7" x14ac:dyDescent="0.2">
      <c r="A22" s="99">
        <v>37287</v>
      </c>
      <c r="B22" s="88"/>
      <c r="C22" s="88"/>
      <c r="D22" s="582">
        <v>121616.94</v>
      </c>
      <c r="E22" s="207"/>
      <c r="F22" s="466"/>
    </row>
    <row r="23" spans="1:7" x14ac:dyDescent="0.2">
      <c r="A23" s="87"/>
      <c r="B23" s="88"/>
      <c r="C23" s="88"/>
      <c r="D23" s="308"/>
      <c r="E23" s="207"/>
      <c r="F23" s="466"/>
    </row>
    <row r="24" spans="1:7" ht="13.5" thickBot="1" x14ac:dyDescent="0.25">
      <c r="A24" s="99">
        <v>37306</v>
      </c>
      <c r="B24" s="88"/>
      <c r="C24" s="88"/>
      <c r="D24" s="318">
        <f>+D22+D20</f>
        <v>108157.26000000001</v>
      </c>
      <c r="E24" s="207"/>
      <c r="F24" s="466"/>
    </row>
    <row r="25" spans="1:7" ht="13.5" thickTop="1" x14ac:dyDescent="0.2">
      <c r="E25" s="278"/>
    </row>
    <row r="28" spans="1:7" x14ac:dyDescent="0.2">
      <c r="A28" s="32" t="s">
        <v>148</v>
      </c>
      <c r="B28" s="32"/>
      <c r="C28" s="32"/>
      <c r="D28" s="32"/>
      <c r="E28" s="344"/>
    </row>
    <row r="29" spans="1:7" x14ac:dyDescent="0.2">
      <c r="A29" s="49">
        <f>+A22</f>
        <v>37287</v>
      </c>
      <c r="B29" s="32"/>
      <c r="C29" s="32"/>
      <c r="D29" s="567">
        <v>70652</v>
      </c>
    </row>
    <row r="30" spans="1:7" x14ac:dyDescent="0.2">
      <c r="A30" s="49">
        <f>+A24</f>
        <v>37306</v>
      </c>
      <c r="B30" s="32"/>
      <c r="C30" s="32"/>
      <c r="D30" s="349">
        <f>+D18</f>
        <v>-6471</v>
      </c>
    </row>
    <row r="31" spans="1:7" x14ac:dyDescent="0.2">
      <c r="A31" s="32"/>
      <c r="B31" s="32"/>
      <c r="C31" s="32"/>
      <c r="D31" s="14">
        <f>+D30+D29</f>
        <v>64181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0" workbookViewId="0">
      <selection activeCell="C43" sqref="C43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65489</v>
      </c>
      <c r="C6" s="11">
        <v>60000</v>
      </c>
      <c r="D6" s="11"/>
      <c r="E6" s="11"/>
      <c r="F6" s="25">
        <f t="shared" si="2"/>
        <v>-5489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2</v>
      </c>
      <c r="E8" s="11"/>
      <c r="F8" s="25">
        <f t="shared" si="2"/>
        <v>2914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25769</v>
      </c>
      <c r="E9" s="11">
        <v>24300</v>
      </c>
      <c r="F9" s="25">
        <f t="shared" si="2"/>
        <v>-3946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37958</v>
      </c>
      <c r="C10" s="11">
        <v>42000</v>
      </c>
      <c r="D10" s="129">
        <v>25600</v>
      </c>
      <c r="E10" s="11">
        <v>30000</v>
      </c>
      <c r="F10" s="25">
        <f t="shared" si="2"/>
        <v>8442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>
        <v>39372</v>
      </c>
      <c r="C11" s="11">
        <v>37811</v>
      </c>
      <c r="D11" s="11">
        <v>25610</v>
      </c>
      <c r="E11" s="11">
        <v>29173</v>
      </c>
      <c r="F11" s="25">
        <f>+E11+C11-D11-B11</f>
        <v>2002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38862</v>
      </c>
      <c r="C12" s="11">
        <v>38855</v>
      </c>
      <c r="D12" s="11">
        <v>26702</v>
      </c>
      <c r="E12" s="11">
        <v>30000</v>
      </c>
      <c r="F12" s="25">
        <f>+E12+C12-D12-B12</f>
        <v>3291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>
        <v>37175</v>
      </c>
      <c r="C13" s="11">
        <v>38855</v>
      </c>
      <c r="D13" s="129">
        <v>29335</v>
      </c>
      <c r="E13" s="11">
        <v>30000</v>
      </c>
      <c r="F13" s="25">
        <f t="shared" si="2"/>
        <v>2345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>
        <v>38725</v>
      </c>
      <c r="C14" s="11">
        <v>38614</v>
      </c>
      <c r="D14" s="11">
        <v>32471</v>
      </c>
      <c r="E14" s="11">
        <v>29809</v>
      </c>
      <c r="F14" s="25">
        <f t="shared" si="2"/>
        <v>-2773</v>
      </c>
      <c r="G14" s="25"/>
    </row>
    <row r="15" spans="1:14" x14ac:dyDescent="0.2">
      <c r="A15" s="41">
        <v>12</v>
      </c>
      <c r="B15" s="11">
        <v>34768</v>
      </c>
      <c r="C15" s="11">
        <v>37555</v>
      </c>
      <c r="D15" s="11">
        <v>31799</v>
      </c>
      <c r="E15" s="11">
        <v>28000</v>
      </c>
      <c r="F15" s="25">
        <f t="shared" si="2"/>
        <v>-1012</v>
      </c>
      <c r="G15" s="25"/>
    </row>
    <row r="16" spans="1:14" x14ac:dyDescent="0.2">
      <c r="A16" s="41">
        <v>13</v>
      </c>
      <c r="B16" s="11">
        <v>32840</v>
      </c>
      <c r="C16" s="11">
        <v>37555</v>
      </c>
      <c r="D16" s="11">
        <v>32905</v>
      </c>
      <c r="E16" s="11">
        <v>28000</v>
      </c>
      <c r="F16" s="25">
        <f t="shared" si="2"/>
        <v>-190</v>
      </c>
      <c r="G16" s="25"/>
    </row>
    <row r="17" spans="1:7" x14ac:dyDescent="0.2">
      <c r="A17" s="41">
        <v>14</v>
      </c>
      <c r="B17" s="11">
        <v>39757</v>
      </c>
      <c r="C17" s="11">
        <v>40146</v>
      </c>
      <c r="D17" s="11">
        <v>32995</v>
      </c>
      <c r="E17" s="11">
        <v>30000</v>
      </c>
      <c r="F17" s="25">
        <f t="shared" si="2"/>
        <v>-2606</v>
      </c>
      <c r="G17" s="25"/>
    </row>
    <row r="18" spans="1:7" x14ac:dyDescent="0.2">
      <c r="A18" s="41">
        <v>15</v>
      </c>
      <c r="B18" s="11">
        <v>39667</v>
      </c>
      <c r="C18" s="11">
        <v>39089</v>
      </c>
      <c r="D18" s="11">
        <v>30543</v>
      </c>
      <c r="E18" s="11">
        <v>31023</v>
      </c>
      <c r="F18" s="25">
        <f t="shared" si="2"/>
        <v>-98</v>
      </c>
      <c r="G18" s="25"/>
    </row>
    <row r="19" spans="1:7" x14ac:dyDescent="0.2">
      <c r="A19" s="41">
        <v>16</v>
      </c>
      <c r="B19" s="11">
        <v>35987</v>
      </c>
      <c r="C19" s="11">
        <v>39089</v>
      </c>
      <c r="D19" s="11">
        <v>31473</v>
      </c>
      <c r="E19" s="11">
        <v>31023</v>
      </c>
      <c r="F19" s="25">
        <f t="shared" si="2"/>
        <v>2652</v>
      </c>
      <c r="G19" s="25"/>
    </row>
    <row r="20" spans="1:7" x14ac:dyDescent="0.2">
      <c r="A20" s="41">
        <v>17</v>
      </c>
      <c r="B20" s="11">
        <v>36447</v>
      </c>
      <c r="C20" s="11">
        <v>39089</v>
      </c>
      <c r="D20" s="11">
        <v>29858</v>
      </c>
      <c r="E20" s="11">
        <v>31023</v>
      </c>
      <c r="F20" s="25">
        <f t="shared" si="2"/>
        <v>3807</v>
      </c>
      <c r="G20" s="25"/>
    </row>
    <row r="21" spans="1:7" x14ac:dyDescent="0.2">
      <c r="A21" s="41">
        <v>18</v>
      </c>
      <c r="B21" s="11">
        <v>36600</v>
      </c>
      <c r="C21" s="11">
        <v>39089</v>
      </c>
      <c r="D21" s="129">
        <v>29631</v>
      </c>
      <c r="E21" s="11">
        <v>31023</v>
      </c>
      <c r="F21" s="25">
        <f t="shared" si="2"/>
        <v>3881</v>
      </c>
      <c r="G21" s="25"/>
    </row>
    <row r="22" spans="1:7" x14ac:dyDescent="0.2">
      <c r="A22" s="41">
        <v>19</v>
      </c>
      <c r="B22" s="11">
        <v>38814</v>
      </c>
      <c r="C22" s="11">
        <v>39089</v>
      </c>
      <c r="D22" s="11">
        <v>29393</v>
      </c>
      <c r="E22" s="11">
        <v>31023</v>
      </c>
      <c r="F22" s="25">
        <f t="shared" si="2"/>
        <v>1905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837411</v>
      </c>
      <c r="C35" s="11">
        <f>SUM(C4:C34)</f>
        <v>843135</v>
      </c>
      <c r="D35" s="11">
        <f>SUM(D4:D34)</f>
        <v>414087</v>
      </c>
      <c r="E35" s="11">
        <f>SUM(E4:E34)</f>
        <v>414397</v>
      </c>
      <c r="F35" s="11">
        <f>+E35-D35+C35-B35</f>
        <v>6034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9">
        <f>+summary!G4</f>
        <v>2.08</v>
      </c>
    </row>
    <row r="38" spans="1:7" x14ac:dyDescent="0.2">
      <c r="C38" s="48"/>
      <c r="D38" s="47"/>
      <c r="E38" s="48"/>
      <c r="F38" s="46">
        <f>+F37*F35</f>
        <v>12550.720000000001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4">
        <v>451518.05</v>
      </c>
      <c r="G40" s="25"/>
    </row>
    <row r="41" spans="1:7" x14ac:dyDescent="0.2">
      <c r="A41" s="57">
        <v>37306</v>
      </c>
      <c r="C41" s="106"/>
      <c r="D41" s="106"/>
      <c r="E41" s="106"/>
      <c r="F41" s="106">
        <f>+F38+F40</f>
        <v>464068.77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37287</v>
      </c>
      <c r="D46" s="488">
        <v>13684</v>
      </c>
      <c r="E46" s="11"/>
      <c r="F46" s="11"/>
      <c r="G46" s="25"/>
    </row>
    <row r="47" spans="1:7" x14ac:dyDescent="0.2">
      <c r="A47" s="49">
        <f>+A41</f>
        <v>37306</v>
      </c>
      <c r="D47" s="349">
        <f>+F35</f>
        <v>6034</v>
      </c>
      <c r="E47" s="11"/>
      <c r="F47" s="11"/>
      <c r="G47" s="25"/>
    </row>
    <row r="48" spans="1:7" x14ac:dyDescent="0.2">
      <c r="D48" s="14">
        <f>+D47+D46</f>
        <v>19718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33" workbookViewId="0">
      <selection activeCell="E46" sqref="E46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191389</v>
      </c>
      <c r="C11" s="11">
        <v>193580</v>
      </c>
      <c r="D11" s="11"/>
      <c r="E11" s="11">
        <v>-2646</v>
      </c>
      <c r="F11" s="11">
        <f t="shared" si="2"/>
        <v>-455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200987</v>
      </c>
      <c r="C12" s="11">
        <v>204150</v>
      </c>
      <c r="D12" s="11"/>
      <c r="E12" s="11">
        <v>-2646</v>
      </c>
      <c r="F12" s="11">
        <f t="shared" si="2"/>
        <v>517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167359</v>
      </c>
      <c r="C13" s="11">
        <v>168959</v>
      </c>
      <c r="D13" s="11"/>
      <c r="E13" s="11">
        <v>-2646</v>
      </c>
      <c r="F13" s="11">
        <f t="shared" si="2"/>
        <v>-1046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167917</v>
      </c>
      <c r="C14" s="11">
        <v>168981</v>
      </c>
      <c r="D14" s="11"/>
      <c r="E14" s="11">
        <v>-2646</v>
      </c>
      <c r="F14" s="11">
        <f t="shared" si="2"/>
        <v>-1582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167539</v>
      </c>
      <c r="C15" s="11">
        <v>168891</v>
      </c>
      <c r="D15" s="11"/>
      <c r="E15" s="11">
        <v>-2646</v>
      </c>
      <c r="F15" s="11">
        <f t="shared" si="2"/>
        <v>-1294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184182</v>
      </c>
      <c r="C16" s="11">
        <v>185636</v>
      </c>
      <c r="D16" s="11"/>
      <c r="E16" s="11">
        <v>-2646</v>
      </c>
      <c r="F16" s="11">
        <f t="shared" si="2"/>
        <v>-1192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200799</v>
      </c>
      <c r="C17" s="11">
        <v>203343</v>
      </c>
      <c r="D17" s="11"/>
      <c r="E17" s="11">
        <v>-4578</v>
      </c>
      <c r="F17" s="11">
        <f t="shared" si="2"/>
        <v>-2034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197521</v>
      </c>
      <c r="C18" s="11">
        <v>199150</v>
      </c>
      <c r="D18" s="11"/>
      <c r="E18" s="11">
        <v>-2646</v>
      </c>
      <c r="F18" s="11">
        <f t="shared" si="2"/>
        <v>-1017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199710</v>
      </c>
      <c r="C19" s="11">
        <v>204054</v>
      </c>
      <c r="D19" s="11"/>
      <c r="E19" s="11">
        <v>-2646</v>
      </c>
      <c r="F19" s="11">
        <f t="shared" si="2"/>
        <v>1698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174864</v>
      </c>
      <c r="C20" s="11">
        <v>192107</v>
      </c>
      <c r="D20" s="11"/>
      <c r="E20" s="11">
        <v>-8424</v>
      </c>
      <c r="F20" s="11">
        <f t="shared" si="2"/>
        <v>8819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167500</v>
      </c>
      <c r="C21" s="11">
        <v>192060</v>
      </c>
      <c r="D21" s="11"/>
      <c r="E21" s="11">
        <v>-9974</v>
      </c>
      <c r="F21" s="11">
        <f t="shared" si="2"/>
        <v>14586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178413</v>
      </c>
      <c r="C22" s="11">
        <v>201395</v>
      </c>
      <c r="D22" s="11"/>
      <c r="E22" s="11">
        <v>-9523</v>
      </c>
      <c r="F22" s="11">
        <f t="shared" si="2"/>
        <v>13459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3270529</v>
      </c>
      <c r="C36" s="11">
        <f>SUM(C5:C35)</f>
        <v>3366063</v>
      </c>
      <c r="D36" s="11">
        <f>SUM(D5:D35)</f>
        <v>0</v>
      </c>
      <c r="E36" s="11">
        <f>SUM(E5:E35)</f>
        <v>-70833</v>
      </c>
      <c r="F36" s="11">
        <f>SUM(F5:F35)</f>
        <v>24701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37287</v>
      </c>
      <c r="F39" s="572">
        <v>-35191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37305</v>
      </c>
      <c r="F41" s="332">
        <f>+F39+F36</f>
        <v>-10490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37287</v>
      </c>
      <c r="C47" s="32"/>
      <c r="D47" s="32"/>
      <c r="E47" s="574">
        <v>-533965.98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37305</v>
      </c>
      <c r="C48" s="32"/>
      <c r="D48" s="32"/>
      <c r="E48" s="374">
        <f>+F36*'by type_area'!G3</f>
        <v>51625.09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-482340.89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7" workbookViewId="0">
      <selection activeCell="C49" sqref="C49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">
      <c r="A10" s="10">
        <v>3</v>
      </c>
      <c r="B10" s="11">
        <v>94498</v>
      </c>
      <c r="C10" s="11">
        <v>93799</v>
      </c>
      <c r="D10" s="11">
        <f t="shared" si="0"/>
        <v>-699</v>
      </c>
      <c r="E10" s="10"/>
      <c r="F10" s="11"/>
      <c r="G10" s="11"/>
      <c r="H10" s="11"/>
    </row>
    <row r="11" spans="1:8" x14ac:dyDescent="0.2">
      <c r="A11" s="10">
        <v>4</v>
      </c>
      <c r="B11" s="11">
        <v>94115</v>
      </c>
      <c r="C11" s="11">
        <v>93799</v>
      </c>
      <c r="D11" s="11">
        <f t="shared" si="0"/>
        <v>-316</v>
      </c>
      <c r="E11" s="10"/>
      <c r="F11" s="11"/>
      <c r="G11" s="11"/>
      <c r="H11" s="11"/>
    </row>
    <row r="12" spans="1:8" x14ac:dyDescent="0.2">
      <c r="A12" s="10">
        <v>5</v>
      </c>
      <c r="B12" s="11">
        <v>111473</v>
      </c>
      <c r="C12" s="11">
        <v>110461</v>
      </c>
      <c r="D12" s="11">
        <f t="shared" si="0"/>
        <v>-1012</v>
      </c>
      <c r="E12" s="10"/>
      <c r="F12" s="11"/>
      <c r="G12" s="11"/>
      <c r="H12" s="11"/>
    </row>
    <row r="13" spans="1:8" x14ac:dyDescent="0.2">
      <c r="A13" s="10">
        <v>6</v>
      </c>
      <c r="B13" s="11">
        <v>94006</v>
      </c>
      <c r="C13" s="11">
        <v>93799</v>
      </c>
      <c r="D13" s="11">
        <f t="shared" si="0"/>
        <v>-207</v>
      </c>
      <c r="E13" s="10"/>
      <c r="F13" s="11"/>
      <c r="G13" s="11"/>
      <c r="H13" s="11"/>
    </row>
    <row r="14" spans="1:8" x14ac:dyDescent="0.2">
      <c r="A14" s="10">
        <v>7</v>
      </c>
      <c r="B14" s="11">
        <v>94007</v>
      </c>
      <c r="C14" s="11">
        <v>93799</v>
      </c>
      <c r="D14" s="11">
        <f t="shared" si="0"/>
        <v>-208</v>
      </c>
      <c r="E14" s="10"/>
      <c r="F14" s="11"/>
      <c r="G14" s="11"/>
      <c r="H14" s="11"/>
    </row>
    <row r="15" spans="1:8" x14ac:dyDescent="0.2">
      <c r="A15" s="10">
        <v>8</v>
      </c>
      <c r="B15" s="11">
        <v>96300</v>
      </c>
      <c r="C15" s="11">
        <v>96299</v>
      </c>
      <c r="D15" s="11">
        <f t="shared" si="0"/>
        <v>-1</v>
      </c>
      <c r="E15" s="10"/>
      <c r="F15" s="11"/>
      <c r="G15" s="11"/>
      <c r="H15" s="11"/>
    </row>
    <row r="16" spans="1:8" x14ac:dyDescent="0.2">
      <c r="A16" s="10">
        <v>9</v>
      </c>
      <c r="B16" s="11">
        <v>94782</v>
      </c>
      <c r="C16" s="11">
        <v>93799</v>
      </c>
      <c r="D16" s="11">
        <f t="shared" si="0"/>
        <v>-983</v>
      </c>
      <c r="E16" s="10"/>
      <c r="F16" s="11"/>
      <c r="G16" s="11"/>
      <c r="H16" s="11"/>
    </row>
    <row r="17" spans="1:8" x14ac:dyDescent="0.2">
      <c r="A17" s="10">
        <v>10</v>
      </c>
      <c r="B17" s="11">
        <v>95002</v>
      </c>
      <c r="C17" s="11">
        <v>93799</v>
      </c>
      <c r="D17" s="11">
        <f t="shared" si="0"/>
        <v>-1203</v>
      </c>
      <c r="E17" s="10"/>
      <c r="F17" s="11"/>
      <c r="G17" s="11"/>
      <c r="H17" s="11"/>
    </row>
    <row r="18" spans="1:8" x14ac:dyDescent="0.2">
      <c r="A18" s="10">
        <v>11</v>
      </c>
      <c r="B18" s="11">
        <v>93951</v>
      </c>
      <c r="C18" s="11">
        <v>93799</v>
      </c>
      <c r="D18" s="11">
        <f t="shared" si="0"/>
        <v>-152</v>
      </c>
      <c r="E18" s="10"/>
      <c r="F18" s="11"/>
      <c r="G18" s="11"/>
      <c r="H18" s="11"/>
    </row>
    <row r="19" spans="1:8" x14ac:dyDescent="0.2">
      <c r="A19" s="10">
        <v>12</v>
      </c>
      <c r="B19" s="11">
        <v>90782</v>
      </c>
      <c r="C19" s="11">
        <v>90776</v>
      </c>
      <c r="D19" s="11">
        <f t="shared" si="0"/>
        <v>-6</v>
      </c>
      <c r="E19" s="10"/>
      <c r="F19" s="11"/>
      <c r="G19" s="11"/>
      <c r="H19" s="11"/>
    </row>
    <row r="20" spans="1:8" x14ac:dyDescent="0.2">
      <c r="A20" s="10">
        <v>13</v>
      </c>
      <c r="B20" s="11">
        <v>95014</v>
      </c>
      <c r="C20" s="11">
        <v>93799</v>
      </c>
      <c r="D20" s="11">
        <f t="shared" si="0"/>
        <v>-1215</v>
      </c>
      <c r="E20" s="10"/>
      <c r="F20" s="11"/>
      <c r="G20" s="11"/>
      <c r="H20" s="11"/>
    </row>
    <row r="21" spans="1:8" x14ac:dyDescent="0.2">
      <c r="A21" s="10">
        <v>14</v>
      </c>
      <c r="B21" s="11">
        <v>94012</v>
      </c>
      <c r="C21" s="11">
        <v>93799</v>
      </c>
      <c r="D21" s="11">
        <f t="shared" si="0"/>
        <v>-213</v>
      </c>
      <c r="E21" s="10"/>
      <c r="F21" s="11"/>
      <c r="G21" s="11"/>
      <c r="H21" s="11"/>
    </row>
    <row r="22" spans="1:8" x14ac:dyDescent="0.2">
      <c r="A22" s="10">
        <v>15</v>
      </c>
      <c r="B22" s="11">
        <v>94013</v>
      </c>
      <c r="C22" s="11">
        <v>93799</v>
      </c>
      <c r="D22" s="11">
        <f t="shared" si="0"/>
        <v>-214</v>
      </c>
      <c r="E22" s="10"/>
      <c r="F22" s="11"/>
      <c r="G22" s="11"/>
      <c r="H22" s="11"/>
    </row>
    <row r="23" spans="1:8" x14ac:dyDescent="0.2">
      <c r="A23" s="10">
        <v>16</v>
      </c>
      <c r="B23" s="11">
        <v>103917</v>
      </c>
      <c r="C23" s="11">
        <v>91798</v>
      </c>
      <c r="D23" s="11">
        <f t="shared" si="0"/>
        <v>-12119</v>
      </c>
      <c r="E23" s="10"/>
      <c r="F23" s="11"/>
      <c r="G23" s="11"/>
      <c r="H23" s="11"/>
    </row>
    <row r="24" spans="1:8" x14ac:dyDescent="0.2">
      <c r="A24" s="10">
        <v>17</v>
      </c>
      <c r="B24" s="11">
        <v>91468</v>
      </c>
      <c r="C24" s="11">
        <v>91798</v>
      </c>
      <c r="D24" s="11">
        <f t="shared" si="0"/>
        <v>330</v>
      </c>
      <c r="E24" s="10"/>
      <c r="F24" s="11"/>
      <c r="G24" s="11"/>
      <c r="H24" s="11"/>
    </row>
    <row r="25" spans="1:8" x14ac:dyDescent="0.2">
      <c r="A25" s="10">
        <v>18</v>
      </c>
      <c r="B25" s="11">
        <v>89759</v>
      </c>
      <c r="C25" s="11">
        <v>91798</v>
      </c>
      <c r="D25" s="11">
        <f t="shared" si="0"/>
        <v>2039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1697485</v>
      </c>
      <c r="C39" s="11">
        <f>SUM(C8:C38)</f>
        <v>1683519</v>
      </c>
      <c r="D39" s="11">
        <f>SUM(D8:D38)</f>
        <v>-13966</v>
      </c>
      <c r="E39" s="10"/>
      <c r="F39" s="11"/>
      <c r="G39" s="11"/>
      <c r="H39" s="11"/>
    </row>
    <row r="40" spans="1:8" x14ac:dyDescent="0.2">
      <c r="A40" s="26"/>
      <c r="D40" s="75">
        <f>+summary!G4</f>
        <v>2.08</v>
      </c>
      <c r="E40" s="26"/>
      <c r="H40" s="75"/>
    </row>
    <row r="41" spans="1:8" x14ac:dyDescent="0.2">
      <c r="D41" s="195">
        <f>+D40*D39</f>
        <v>-29049.280000000002</v>
      </c>
      <c r="F41" s="247"/>
      <c r="H41" s="195"/>
    </row>
    <row r="42" spans="1:8" x14ac:dyDescent="0.2">
      <c r="A42" s="57">
        <v>37287</v>
      </c>
      <c r="D42" s="596">
        <v>28675</v>
      </c>
      <c r="E42" s="57"/>
      <c r="H42" s="195"/>
    </row>
    <row r="43" spans="1:8" x14ac:dyDescent="0.2">
      <c r="A43" s="57">
        <v>37305</v>
      </c>
      <c r="D43" s="196">
        <f>+D42+D41</f>
        <v>-374.28000000000247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148</v>
      </c>
      <c r="B47" s="32"/>
      <c r="C47" s="32"/>
      <c r="D47" s="32"/>
    </row>
    <row r="48" spans="1:8" x14ac:dyDescent="0.2">
      <c r="A48" s="49">
        <f>+A42</f>
        <v>37287</v>
      </c>
      <c r="B48" s="32"/>
      <c r="C48" s="32"/>
      <c r="D48" s="591">
        <v>-42160</v>
      </c>
    </row>
    <row r="49" spans="1:4" x14ac:dyDescent="0.2">
      <c r="A49" s="49">
        <f>+A43</f>
        <v>37305</v>
      </c>
      <c r="B49" s="32"/>
      <c r="C49" s="32"/>
      <c r="D49" s="349">
        <f>+D39</f>
        <v>-13966</v>
      </c>
    </row>
    <row r="50" spans="1:4" x14ac:dyDescent="0.2">
      <c r="A50" s="32"/>
      <c r="B50" s="32"/>
      <c r="C50" s="32"/>
      <c r="D50" s="14">
        <f>+D49+D48</f>
        <v>-56126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23" workbookViewId="0">
      <selection activeCell="B68" sqref="B68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37287</v>
      </c>
      <c r="C5" s="583">
        <v>1529476.6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249</v>
      </c>
      <c r="J6" s="15"/>
    </row>
    <row r="7" spans="1:14" x14ac:dyDescent="0.2">
      <c r="A7" s="57">
        <v>37304</v>
      </c>
      <c r="I7" s="3" t="s">
        <v>255</v>
      </c>
      <c r="J7" s="15"/>
    </row>
    <row r="8" spans="1:14" x14ac:dyDescent="0.2">
      <c r="A8" s="248">
        <v>50895</v>
      </c>
      <c r="B8" s="339">
        <f>3531-3455</f>
        <v>76</v>
      </c>
      <c r="J8" s="15"/>
    </row>
    <row r="9" spans="1:14" x14ac:dyDescent="0.2">
      <c r="A9" s="248">
        <v>60874</v>
      </c>
      <c r="B9" s="339">
        <v>1681</v>
      </c>
      <c r="J9" s="15"/>
    </row>
    <row r="10" spans="1:14" x14ac:dyDescent="0.2">
      <c r="A10" s="248">
        <v>78169</v>
      </c>
      <c r="B10" s="339">
        <f>274057-243484-15678-20163</f>
        <v>-5268</v>
      </c>
      <c r="I10" s="87" t="s">
        <v>250</v>
      </c>
      <c r="J10" s="480" t="s">
        <v>27</v>
      </c>
      <c r="K10" s="87" t="s">
        <v>251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0">
        <f>+C40</f>
        <v>855876.1</v>
      </c>
      <c r="K11" s="87" t="s">
        <v>252</v>
      </c>
      <c r="L11" s="87"/>
      <c r="M11" s="87"/>
      <c r="N11" s="87"/>
    </row>
    <row r="12" spans="1:14" ht="20.100000000000001" customHeight="1" x14ac:dyDescent="0.2">
      <c r="A12" s="248">
        <v>500248</v>
      </c>
      <c r="B12" s="341"/>
      <c r="I12" s="87">
        <v>24693</v>
      </c>
      <c r="J12" s="445">
        <v>275313.71999999997</v>
      </c>
      <c r="K12" s="87" t="s">
        <v>253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8408-6400</f>
        <v>2008</v>
      </c>
      <c r="I13" s="87">
        <v>21665</v>
      </c>
      <c r="J13" s="445">
        <v>73449.16</v>
      </c>
      <c r="K13" s="87" t="s">
        <v>254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2017-1827</f>
        <v>190</v>
      </c>
      <c r="I14" s="87">
        <v>22664</v>
      </c>
      <c r="J14" s="448">
        <v>23612.35</v>
      </c>
      <c r="K14" s="87" t="s">
        <v>256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2270-8422</f>
        <v>-6152</v>
      </c>
      <c r="I15" s="87"/>
      <c r="J15" s="445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">
      <c r="A17" s="280">
        <v>500267</v>
      </c>
      <c r="B17" s="340">
        <f>910718-928535</f>
        <v>-17817</v>
      </c>
      <c r="I17" s="87"/>
      <c r="J17" s="445"/>
      <c r="K17" s="87"/>
      <c r="L17" s="87"/>
      <c r="M17" s="87"/>
      <c r="N17" s="87"/>
    </row>
    <row r="18" spans="1:14" x14ac:dyDescent="0.2">
      <c r="B18" s="14">
        <f>SUM(B8:B17)</f>
        <v>-25283</v>
      </c>
      <c r="I18" s="87"/>
      <c r="J18" s="445"/>
      <c r="K18" s="87"/>
      <c r="L18" s="87"/>
      <c r="M18" s="87"/>
      <c r="N18" s="87"/>
    </row>
    <row r="19" spans="1:14" x14ac:dyDescent="0.2">
      <c r="B19" s="15">
        <f>+summary!G5</f>
        <v>2.08</v>
      </c>
      <c r="C19" s="199">
        <f>+B19*B18</f>
        <v>-52588.639999999999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">
      <c r="C20" s="321">
        <f>+C19+C5</f>
        <v>1476887.9600000002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">
      <c r="G24" s="32"/>
      <c r="H24" s="379"/>
      <c r="I24" s="327"/>
      <c r="J24" s="445"/>
      <c r="K24" s="87"/>
      <c r="L24" s="87"/>
      <c r="M24" s="87"/>
      <c r="N24" s="87"/>
    </row>
    <row r="25" spans="1:14" x14ac:dyDescent="0.2">
      <c r="G25" s="32"/>
      <c r="H25" s="379"/>
      <c r="I25" s="327"/>
      <c r="J25" s="445"/>
      <c r="K25" s="87"/>
      <c r="L25" s="87"/>
      <c r="M25" s="87"/>
      <c r="N25" s="87"/>
    </row>
    <row r="26" spans="1:14" x14ac:dyDescent="0.2">
      <c r="A26" s="198">
        <v>37287</v>
      </c>
      <c r="C26" s="602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">
      <c r="A28" s="57">
        <v>37304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">
      <c r="B32" s="15">
        <f>+summary!G4</f>
        <v>2.08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148</v>
      </c>
      <c r="F37" s="351">
        <v>24268</v>
      </c>
      <c r="G37" s="351">
        <v>24693</v>
      </c>
      <c r="H37" s="351">
        <v>24361</v>
      </c>
    </row>
    <row r="38" spans="1:9" x14ac:dyDescent="0.2">
      <c r="A38" s="32" t="s">
        <v>74</v>
      </c>
      <c r="E38" s="49">
        <f>+A5</f>
        <v>37287</v>
      </c>
      <c r="F38" s="591">
        <v>377700</v>
      </c>
      <c r="G38" s="443">
        <v>117857</v>
      </c>
      <c r="H38" s="591">
        <v>193435</v>
      </c>
      <c r="I38" s="14"/>
    </row>
    <row r="39" spans="1:9" x14ac:dyDescent="0.2">
      <c r="E39" s="49">
        <f>+A7</f>
        <v>37304</v>
      </c>
      <c r="F39" s="349">
        <f>+B18</f>
        <v>-25283</v>
      </c>
      <c r="G39" s="349">
        <f>+B31</f>
        <v>0</v>
      </c>
      <c r="H39" s="349">
        <f>+B46</f>
        <v>2635</v>
      </c>
      <c r="I39" s="14"/>
    </row>
    <row r="40" spans="1:9" x14ac:dyDescent="0.2">
      <c r="A40" s="49">
        <v>37287</v>
      </c>
      <c r="C40" s="602">
        <v>855876.1</v>
      </c>
      <c r="F40" s="14">
        <f>+F39+F38</f>
        <v>352417</v>
      </c>
      <c r="G40" s="14">
        <f>+G39+G38</f>
        <v>117857</v>
      </c>
      <c r="H40" s="14">
        <f>+H39+H38</f>
        <v>196070</v>
      </c>
      <c r="I40" s="14">
        <f>+H40+G40+F40</f>
        <v>666344</v>
      </c>
    </row>
    <row r="41" spans="1:9" x14ac:dyDescent="0.2">
      <c r="G41" s="32"/>
      <c r="H41" s="15"/>
      <c r="I41" s="32"/>
    </row>
    <row r="42" spans="1:9" x14ac:dyDescent="0.2">
      <c r="A42" s="245">
        <v>37304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1180</v>
      </c>
      <c r="G44" s="32"/>
      <c r="H44" s="380"/>
      <c r="I44" s="14"/>
    </row>
    <row r="45" spans="1:9" x14ac:dyDescent="0.2">
      <c r="A45" s="32">
        <v>500392</v>
      </c>
      <c r="B45" s="250">
        <v>1455</v>
      </c>
      <c r="G45" s="32"/>
      <c r="H45" s="380"/>
      <c r="I45" s="14"/>
    </row>
    <row r="46" spans="1:9" x14ac:dyDescent="0.2">
      <c r="B46" s="14">
        <f>SUM(B43:B45)</f>
        <v>2635</v>
      </c>
      <c r="G46" s="32"/>
      <c r="H46" s="380"/>
      <c r="I46" s="14"/>
    </row>
    <row r="47" spans="1:9" x14ac:dyDescent="0.2">
      <c r="B47" s="199">
        <f>+summary!G5</f>
        <v>2.08</v>
      </c>
      <c r="C47" s="199">
        <f>+B47*B46</f>
        <v>5480.8</v>
      </c>
      <c r="H47" s="380"/>
      <c r="I47" s="14"/>
    </row>
    <row r="48" spans="1:9" x14ac:dyDescent="0.2">
      <c r="C48" s="321">
        <f>+C47+C40</f>
        <v>861356.9</v>
      </c>
      <c r="E48" s="204"/>
      <c r="H48" s="380"/>
      <c r="I48" s="14"/>
    </row>
    <row r="49" spans="1:9" x14ac:dyDescent="0.2">
      <c r="E49" s="213"/>
      <c r="H49" s="380"/>
      <c r="I49" s="14"/>
    </row>
    <row r="50" spans="1:9" x14ac:dyDescent="0.2">
      <c r="E50" s="204"/>
      <c r="H50" s="380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3">
        <v>73445.08</v>
      </c>
      <c r="D53" s="32" t="s">
        <v>119</v>
      </c>
      <c r="E53" s="50"/>
      <c r="H53" s="380">
        <v>21665</v>
      </c>
      <c r="I53" s="600">
        <v>36401</v>
      </c>
    </row>
    <row r="54" spans="1:9" x14ac:dyDescent="0.2">
      <c r="A54" s="32">
        <v>22664</v>
      </c>
      <c r="B54" s="15" t="s">
        <v>137</v>
      </c>
      <c r="C54" s="604">
        <v>23612.35</v>
      </c>
      <c r="D54" s="32" t="s">
        <v>120</v>
      </c>
      <c r="H54" s="380">
        <v>22664</v>
      </c>
      <c r="I54" s="601">
        <v>18932</v>
      </c>
    </row>
    <row r="55" spans="1:9" x14ac:dyDescent="0.2">
      <c r="H55" s="381"/>
      <c r="I55" s="16"/>
    </row>
    <row r="56" spans="1:9" x14ac:dyDescent="0.2">
      <c r="C56" s="420"/>
    </row>
    <row r="57" spans="1:9" x14ac:dyDescent="0.2">
      <c r="C57" s="315">
        <f>+C54+C53+C48+C33+C20</f>
        <v>2710616.0100000002</v>
      </c>
      <c r="I57" s="14">
        <f>SUM(I40:I54)</f>
        <v>721677</v>
      </c>
    </row>
    <row r="61" spans="1:9" x14ac:dyDescent="0.2">
      <c r="C61" s="15">
        <f>+DEFS!F49</f>
        <v>-2839606.16</v>
      </c>
    </row>
    <row r="62" spans="1:9" x14ac:dyDescent="0.2">
      <c r="C62" s="15">
        <f>+C61+C57</f>
        <v>-128990.14999999991</v>
      </c>
      <c r="I62" s="31">
        <f>+I57+DEFS!K49</f>
        <v>267065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1476887.9600000002</v>
      </c>
      <c r="C72" s="14">
        <f>+F40</f>
        <v>352417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861356.9</v>
      </c>
      <c r="C74" s="14">
        <f>+H40</f>
        <v>196070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">
      <c r="A78" s="32">
        <v>22051</v>
      </c>
      <c r="B78" s="15">
        <f>+DEFS!E40</f>
        <v>-631850.02</v>
      </c>
      <c r="C78" s="14">
        <f>+DEFS!J36</f>
        <v>-157443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">
      <c r="B83" s="15">
        <f>SUM(B72:B82)</f>
        <v>-128990.14999999956</v>
      </c>
      <c r="C83" s="16">
        <f>SUM(C72:C82)</f>
        <v>267065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C38" workbookViewId="0">
      <selection activeCell="E39" sqref="E39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34664</v>
      </c>
      <c r="E7" s="11">
        <v>34133</v>
      </c>
      <c r="F7" s="11">
        <f t="shared" si="0"/>
        <v>-531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34596</v>
      </c>
      <c r="E8" s="11">
        <v>34133</v>
      </c>
      <c r="F8" s="11">
        <f t="shared" si="0"/>
        <v>-463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34635</v>
      </c>
      <c r="E9" s="11">
        <v>33999</v>
      </c>
      <c r="F9" s="11">
        <f t="shared" si="0"/>
        <v>-636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34649</v>
      </c>
      <c r="E10" s="11">
        <v>34133</v>
      </c>
      <c r="F10" s="11">
        <f t="shared" si="0"/>
        <v>-516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34575</v>
      </c>
      <c r="E11" s="11">
        <v>34133</v>
      </c>
      <c r="F11" s="11">
        <f t="shared" si="0"/>
        <v>-442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34720</v>
      </c>
      <c r="E12" s="11">
        <v>34133</v>
      </c>
      <c r="F12" s="11">
        <f t="shared" si="0"/>
        <v>-587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34749</v>
      </c>
      <c r="E13" s="11">
        <v>34133</v>
      </c>
      <c r="F13" s="11">
        <f t="shared" si="0"/>
        <v>-616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34735</v>
      </c>
      <c r="E14" s="11">
        <v>34133</v>
      </c>
      <c r="F14" s="11">
        <f t="shared" si="0"/>
        <v>-602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34268</v>
      </c>
      <c r="E15" s="11">
        <v>34133</v>
      </c>
      <c r="F15" s="11">
        <f t="shared" si="0"/>
        <v>-135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34544</v>
      </c>
      <c r="E16" s="11">
        <v>34133</v>
      </c>
      <c r="F16" s="11">
        <f t="shared" si="0"/>
        <v>-411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34736</v>
      </c>
      <c r="E17" s="11">
        <v>34133</v>
      </c>
      <c r="F17" s="11">
        <f t="shared" si="0"/>
        <v>-603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34466</v>
      </c>
      <c r="E18" s="11">
        <v>34133</v>
      </c>
      <c r="F18" s="11">
        <f t="shared" si="0"/>
        <v>-333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34378</v>
      </c>
      <c r="E19" s="11">
        <v>34133</v>
      </c>
      <c r="F19" s="11">
        <f t="shared" si="0"/>
        <v>-245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33610</v>
      </c>
      <c r="E20" s="11">
        <v>34133</v>
      </c>
      <c r="F20" s="11">
        <f t="shared" si="0"/>
        <v>523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1">
        <v>23995</v>
      </c>
      <c r="J33" s="351">
        <v>22051</v>
      </c>
      <c r="K33" s="35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67">
        <v>-183967</v>
      </c>
      <c r="J34" s="567">
        <v>-149923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587206</v>
      </c>
      <c r="E35" s="11">
        <f>SUM(E4:E34)</f>
        <v>579686</v>
      </c>
      <c r="F35" s="11">
        <f>SUM(F4:F34)</f>
        <v>-7520</v>
      </c>
      <c r="G35" s="11"/>
      <c r="H35" s="49">
        <f>+A40</f>
        <v>37304</v>
      </c>
      <c r="I35" s="349">
        <f>+C36</f>
        <v>0</v>
      </c>
      <c r="J35" s="349">
        <f>+E36</f>
        <v>-7520</v>
      </c>
      <c r="K35" s="206"/>
      <c r="L35" s="14"/>
    </row>
    <row r="36" spans="1:13" x14ac:dyDescent="0.2">
      <c r="C36" s="25">
        <f>+C35-B35</f>
        <v>0</v>
      </c>
      <c r="E36" s="25">
        <f>+E35-D35</f>
        <v>-7520</v>
      </c>
      <c r="F36" s="25">
        <f>+E36+C36</f>
        <v>-7520</v>
      </c>
      <c r="H36" s="32"/>
      <c r="I36" s="14">
        <f>+I35+I34</f>
        <v>-183967</v>
      </c>
      <c r="J36" s="14">
        <f>+J35+J34</f>
        <v>-157443</v>
      </c>
      <c r="K36" s="14">
        <f>+J36+I36</f>
        <v>-341410</v>
      </c>
      <c r="L36" s="14"/>
    </row>
    <row r="37" spans="1:13" x14ac:dyDescent="0.2">
      <c r="C37" s="313">
        <f>+summary!G5</f>
        <v>2.08</v>
      </c>
      <c r="E37" s="104">
        <f>+C37</f>
        <v>2.08</v>
      </c>
      <c r="F37" s="138">
        <f>+F36*E37</f>
        <v>-15641.6</v>
      </c>
    </row>
    <row r="38" spans="1:13" x14ac:dyDescent="0.2">
      <c r="C38" s="138">
        <f>+C37*C36</f>
        <v>0</v>
      </c>
      <c r="E38" s="136">
        <f>+E37*E36</f>
        <v>-15641.6</v>
      </c>
      <c r="F38" s="138">
        <f>+E38+C38</f>
        <v>-15641.6</v>
      </c>
    </row>
    <row r="39" spans="1:13" x14ac:dyDescent="0.2">
      <c r="A39" s="57">
        <v>37287</v>
      </c>
      <c r="B39" s="2" t="s">
        <v>45</v>
      </c>
      <c r="C39" s="586">
        <v>-1035385.61</v>
      </c>
      <c r="D39" s="320"/>
      <c r="E39" s="573">
        <v>-616208.42000000004</v>
      </c>
      <c r="F39" s="319">
        <f>+E39+C39</f>
        <v>-1651594.03</v>
      </c>
    </row>
    <row r="40" spans="1:13" x14ac:dyDescent="0.2">
      <c r="A40" s="57">
        <v>37304</v>
      </c>
      <c r="B40" s="2" t="s">
        <v>45</v>
      </c>
      <c r="C40" s="314">
        <f>+C39+C38</f>
        <v>-1035385.61</v>
      </c>
      <c r="D40" s="252"/>
      <c r="E40" s="314">
        <f>+E39+E38</f>
        <v>-631850.02</v>
      </c>
      <c r="F40" s="314">
        <f>+E40+C40</f>
        <v>-1667235.63</v>
      </c>
      <c r="H40" s="131"/>
    </row>
    <row r="41" spans="1:13" x14ac:dyDescent="0.2">
      <c r="C41" s="329"/>
      <c r="D41" s="246"/>
      <c r="E41" s="246"/>
      <c r="H41" s="31">
        <f>+C39+E39+F45+F46+F47+F48</f>
        <v>-2823964.5600000005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84"/>
    </row>
    <row r="44" spans="1:13" x14ac:dyDescent="0.2">
      <c r="C44" s="246"/>
      <c r="D44" s="246"/>
      <c r="E44" s="12">
        <v>22864</v>
      </c>
      <c r="F44" s="583">
        <v>0</v>
      </c>
      <c r="G44" s="249" t="s">
        <v>47</v>
      </c>
      <c r="J44" s="12">
        <v>22864</v>
      </c>
      <c r="K44" s="443"/>
    </row>
    <row r="45" spans="1:13" x14ac:dyDescent="0.2">
      <c r="C45" s="246"/>
      <c r="D45" s="246"/>
      <c r="E45" s="12">
        <v>20379</v>
      </c>
      <c r="F45" s="583">
        <v>-51695.87</v>
      </c>
      <c r="G45" s="249" t="s">
        <v>122</v>
      </c>
      <c r="J45" s="12">
        <v>20379</v>
      </c>
      <c r="K45" s="585">
        <v>2979</v>
      </c>
      <c r="M45" s="14"/>
    </row>
    <row r="46" spans="1:13" x14ac:dyDescent="0.2">
      <c r="C46" s="246"/>
      <c r="D46" s="246"/>
      <c r="E46" s="12">
        <v>26357</v>
      </c>
      <c r="F46" s="588">
        <f>44144.84-58339.66</f>
        <v>-14194.820000000007</v>
      </c>
      <c r="G46" s="249" t="s">
        <v>123</v>
      </c>
      <c r="J46" s="12">
        <v>26357</v>
      </c>
      <c r="K46" s="585">
        <f>26521-24566</f>
        <v>1955</v>
      </c>
    </row>
    <row r="47" spans="1:13" x14ac:dyDescent="0.2">
      <c r="C47" s="246"/>
      <c r="D47" s="246"/>
      <c r="E47" s="12">
        <v>21544</v>
      </c>
      <c r="F47" s="583">
        <v>61340.160000000003</v>
      </c>
      <c r="G47" s="249" t="s">
        <v>124</v>
      </c>
      <c r="J47" s="12">
        <v>21544</v>
      </c>
      <c r="K47" s="585">
        <v>36108</v>
      </c>
    </row>
    <row r="48" spans="1:13" x14ac:dyDescent="0.2">
      <c r="C48" s="246"/>
      <c r="D48" s="246"/>
      <c r="E48" s="12">
        <v>24532</v>
      </c>
      <c r="F48" s="587">
        <v>-1167820</v>
      </c>
      <c r="G48" s="249" t="s">
        <v>121</v>
      </c>
      <c r="J48" s="12">
        <v>24532</v>
      </c>
      <c r="K48" s="567">
        <v>-154244</v>
      </c>
    </row>
    <row r="49" spans="3:13" x14ac:dyDescent="0.2">
      <c r="C49" s="246"/>
      <c r="D49" s="246"/>
      <c r="F49" s="330">
        <f>SUM(F40:F48)</f>
        <v>-2839606.16</v>
      </c>
      <c r="G49" s="246"/>
      <c r="K49" s="14">
        <f>SUM(K36:K48)</f>
        <v>-454612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2710616.0100000002</v>
      </c>
      <c r="M51" s="14">
        <f>+Duke!I57</f>
        <v>721677</v>
      </c>
    </row>
    <row r="53" spans="3:13" x14ac:dyDescent="0.2">
      <c r="F53" s="104">
        <f>+F51+F49</f>
        <v>-128990.14999999991</v>
      </c>
      <c r="M53" s="16">
        <f>+M51+K49</f>
        <v>267065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4"/>
    </row>
    <row r="63" spans="3:13" x14ac:dyDescent="0.2">
      <c r="F63" s="344"/>
    </row>
    <row r="64" spans="3:13" x14ac:dyDescent="0.2">
      <c r="F64" s="344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-154244</v>
      </c>
      <c r="C69" s="247">
        <f>+F48</f>
        <v>-1167820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-1035385.61</v>
      </c>
    </row>
    <row r="74" spans="1:3" x14ac:dyDescent="0.2">
      <c r="A74">
        <v>22051</v>
      </c>
      <c r="B74" s="31">
        <f>+J36</f>
        <v>-157443</v>
      </c>
      <c r="C74" s="247">
        <f>+E40</f>
        <v>-631850.02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196070</v>
      </c>
      <c r="C77" s="259">
        <f>+Duke!C48</f>
        <v>861356.9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352417</v>
      </c>
      <c r="C79" s="259">
        <f>+Duke!C20</f>
        <v>1476887.9600000002</v>
      </c>
    </row>
    <row r="81" spans="2:3" x14ac:dyDescent="0.2">
      <c r="B81" s="31">
        <f>SUM(B68:B80)</f>
        <v>267065</v>
      </c>
      <c r="C81" s="259">
        <f>SUM(C68:C80)</f>
        <v>-128990.14999999991</v>
      </c>
    </row>
    <row r="82" spans="2:3" x14ac:dyDescent="0.2">
      <c r="C82">
        <f>+C81/B81</f>
        <v>-0.48299159380675083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6" workbookViewId="0">
      <selection activeCell="C49" sqref="C49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5250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-609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5202</v>
      </c>
      <c r="C14" s="11">
        <v>6011</v>
      </c>
      <c r="D14" s="11">
        <v>41</v>
      </c>
      <c r="E14" s="11">
        <v>6</v>
      </c>
      <c r="F14" s="129">
        <v>915</v>
      </c>
      <c r="G14" s="11">
        <v>581</v>
      </c>
      <c r="H14" s="11">
        <v>1586</v>
      </c>
      <c r="I14" s="129">
        <v>895</v>
      </c>
      <c r="J14" s="25">
        <f t="shared" si="0"/>
        <v>-251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5313</v>
      </c>
      <c r="C15" s="11">
        <v>6011</v>
      </c>
      <c r="D15" s="11">
        <v>1</v>
      </c>
      <c r="E15" s="11">
        <v>6</v>
      </c>
      <c r="F15" s="129">
        <v>912</v>
      </c>
      <c r="G15" s="11">
        <v>581</v>
      </c>
      <c r="H15" s="11">
        <v>1516</v>
      </c>
      <c r="I15" s="11">
        <v>895</v>
      </c>
      <c r="J15" s="25">
        <f t="shared" si="0"/>
        <v>-249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5045</v>
      </c>
      <c r="C16" s="11">
        <v>6011</v>
      </c>
      <c r="D16" s="11">
        <v>1</v>
      </c>
      <c r="E16" s="11">
        <v>6</v>
      </c>
      <c r="F16" s="129">
        <v>911</v>
      </c>
      <c r="G16" s="11">
        <v>581</v>
      </c>
      <c r="H16" s="11">
        <v>1472</v>
      </c>
      <c r="I16" s="11">
        <v>895</v>
      </c>
      <c r="J16" s="25">
        <f t="shared" si="0"/>
        <v>64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5435</v>
      </c>
      <c r="C17" s="11">
        <v>6011</v>
      </c>
      <c r="D17" s="11">
        <v>1</v>
      </c>
      <c r="E17" s="11">
        <v>6</v>
      </c>
      <c r="F17" s="129">
        <v>861</v>
      </c>
      <c r="G17" s="11">
        <v>581</v>
      </c>
      <c r="H17" s="11">
        <v>1437</v>
      </c>
      <c r="I17" s="11">
        <v>895</v>
      </c>
      <c r="J17" s="25">
        <f t="shared" si="0"/>
        <v>-241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5574</v>
      </c>
      <c r="C18" s="11">
        <v>6011</v>
      </c>
      <c r="D18" s="11"/>
      <c r="E18" s="11">
        <v>6</v>
      </c>
      <c r="F18" s="129">
        <v>929</v>
      </c>
      <c r="G18" s="11">
        <v>581</v>
      </c>
      <c r="H18" s="11">
        <v>1452</v>
      </c>
      <c r="I18" s="11">
        <v>895</v>
      </c>
      <c r="J18" s="25">
        <f t="shared" si="0"/>
        <v>-462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5251</v>
      </c>
      <c r="C19" s="11">
        <v>6011</v>
      </c>
      <c r="D19" s="11"/>
      <c r="E19" s="11">
        <v>6</v>
      </c>
      <c r="F19" s="129">
        <v>942</v>
      </c>
      <c r="G19" s="11">
        <v>581</v>
      </c>
      <c r="H19" s="11">
        <v>1480</v>
      </c>
      <c r="I19" s="11">
        <v>895</v>
      </c>
      <c r="J19" s="25">
        <f t="shared" si="0"/>
        <v>-180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5369</v>
      </c>
      <c r="C20" s="11">
        <v>6011</v>
      </c>
      <c r="D20" s="11"/>
      <c r="E20" s="11">
        <v>6</v>
      </c>
      <c r="F20" s="129">
        <v>659</v>
      </c>
      <c r="G20" s="11">
        <v>581</v>
      </c>
      <c r="H20" s="11">
        <v>1401</v>
      </c>
      <c r="I20" s="11">
        <v>895</v>
      </c>
      <c r="J20" s="25">
        <f t="shared" si="0"/>
        <v>64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5384</v>
      </c>
      <c r="C21" s="11">
        <v>6011</v>
      </c>
      <c r="D21" s="11"/>
      <c r="E21" s="11">
        <v>6</v>
      </c>
      <c r="F21" s="129">
        <v>987</v>
      </c>
      <c r="G21" s="11">
        <v>581</v>
      </c>
      <c r="H21" s="11">
        <v>1701</v>
      </c>
      <c r="I21" s="11">
        <v>895</v>
      </c>
      <c r="J21" s="25">
        <f t="shared" si="0"/>
        <v>-579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5372</v>
      </c>
      <c r="C22" s="11">
        <v>6011</v>
      </c>
      <c r="D22" s="11"/>
      <c r="E22" s="11">
        <v>6</v>
      </c>
      <c r="F22" s="129">
        <v>850</v>
      </c>
      <c r="G22" s="11">
        <v>581</v>
      </c>
      <c r="H22" s="11">
        <v>1457</v>
      </c>
      <c r="I22" s="11">
        <v>895</v>
      </c>
      <c r="J22" s="25">
        <f t="shared" si="0"/>
        <v>-186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5268</v>
      </c>
      <c r="C23" s="11">
        <v>6011</v>
      </c>
      <c r="D23" s="11"/>
      <c r="E23" s="11">
        <v>6</v>
      </c>
      <c r="F23" s="129">
        <v>918</v>
      </c>
      <c r="G23" s="11">
        <v>581</v>
      </c>
      <c r="H23" s="11">
        <v>1341</v>
      </c>
      <c r="I23" s="11">
        <v>895</v>
      </c>
      <c r="J23" s="25">
        <f t="shared" si="0"/>
        <v>-34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5258</v>
      </c>
      <c r="C24" s="11">
        <v>6011</v>
      </c>
      <c r="D24" s="11"/>
      <c r="E24" s="11">
        <v>6</v>
      </c>
      <c r="F24" s="129">
        <v>420</v>
      </c>
      <c r="G24" s="11">
        <v>581</v>
      </c>
      <c r="H24" s="11">
        <v>1428</v>
      </c>
      <c r="I24" s="11">
        <v>895</v>
      </c>
      <c r="J24" s="25">
        <f t="shared" si="0"/>
        <v>387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5501</v>
      </c>
      <c r="C25" s="11">
        <v>6011</v>
      </c>
      <c r="D25" s="11"/>
      <c r="E25" s="11">
        <v>6</v>
      </c>
      <c r="F25" s="129">
        <v>988</v>
      </c>
      <c r="G25" s="11">
        <v>581</v>
      </c>
      <c r="H25" s="11">
        <v>1330</v>
      </c>
      <c r="I25" s="11">
        <v>895</v>
      </c>
      <c r="J25" s="25">
        <f t="shared" si="0"/>
        <v>-326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96825</v>
      </c>
      <c r="C39" s="11">
        <f t="shared" si="1"/>
        <v>105698</v>
      </c>
      <c r="D39" s="11">
        <f t="shared" si="1"/>
        <v>252</v>
      </c>
      <c r="E39" s="11">
        <f t="shared" si="1"/>
        <v>108</v>
      </c>
      <c r="F39" s="129">
        <f t="shared" si="1"/>
        <v>15686</v>
      </c>
      <c r="G39" s="11">
        <f t="shared" si="1"/>
        <v>10458</v>
      </c>
      <c r="H39" s="11">
        <f t="shared" si="1"/>
        <v>26707</v>
      </c>
      <c r="I39" s="11">
        <f t="shared" si="1"/>
        <v>16110</v>
      </c>
      <c r="J39" s="25">
        <f t="shared" si="1"/>
        <v>-7096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2.08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-14759.68</v>
      </c>
      <c r="L41"/>
      <c r="R41" s="138"/>
      <c r="X41" s="138"/>
    </row>
    <row r="42" spans="1:24" x14ac:dyDescent="0.2">
      <c r="A42" s="57">
        <v>37287</v>
      </c>
      <c r="C42" s="15"/>
      <c r="J42" s="570">
        <v>341278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37305</v>
      </c>
      <c r="C43" s="48"/>
      <c r="J43" s="138">
        <f>+J42+J41</f>
        <v>326518.32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148</v>
      </c>
      <c r="B46" s="32"/>
      <c r="C46" s="32"/>
      <c r="D46" s="32"/>
      <c r="L46"/>
    </row>
    <row r="47" spans="1:24" x14ac:dyDescent="0.2">
      <c r="A47" s="49">
        <f>+A42</f>
        <v>37287</v>
      </c>
      <c r="B47" s="32"/>
      <c r="C47" s="32"/>
      <c r="D47" s="567">
        <v>135419</v>
      </c>
      <c r="L47"/>
    </row>
    <row r="48" spans="1:24" x14ac:dyDescent="0.2">
      <c r="A48" s="49">
        <f>+A43</f>
        <v>37305</v>
      </c>
      <c r="B48" s="32"/>
      <c r="C48" s="32"/>
      <c r="D48" s="349">
        <f>+J39</f>
        <v>-7096</v>
      </c>
      <c r="L48"/>
    </row>
    <row r="49" spans="1:12" x14ac:dyDescent="0.2">
      <c r="A49" s="32"/>
      <c r="B49" s="32"/>
      <c r="C49" s="32"/>
      <c r="D49" s="14">
        <f>+D48+D47</f>
        <v>128323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3" workbookViewId="0">
      <selection activeCell="D46" sqref="D46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9">
        <v>1</v>
      </c>
      <c r="B8" s="410"/>
      <c r="C8" s="410"/>
      <c r="D8" s="410">
        <v>-218</v>
      </c>
      <c r="E8" s="410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9">
        <v>2</v>
      </c>
      <c r="B9" s="410"/>
      <c r="C9" s="410"/>
      <c r="D9" s="410">
        <v>-105</v>
      </c>
      <c r="E9" s="410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9">
        <v>3</v>
      </c>
      <c r="B10" s="410"/>
      <c r="C10" s="410"/>
      <c r="D10" s="410">
        <v>-155</v>
      </c>
      <c r="E10" s="410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9">
        <v>4</v>
      </c>
      <c r="B11" s="410"/>
      <c r="C11" s="410"/>
      <c r="D11" s="410">
        <v>-323</v>
      </c>
      <c r="E11" s="410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9">
        <v>5</v>
      </c>
      <c r="B12" s="410"/>
      <c r="C12" s="410"/>
      <c r="D12" s="410">
        <v>-385</v>
      </c>
      <c r="E12" s="410"/>
      <c r="F12" s="307">
        <f t="shared" si="0"/>
        <v>385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9">
        <v>6</v>
      </c>
      <c r="B13" s="410"/>
      <c r="C13" s="410"/>
      <c r="D13" s="410">
        <v>-239</v>
      </c>
      <c r="E13" s="410"/>
      <c r="F13" s="307">
        <f t="shared" si="0"/>
        <v>239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9">
        <v>7</v>
      </c>
      <c r="B14" s="410"/>
      <c r="C14" s="410"/>
      <c r="D14" s="410">
        <v>-142</v>
      </c>
      <c r="E14" s="410"/>
      <c r="F14" s="307">
        <f t="shared" si="0"/>
        <v>142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9">
        <v>8</v>
      </c>
      <c r="B15" s="410"/>
      <c r="C15" s="410"/>
      <c r="D15" s="410">
        <v>-161</v>
      </c>
      <c r="E15" s="410"/>
      <c r="F15" s="307">
        <f t="shared" si="0"/>
        <v>161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9">
        <v>9</v>
      </c>
      <c r="B16" s="410"/>
      <c r="C16" s="410"/>
      <c r="D16" s="410">
        <v>-402</v>
      </c>
      <c r="E16" s="410"/>
      <c r="F16" s="307">
        <f t="shared" si="0"/>
        <v>402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9">
        <v>10</v>
      </c>
      <c r="B17" s="410"/>
      <c r="C17" s="410"/>
      <c r="D17" s="410">
        <v>-1692</v>
      </c>
      <c r="E17" s="410"/>
      <c r="F17" s="307">
        <f t="shared" si="0"/>
        <v>1692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9">
        <v>11</v>
      </c>
      <c r="B18" s="410"/>
      <c r="C18" s="410"/>
      <c r="D18" s="410">
        <v>-1051</v>
      </c>
      <c r="E18" s="410"/>
      <c r="F18" s="307">
        <f t="shared" si="0"/>
        <v>1051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9">
        <v>12</v>
      </c>
      <c r="B19" s="410"/>
      <c r="C19" s="410"/>
      <c r="D19" s="410">
        <v>-241</v>
      </c>
      <c r="E19" s="410"/>
      <c r="F19" s="307">
        <f t="shared" si="0"/>
        <v>241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9">
        <v>13</v>
      </c>
      <c r="B20" s="410"/>
      <c r="C20" s="410"/>
      <c r="D20" s="410">
        <v>-348</v>
      </c>
      <c r="E20" s="410"/>
      <c r="F20" s="307">
        <f t="shared" si="0"/>
        <v>348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9">
        <v>14</v>
      </c>
      <c r="B21" s="410"/>
      <c r="C21" s="410"/>
      <c r="D21" s="410">
        <v>-240</v>
      </c>
      <c r="E21" s="410"/>
      <c r="F21" s="307">
        <f t="shared" si="0"/>
        <v>240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9">
        <v>15</v>
      </c>
      <c r="B22" s="410"/>
      <c r="C22" s="410"/>
      <c r="D22" s="410">
        <v>-441</v>
      </c>
      <c r="E22" s="410"/>
      <c r="F22" s="307">
        <f t="shared" si="0"/>
        <v>441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9">
        <v>16</v>
      </c>
      <c r="B23" s="410"/>
      <c r="C23" s="410"/>
      <c r="D23" s="410">
        <v>-421</v>
      </c>
      <c r="E23" s="410"/>
      <c r="F23" s="307">
        <f t="shared" si="0"/>
        <v>421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9">
        <v>17</v>
      </c>
      <c r="B24" s="410"/>
      <c r="C24" s="410"/>
      <c r="D24" s="410">
        <v>-363</v>
      </c>
      <c r="E24" s="410"/>
      <c r="F24" s="307">
        <f t="shared" si="0"/>
        <v>363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9">
        <v>18</v>
      </c>
      <c r="B25" s="410"/>
      <c r="C25" s="410"/>
      <c r="D25" s="410">
        <v>-462</v>
      </c>
      <c r="E25" s="410"/>
      <c r="F25" s="307">
        <f t="shared" si="0"/>
        <v>462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9">
        <v>19</v>
      </c>
      <c r="B26" s="410"/>
      <c r="C26" s="410"/>
      <c r="D26" s="410"/>
      <c r="E26" s="410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9">
        <v>20</v>
      </c>
      <c r="B27" s="436"/>
      <c r="C27" s="410"/>
      <c r="D27" s="410"/>
      <c r="E27" s="410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9">
        <v>21</v>
      </c>
      <c r="B28" s="410"/>
      <c r="C28" s="410"/>
      <c r="D28" s="410"/>
      <c r="E28" s="410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9">
        <v>22</v>
      </c>
      <c r="B29" s="410"/>
      <c r="C29" s="410"/>
      <c r="D29" s="410"/>
      <c r="E29" s="410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9">
        <v>23</v>
      </c>
      <c r="B30" s="410"/>
      <c r="C30" s="410"/>
      <c r="D30" s="410"/>
      <c r="E30" s="410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9"/>
      <c r="B39" s="410">
        <f>SUM(B8:B38)</f>
        <v>0</v>
      </c>
      <c r="C39" s="410">
        <f>SUM(C8:C38)</f>
        <v>0</v>
      </c>
      <c r="D39" s="410">
        <f>SUM(D8:D38)</f>
        <v>-7389</v>
      </c>
      <c r="E39" s="410">
        <f>SUM(E8:E38)</f>
        <v>0</v>
      </c>
      <c r="F39" s="410">
        <f>SUM(F8:F38)</f>
        <v>7389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0"/>
      <c r="B40" s="285"/>
      <c r="C40" s="431"/>
      <c r="D40" s="431"/>
      <c r="E40" s="431"/>
      <c r="F40" s="432">
        <f>+summary!G4</f>
        <v>2.08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3">
        <f>+F40*F39</f>
        <v>15369.12</v>
      </c>
      <c r="J41" s="138"/>
      <c r="N41" s="138"/>
      <c r="R41" s="138"/>
      <c r="V41" s="138"/>
      <c r="Z41" s="138"/>
    </row>
    <row r="42" spans="1:26" ht="15" customHeight="1" x14ac:dyDescent="0.2">
      <c r="A42" s="56">
        <v>37287</v>
      </c>
      <c r="B42" s="285"/>
      <c r="C42" s="434"/>
      <c r="D42" s="434"/>
      <c r="E42" s="434"/>
      <c r="F42" s="563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37305</v>
      </c>
      <c r="B43" s="285"/>
      <c r="C43" s="435"/>
      <c r="D43" s="435"/>
      <c r="E43" s="435"/>
      <c r="F43" s="416">
        <f>+F42+F41</f>
        <v>167603.75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148</v>
      </c>
      <c r="B46" s="32"/>
      <c r="C46" s="32"/>
      <c r="D46" s="32"/>
      <c r="E46" s="11"/>
    </row>
    <row r="47" spans="1:26" x14ac:dyDescent="0.2">
      <c r="A47" s="49">
        <f>+A42</f>
        <v>37287</v>
      </c>
      <c r="B47" s="32"/>
      <c r="C47" s="32"/>
      <c r="D47" s="485">
        <v>-368359</v>
      </c>
      <c r="E47" s="11"/>
    </row>
    <row r="48" spans="1:26" x14ac:dyDescent="0.2">
      <c r="A48" s="49">
        <f>+A43</f>
        <v>37305</v>
      </c>
      <c r="B48" s="32"/>
      <c r="C48" s="32"/>
      <c r="D48" s="349">
        <f>+F39</f>
        <v>7389</v>
      </c>
      <c r="E48" s="11"/>
    </row>
    <row r="49" spans="1:5" x14ac:dyDescent="0.2">
      <c r="A49" s="32"/>
      <c r="B49" s="32"/>
      <c r="C49" s="32"/>
      <c r="D49" s="14">
        <f>+D48+D47</f>
        <v>-360970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workbookViewId="0">
      <selection activeCell="C41" sqref="C41"/>
    </sheetView>
  </sheetViews>
  <sheetFormatPr defaultRowHeight="12.75" x14ac:dyDescent="0.2"/>
  <cols>
    <col min="1" max="1" width="25.85546875" style="285" customWidth="1"/>
    <col min="2" max="2" width="11.140625" style="543" bestFit="1" customWidth="1"/>
    <col min="3" max="3" width="9.7109375" style="544" customWidth="1"/>
    <col min="4" max="4" width="5.140625" style="545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7" bestFit="1" customWidth="1"/>
    <col min="15" max="15" width="9" style="548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2" t="s">
        <v>78</v>
      </c>
      <c r="G2" s="546"/>
    </row>
    <row r="3" spans="1:33" ht="15" customHeight="1" x14ac:dyDescent="0.2">
      <c r="F3" s="549" t="s">
        <v>29</v>
      </c>
      <c r="G3" s="550">
        <f>+'[3]1001'!$K$39</f>
        <v>2.09</v>
      </c>
      <c r="J3" s="373">
        <f ca="1">NOW()</f>
        <v>37307.846196180559</v>
      </c>
    </row>
    <row r="4" spans="1:33" ht="15" customHeight="1" x14ac:dyDescent="0.2">
      <c r="A4" s="34" t="s">
        <v>144</v>
      </c>
      <c r="C4" s="34" t="s">
        <v>5</v>
      </c>
      <c r="F4" s="551" t="s">
        <v>30</v>
      </c>
      <c r="G4" s="552">
        <f>+'[3]1001'!$M$39</f>
        <v>2.08</v>
      </c>
    </row>
    <row r="5" spans="1:33" ht="15" customHeight="1" x14ac:dyDescent="0.2">
      <c r="B5" s="553"/>
      <c r="F5" s="549" t="s">
        <v>117</v>
      </c>
      <c r="G5" s="550">
        <f>+'[3]1001'!$H$39</f>
        <v>2.08</v>
      </c>
    </row>
    <row r="6" spans="1:33" ht="12" customHeight="1" x14ac:dyDescent="0.2">
      <c r="C6" s="439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298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5">
        <f>+PNM!$D$23</f>
        <v>879575.44</v>
      </c>
      <c r="C8" s="275">
        <f>+B8/$G$4</f>
        <v>422872.80769230763</v>
      </c>
      <c r="D8" s="364">
        <f>+PNM!A23</f>
        <v>37306</v>
      </c>
      <c r="E8" s="32" t="s">
        <v>85</v>
      </c>
      <c r="F8" s="32" t="s">
        <v>299</v>
      </c>
      <c r="G8" s="32" t="s">
        <v>290</v>
      </c>
      <c r="H8" s="32" t="s">
        <v>312</v>
      </c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345">
        <f>+Conoco!$F$41</f>
        <v>464068.77</v>
      </c>
      <c r="C9" s="275">
        <f>+B9/$G$4</f>
        <v>223109.98557692309</v>
      </c>
      <c r="D9" s="363">
        <f>+Conoco!A41</f>
        <v>37306</v>
      </c>
      <c r="E9" s="32" t="s">
        <v>85</v>
      </c>
      <c r="F9" s="32" t="s">
        <v>300</v>
      </c>
      <c r="G9" s="32" t="s">
        <v>113</v>
      </c>
      <c r="H9" s="32" t="s">
        <v>313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94</v>
      </c>
      <c r="B10" s="345">
        <f>+C10*$G$4</f>
        <v>360738.56</v>
      </c>
      <c r="C10" s="275">
        <f>+Mojave!D40</f>
        <v>173432</v>
      </c>
      <c r="D10" s="364">
        <f>+Mojave!A40</f>
        <v>37306</v>
      </c>
      <c r="E10" s="32" t="s">
        <v>84</v>
      </c>
      <c r="F10" s="32" t="s">
        <v>153</v>
      </c>
      <c r="G10" s="32" t="s">
        <v>100</v>
      </c>
      <c r="H10" s="610" t="s">
        <v>314</v>
      </c>
      <c r="I10" s="610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107</v>
      </c>
      <c r="B11" s="345">
        <f>+KN_Westar!F41</f>
        <v>328563.40000000002</v>
      </c>
      <c r="C11" s="275">
        <f>+B11/$G$4</f>
        <v>157963.17307692309</v>
      </c>
      <c r="D11" s="364">
        <f>+KN_Westar!A41</f>
        <v>37305</v>
      </c>
      <c r="E11" s="32" t="s">
        <v>85</v>
      </c>
      <c r="F11" s="32" t="s">
        <v>153</v>
      </c>
      <c r="G11" s="32" t="s">
        <v>100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2</v>
      </c>
      <c r="B12" s="345">
        <f>+mewborne!$J$43</f>
        <v>326518.32</v>
      </c>
      <c r="C12" s="275">
        <f>+B12/$G$4</f>
        <v>156979.96153846153</v>
      </c>
      <c r="D12" s="364">
        <f>+mewborne!A43</f>
        <v>37305</v>
      </c>
      <c r="E12" s="32" t="s">
        <v>85</v>
      </c>
      <c r="F12" s="32" t="s">
        <v>299</v>
      </c>
      <c r="G12" s="32" t="s">
        <v>99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88</v>
      </c>
      <c r="B13" s="345">
        <f>+C13*$G$5</f>
        <v>186353.44</v>
      </c>
      <c r="C13" s="275">
        <f>+NGPL!H38</f>
        <v>89593</v>
      </c>
      <c r="D13" s="364">
        <f>+NGPL!A38</f>
        <v>37306</v>
      </c>
      <c r="E13" s="204" t="s">
        <v>84</v>
      </c>
      <c r="F13" s="32" t="s">
        <v>152</v>
      </c>
      <c r="G13" s="32" t="s">
        <v>115</v>
      </c>
      <c r="H13" s="32"/>
      <c r="I13" s="32"/>
      <c r="J13" s="32"/>
      <c r="K13" s="32"/>
      <c r="L13" s="32"/>
      <c r="M13" s="32"/>
      <c r="N13" s="379" t="e">
        <f>+#REF!+#REF!+B39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32" t="s">
        <v>206</v>
      </c>
      <c r="B14" s="345">
        <f>+Dominion!D41</f>
        <v>172974.90000000002</v>
      </c>
      <c r="C14" s="275">
        <f>+B14/$G$5</f>
        <v>83161.009615384624</v>
      </c>
      <c r="D14" s="364">
        <f>+Dominion!A41</f>
        <v>37306</v>
      </c>
      <c r="E14" s="32" t="s">
        <v>85</v>
      </c>
      <c r="F14" s="32" t="s">
        <v>299</v>
      </c>
      <c r="G14" s="32" t="s">
        <v>99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3</v>
      </c>
      <c r="B15" s="345">
        <f>+'Amoco Abo'!$F$43</f>
        <v>167603.75</v>
      </c>
      <c r="C15" s="275">
        <f>+B15/$G$4</f>
        <v>80578.725961538454</v>
      </c>
      <c r="D15" s="364">
        <f>+'Amoco Abo'!A43</f>
        <v>37305</v>
      </c>
      <c r="E15" s="32" t="s">
        <v>85</v>
      </c>
      <c r="F15" s="32" t="s">
        <v>152</v>
      </c>
      <c r="G15" s="32" t="s">
        <v>115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204" t="s">
        <v>32</v>
      </c>
      <c r="B16" s="345">
        <f>+C16*$G$4</f>
        <v>166015.20000000001</v>
      </c>
      <c r="C16" s="206">
        <f>+SoCal!F40</f>
        <v>79815</v>
      </c>
      <c r="D16" s="363">
        <f>+SoCal!A40</f>
        <v>37306</v>
      </c>
      <c r="E16" s="204" t="s">
        <v>84</v>
      </c>
      <c r="F16" s="204" t="s">
        <v>152</v>
      </c>
      <c r="G16" s="204" t="s">
        <v>102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129</v>
      </c>
      <c r="B17" s="345">
        <f>+EPFS!D41</f>
        <v>143000.64000000001</v>
      </c>
      <c r="C17" s="206">
        <f>+B17/$G$5</f>
        <v>68750.307692307702</v>
      </c>
      <c r="D17" s="363">
        <f>+EPFS!A41</f>
        <v>37306</v>
      </c>
      <c r="E17" s="32" t="s">
        <v>85</v>
      </c>
      <c r="F17" s="32" t="s">
        <v>153</v>
      </c>
      <c r="G17" s="32" t="s">
        <v>102</v>
      </c>
      <c r="H17" s="32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23</v>
      </c>
      <c r="B18" s="345">
        <f>+C18*$G$3</f>
        <v>129690.76999999999</v>
      </c>
      <c r="C18" s="347">
        <f>+'Red C'!$F$45</f>
        <v>62053</v>
      </c>
      <c r="D18" s="363">
        <f>+'Red C'!A45</f>
        <v>37306</v>
      </c>
      <c r="E18" s="204" t="s">
        <v>84</v>
      </c>
      <c r="F18" s="32" t="s">
        <v>152</v>
      </c>
      <c r="G18" s="32" t="s">
        <v>115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442" t="s">
        <v>79</v>
      </c>
      <c r="B19" s="501">
        <f>+Agave!$D$24</f>
        <v>108157.26000000001</v>
      </c>
      <c r="C19" s="462">
        <f>+B19/$G$4</f>
        <v>51998.682692307695</v>
      </c>
      <c r="D19" s="461">
        <f>+Agave!A24</f>
        <v>37306</v>
      </c>
      <c r="E19" s="442" t="s">
        <v>85</v>
      </c>
      <c r="F19" s="442" t="s">
        <v>300</v>
      </c>
      <c r="G19" s="442" t="s">
        <v>102</v>
      </c>
      <c r="H19" s="44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217</v>
      </c>
      <c r="B20" s="345">
        <f>+Amarillo!P41</f>
        <v>102694.48</v>
      </c>
      <c r="C20" s="275">
        <f>+B20/$G$4</f>
        <v>49372.346153846149</v>
      </c>
      <c r="D20" s="364">
        <f>+Amarillo!A41</f>
        <v>37304</v>
      </c>
      <c r="E20" s="32" t="s">
        <v>85</v>
      </c>
      <c r="F20" s="32" t="s">
        <v>300</v>
      </c>
      <c r="G20" s="32" t="s">
        <v>113</v>
      </c>
      <c r="H20" s="32"/>
      <c r="I20" s="32"/>
      <c r="J20" s="32"/>
      <c r="K20" s="32"/>
      <c r="L20" s="32"/>
      <c r="M20" s="32" t="s">
        <v>243</v>
      </c>
      <c r="N20" s="379">
        <v>22864</v>
      </c>
      <c r="O20" s="70">
        <v>-58339.66</v>
      </c>
      <c r="P20" s="32" t="s">
        <v>246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204" t="s">
        <v>139</v>
      </c>
      <c r="B21" s="345">
        <f>+'Citizens-Griffith'!D41</f>
        <v>96384.12000000001</v>
      </c>
      <c r="C21" s="275">
        <f>+B21/$G$4</f>
        <v>46338.519230769234</v>
      </c>
      <c r="D21" s="363">
        <f>+'Citizens-Griffith'!A41</f>
        <v>37306</v>
      </c>
      <c r="E21" s="204" t="s">
        <v>85</v>
      </c>
      <c r="F21" s="204" t="s">
        <v>300</v>
      </c>
      <c r="G21" s="204" t="s">
        <v>99</v>
      </c>
      <c r="H21" s="204"/>
      <c r="I21" s="15"/>
      <c r="J21" s="32"/>
      <c r="K21" s="32"/>
      <c r="L21" s="32"/>
      <c r="M21" s="32" t="s">
        <v>243</v>
      </c>
      <c r="N21" s="379">
        <v>20379</v>
      </c>
      <c r="O21" s="70">
        <v>-51695.87</v>
      </c>
      <c r="P21" s="32" t="s">
        <v>246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31</v>
      </c>
      <c r="B22" s="345">
        <f>+C22*$G$5</f>
        <v>87495.2</v>
      </c>
      <c r="C22" s="275">
        <f>+Lonestar!F43</f>
        <v>42065</v>
      </c>
      <c r="D22" s="363">
        <f>+Lonestar!A43</f>
        <v>37305</v>
      </c>
      <c r="E22" s="32" t="s">
        <v>84</v>
      </c>
      <c r="F22" s="32" t="s">
        <v>300</v>
      </c>
      <c r="G22" s="32" t="s">
        <v>102</v>
      </c>
      <c r="H22" s="32"/>
      <c r="I22" s="204"/>
      <c r="J22" s="32"/>
      <c r="K22" s="32"/>
      <c r="L22" s="32"/>
      <c r="M22" s="32" t="s">
        <v>243</v>
      </c>
      <c r="N22" s="379">
        <v>26357</v>
      </c>
      <c r="O22" s="70">
        <v>44144.84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32" t="s">
        <v>114</v>
      </c>
      <c r="B23" s="345">
        <f>+C23*$G$4</f>
        <v>87416.16</v>
      </c>
      <c r="C23" s="206">
        <f>+'PG&amp;E'!D40</f>
        <v>42027</v>
      </c>
      <c r="D23" s="364">
        <f>+'PG&amp;E'!A40</f>
        <v>37306</v>
      </c>
      <c r="E23" s="32" t="s">
        <v>84</v>
      </c>
      <c r="F23" s="32" t="s">
        <v>153</v>
      </c>
      <c r="G23" s="32" t="s">
        <v>102</v>
      </c>
      <c r="H23" s="32"/>
      <c r="I23" s="32"/>
      <c r="J23" s="32"/>
      <c r="K23" s="32"/>
      <c r="L23" s="32"/>
      <c r="M23" s="32" t="s">
        <v>243</v>
      </c>
      <c r="N23" s="379">
        <v>21544</v>
      </c>
      <c r="O23" s="70">
        <v>61340.160000000003</v>
      </c>
      <c r="P23" s="32" t="s">
        <v>246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4" customFormat="1" ht="13.5" customHeight="1" x14ac:dyDescent="0.2">
      <c r="A24" s="204" t="s">
        <v>306</v>
      </c>
      <c r="B24" s="345">
        <f>+Plains!$N$43</f>
        <v>63241.56</v>
      </c>
      <c r="C24" s="206">
        <f>+B24/$G$4</f>
        <v>30404.596153846152</v>
      </c>
      <c r="D24" s="363">
        <f>+Plains!A43</f>
        <v>37287</v>
      </c>
      <c r="E24" s="204" t="s">
        <v>85</v>
      </c>
      <c r="F24" s="204"/>
      <c r="G24" s="204" t="s">
        <v>100</v>
      </c>
      <c r="H24" s="204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4" customFormat="1" ht="13.5" customHeight="1" x14ac:dyDescent="0.2">
      <c r="A25" s="204" t="s">
        <v>127</v>
      </c>
      <c r="B25" s="345">
        <f>+Calpine!D41</f>
        <v>50582.880000000005</v>
      </c>
      <c r="C25" s="206">
        <f>+B25/$G$4</f>
        <v>24318.692307692309</v>
      </c>
      <c r="D25" s="363">
        <f>+Calpine!A41</f>
        <v>37305</v>
      </c>
      <c r="E25" s="204" t="s">
        <v>85</v>
      </c>
      <c r="F25" s="204" t="s">
        <v>152</v>
      </c>
      <c r="G25" s="204" t="s">
        <v>99</v>
      </c>
      <c r="H25" s="204"/>
      <c r="I25" s="204"/>
      <c r="J25" s="204"/>
      <c r="K25" s="204"/>
      <c r="L25" s="204"/>
      <c r="M25" s="204" t="s">
        <v>244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54" customFormat="1" ht="13.5" customHeight="1" x14ac:dyDescent="0.2">
      <c r="A26" s="204" t="s">
        <v>142</v>
      </c>
      <c r="B26" s="346">
        <f>+C26*$G$4</f>
        <v>49402.080000000002</v>
      </c>
      <c r="C26" s="347">
        <f>+PEPL!D41</f>
        <v>23751</v>
      </c>
      <c r="D26" s="363">
        <f>+PEPL!A41</f>
        <v>37305</v>
      </c>
      <c r="E26" s="204" t="s">
        <v>84</v>
      </c>
      <c r="F26" s="204" t="s">
        <v>300</v>
      </c>
      <c r="G26" s="204" t="s">
        <v>100</v>
      </c>
      <c r="H26" s="32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">
      <c r="A27" s="32" t="s">
        <v>297</v>
      </c>
      <c r="B27" s="345">
        <f>+Stratland!$D$41</f>
        <v>48490.31</v>
      </c>
      <c r="C27" s="275">
        <f>+B27/$G$4</f>
        <v>23312.649038461535</v>
      </c>
      <c r="D27" s="363">
        <f>+Stratland!A41</f>
        <v>37287</v>
      </c>
      <c r="E27" s="32" t="s">
        <v>85</v>
      </c>
      <c r="F27" s="32" t="s">
        <v>299</v>
      </c>
      <c r="G27" s="32" t="s">
        <v>102</v>
      </c>
      <c r="H27" s="32"/>
      <c r="I27" s="204"/>
      <c r="J27" s="32"/>
      <c r="K27" s="32"/>
      <c r="L27" s="32"/>
      <c r="M27" s="32" t="s">
        <v>243</v>
      </c>
      <c r="N27" s="379">
        <v>26357</v>
      </c>
      <c r="O27" s="70">
        <v>44144.84</v>
      </c>
      <c r="P27" s="32" t="s">
        <v>246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54" customFormat="1" ht="13.5" customHeight="1" x14ac:dyDescent="0.2">
      <c r="A28" s="204" t="s">
        <v>33</v>
      </c>
      <c r="B28" s="345">
        <f>+'El Paso'!C39*summary!G4+'El Paso'!E39*summary!G3</f>
        <v>48144.180000000022</v>
      </c>
      <c r="C28" s="275">
        <f>+'El Paso'!H39</f>
        <v>23343</v>
      </c>
      <c r="D28" s="363">
        <f>+'El Paso'!A39</f>
        <v>37306</v>
      </c>
      <c r="E28" s="204" t="s">
        <v>84</v>
      </c>
      <c r="F28" s="204" t="s">
        <v>153</v>
      </c>
      <c r="G28" s="204" t="s">
        <v>100</v>
      </c>
      <c r="H28" s="204"/>
      <c r="I28" s="204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">
      <c r="A29" s="204" t="s">
        <v>109</v>
      </c>
      <c r="B29" s="345">
        <f>+Continental!F43</f>
        <v>46769.48</v>
      </c>
      <c r="C29" s="206">
        <f>+B29/$G$4</f>
        <v>22485.326923076926</v>
      </c>
      <c r="D29" s="363">
        <f>+Continental!A43</f>
        <v>37305</v>
      </c>
      <c r="E29" s="204" t="s">
        <v>85</v>
      </c>
      <c r="F29" s="204" t="s">
        <v>153</v>
      </c>
      <c r="G29" s="204" t="s">
        <v>115</v>
      </c>
      <c r="H29" s="204"/>
      <c r="I29" s="32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">
      <c r="A30" s="32" t="s">
        <v>110</v>
      </c>
      <c r="B30" s="345">
        <f>+C30*$G$4</f>
        <v>36580.959999999999</v>
      </c>
      <c r="C30" s="275">
        <f>+CIG!D42</f>
        <v>17587</v>
      </c>
      <c r="D30" s="364">
        <f>+CIG!A42</f>
        <v>37305</v>
      </c>
      <c r="E30" s="204" t="s">
        <v>84</v>
      </c>
      <c r="F30" s="32" t="s">
        <v>153</v>
      </c>
      <c r="G30" s="32" t="s">
        <v>113</v>
      </c>
      <c r="H30" s="610" t="s">
        <v>314</v>
      </c>
      <c r="I30" s="610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4" customFormat="1" ht="13.5" customHeight="1" x14ac:dyDescent="0.2">
      <c r="A31" s="204" t="s">
        <v>87</v>
      </c>
      <c r="B31" s="345">
        <f>+NNG!$D$24</f>
        <v>35753.51</v>
      </c>
      <c r="C31" s="275">
        <f>+B31/$G$4</f>
        <v>17189.1875</v>
      </c>
      <c r="D31" s="363">
        <f>+NNG!A24</f>
        <v>37305</v>
      </c>
      <c r="E31" s="204" t="s">
        <v>85</v>
      </c>
      <c r="F31" s="204" t="s">
        <v>299</v>
      </c>
      <c r="G31" s="204" t="s">
        <v>100</v>
      </c>
      <c r="H31" s="204"/>
      <c r="I31" s="204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280</v>
      </c>
      <c r="B32" s="345">
        <f>+'WTG inc'!N43</f>
        <v>22368.01</v>
      </c>
      <c r="C32" s="275">
        <f>+B32/$G$4</f>
        <v>10753.850961538461</v>
      </c>
      <c r="D32" s="364">
        <f>+'WTG inc'!A43</f>
        <v>37305</v>
      </c>
      <c r="E32" s="32" t="s">
        <v>85</v>
      </c>
      <c r="F32" s="32" t="s">
        <v>152</v>
      </c>
      <c r="G32" s="32" t="s">
        <v>115</v>
      </c>
      <c r="H32" s="204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s="554" customFormat="1" ht="13.5" customHeight="1" x14ac:dyDescent="0.2">
      <c r="A33" s="32" t="s">
        <v>6</v>
      </c>
      <c r="B33" s="345">
        <f>+Oasis!$D$40</f>
        <v>19746.59</v>
      </c>
      <c r="C33" s="206">
        <f>+B33/$G$5</f>
        <v>9493.5528846153848</v>
      </c>
      <c r="D33" s="364">
        <f>+Oasis!A40</f>
        <v>37305</v>
      </c>
      <c r="E33" s="32" t="s">
        <v>85</v>
      </c>
      <c r="F33" s="32" t="s">
        <v>153</v>
      </c>
      <c r="G33" s="32" t="s">
        <v>102</v>
      </c>
      <c r="H33" s="32"/>
      <c r="I33" s="204"/>
      <c r="J33" s="204"/>
      <c r="K33" s="204"/>
      <c r="L33" s="204"/>
      <c r="M33" s="204"/>
      <c r="N33" s="469"/>
      <c r="O33" s="273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</row>
    <row r="34" spans="1:33" ht="13.5" customHeight="1" x14ac:dyDescent="0.2">
      <c r="A34" s="204" t="s">
        <v>146</v>
      </c>
      <c r="B34" s="345">
        <f>+PGETX!$H$39</f>
        <v>16254.68</v>
      </c>
      <c r="C34" s="275">
        <f>+B34/$G$4</f>
        <v>7814.75</v>
      </c>
      <c r="D34" s="363">
        <f>+PGETX!E39</f>
        <v>37305</v>
      </c>
      <c r="E34" s="204" t="s">
        <v>85</v>
      </c>
      <c r="F34" s="204" t="s">
        <v>153</v>
      </c>
      <c r="G34" s="204" t="s">
        <v>102</v>
      </c>
      <c r="H34" s="204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2.95" customHeight="1" x14ac:dyDescent="0.2">
      <c r="A35" s="32" t="s">
        <v>131</v>
      </c>
      <c r="B35" s="348">
        <f>+SidR!D41</f>
        <v>12824.599999999999</v>
      </c>
      <c r="C35" s="71">
        <f>+B35/$G$5</f>
        <v>6165.6730769230762</v>
      </c>
      <c r="D35" s="364">
        <f>+SidR!A41</f>
        <v>37305</v>
      </c>
      <c r="E35" s="32" t="s">
        <v>85</v>
      </c>
      <c r="F35" s="32" t="s">
        <v>151</v>
      </c>
      <c r="G35" s="32" t="s">
        <v>102</v>
      </c>
      <c r="H35" s="32"/>
      <c r="I35" s="32"/>
      <c r="J35" s="32"/>
      <c r="K35" s="32"/>
      <c r="L35" s="32"/>
      <c r="M35" s="32"/>
      <c r="N35" s="379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ht="18" customHeight="1" x14ac:dyDescent="0.2">
      <c r="A36" s="32" t="s">
        <v>96</v>
      </c>
      <c r="B36" s="47">
        <f>SUM(B8:B35)</f>
        <v>4257409.25</v>
      </c>
      <c r="C36" s="69">
        <f>SUM(C8:C35)</f>
        <v>2046729.7980769235</v>
      </c>
      <c r="D36" s="203"/>
      <c r="E36" s="32"/>
      <c r="F36" s="32"/>
      <c r="G36" s="32"/>
      <c r="H36" s="32"/>
      <c r="I36" s="32"/>
      <c r="J36" s="32"/>
      <c r="K36" s="32"/>
      <c r="L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5" customHeight="1" x14ac:dyDescent="0.2">
      <c r="A37" s="32"/>
      <c r="B37" s="47"/>
      <c r="C37" s="69"/>
      <c r="D37" s="203"/>
      <c r="E37" s="32"/>
      <c r="F37" s="350"/>
      <c r="G37" s="350"/>
      <c r="H37" s="32"/>
      <c r="I37" s="32"/>
      <c r="J37" s="32"/>
      <c r="K37" s="32"/>
      <c r="L37" s="32"/>
      <c r="M37" s="32"/>
      <c r="N37" s="379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5" customHeight="1" x14ac:dyDescent="0.2">
      <c r="A38" s="334" t="s">
        <v>89</v>
      </c>
      <c r="B38" s="335" t="s">
        <v>16</v>
      </c>
      <c r="C38" s="336" t="s">
        <v>0</v>
      </c>
      <c r="D38" s="343" t="s">
        <v>145</v>
      </c>
      <c r="E38" s="334" t="s">
        <v>90</v>
      </c>
      <c r="F38" s="337" t="s">
        <v>101</v>
      </c>
      <c r="G38" s="337" t="s">
        <v>101</v>
      </c>
      <c r="H38" s="334" t="s">
        <v>98</v>
      </c>
      <c r="I38" s="32"/>
      <c r="J38" s="32"/>
      <c r="K38" s="32"/>
      <c r="L38" s="32"/>
      <c r="M38" s="32"/>
      <c r="N38" s="379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204" t="s">
        <v>135</v>
      </c>
      <c r="B39" s="345">
        <f>+Citizens!D18</f>
        <v>-563447.35000000009</v>
      </c>
      <c r="C39" s="206">
        <f>+B39/$G$4</f>
        <v>-270888.14903846156</v>
      </c>
      <c r="D39" s="363">
        <f>+Citizens!A18</f>
        <v>37304</v>
      </c>
      <c r="E39" s="204" t="s">
        <v>85</v>
      </c>
      <c r="F39" s="204" t="s">
        <v>300</v>
      </c>
      <c r="G39" s="204" t="s">
        <v>99</v>
      </c>
      <c r="H39" s="351"/>
      <c r="I39" s="32"/>
      <c r="J39" s="32"/>
      <c r="K39" s="32"/>
      <c r="L39" s="32"/>
      <c r="M39" s="32"/>
      <c r="N39" s="379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2.95" customHeight="1" x14ac:dyDescent="0.2">
      <c r="A40" s="32" t="s">
        <v>133</v>
      </c>
      <c r="B40" s="345">
        <f>+'NS Steel'!D41</f>
        <v>-269782.59999999998</v>
      </c>
      <c r="C40" s="206">
        <f>+B40/$G$4</f>
        <v>-129703.17307692306</v>
      </c>
      <c r="D40" s="364">
        <f>+'NS Steel'!A41</f>
        <v>37305</v>
      </c>
      <c r="E40" s="32" t="s">
        <v>85</v>
      </c>
      <c r="F40" s="32" t="s">
        <v>153</v>
      </c>
      <c r="G40" s="32" t="s">
        <v>100</v>
      </c>
      <c r="H40" s="351"/>
      <c r="I40" s="32"/>
      <c r="J40" s="32"/>
      <c r="K40" s="32"/>
      <c r="L40" s="32"/>
      <c r="M40" s="32"/>
      <c r="N40" s="379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2.95" customHeight="1" x14ac:dyDescent="0.2">
      <c r="A41" s="204" t="s">
        <v>257</v>
      </c>
      <c r="B41" s="345">
        <f>+MiVida_Rich!D41</f>
        <v>-192285.66</v>
      </c>
      <c r="C41" s="206">
        <f>+B41/$G$5</f>
        <v>-92445.028846153844</v>
      </c>
      <c r="D41" s="363">
        <f>+MiVida_Rich!A41</f>
        <v>37287</v>
      </c>
      <c r="E41" s="204" t="s">
        <v>85</v>
      </c>
      <c r="F41" s="204" t="s">
        <v>151</v>
      </c>
      <c r="G41" s="204" t="s">
        <v>102</v>
      </c>
      <c r="H41" s="351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32" t="s">
        <v>215</v>
      </c>
      <c r="B42" s="345">
        <f>+crosstex!F41</f>
        <v>-134414.39000000001</v>
      </c>
      <c r="C42" s="206">
        <f>+B42/$G$4</f>
        <v>-64622.30288461539</v>
      </c>
      <c r="D42" s="364">
        <f>+crosstex!A41</f>
        <v>37304</v>
      </c>
      <c r="E42" s="32" t="s">
        <v>85</v>
      </c>
      <c r="F42" s="32" t="s">
        <v>151</v>
      </c>
      <c r="G42" s="32" t="s">
        <v>100</v>
      </c>
      <c r="H42" s="351"/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s="555" customFormat="1" ht="13.5" customHeight="1" x14ac:dyDescent="0.2">
      <c r="A43" s="204" t="s">
        <v>310</v>
      </c>
      <c r="B43" s="346">
        <f>+Duke!B83</f>
        <v>-128990.14999999956</v>
      </c>
      <c r="C43" s="347">
        <f>+B43/$G$5</f>
        <v>-62014.495192307477</v>
      </c>
      <c r="D43" s="363">
        <f>+DEFS!A40</f>
        <v>37304</v>
      </c>
      <c r="E43" s="204" t="s">
        <v>85</v>
      </c>
      <c r="F43" s="32" t="s">
        <v>152</v>
      </c>
      <c r="G43" s="32" t="s">
        <v>100</v>
      </c>
      <c r="H43" s="32"/>
      <c r="I43" s="249"/>
      <c r="J43" s="249"/>
      <c r="K43" s="249"/>
      <c r="L43" s="249"/>
      <c r="M43" s="32"/>
      <c r="N43" s="469"/>
      <c r="O43" s="273"/>
      <c r="P43" s="249"/>
      <c r="Q43" s="249"/>
      <c r="R43" s="249"/>
      <c r="S43" s="249"/>
      <c r="T43" s="249"/>
      <c r="U43" s="249"/>
      <c r="V43" s="249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49"/>
    </row>
    <row r="44" spans="1:33" ht="13.5" customHeight="1" x14ac:dyDescent="0.2">
      <c r="A44" s="204" t="s">
        <v>95</v>
      </c>
      <c r="B44" s="345">
        <f>+burlington!D42</f>
        <v>-56909.22</v>
      </c>
      <c r="C44" s="275">
        <f>+B44/$G$3</f>
        <v>-27229.291866028711</v>
      </c>
      <c r="D44" s="363">
        <f>+burlington!A42</f>
        <v>37305</v>
      </c>
      <c r="E44" s="204" t="s">
        <v>85</v>
      </c>
      <c r="F44" s="32" t="s">
        <v>153</v>
      </c>
      <c r="G44" s="32" t="s">
        <v>113</v>
      </c>
      <c r="H44" s="32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554" customFormat="1" ht="13.5" customHeight="1" x14ac:dyDescent="0.2">
      <c r="A45" s="32" t="s">
        <v>277</v>
      </c>
      <c r="B45" s="345">
        <f>+SWGasTrans!$D$41</f>
        <v>-27828.129999999997</v>
      </c>
      <c r="C45" s="275">
        <f>+B45/$G$4</f>
        <v>-13378.908653846152</v>
      </c>
      <c r="D45" s="363">
        <f>+SWGasTrans!A41</f>
        <v>37305</v>
      </c>
      <c r="E45" s="32" t="s">
        <v>85</v>
      </c>
      <c r="F45" s="32" t="s">
        <v>152</v>
      </c>
      <c r="G45" s="32" t="s">
        <v>99</v>
      </c>
      <c r="H45" s="32"/>
      <c r="I45" s="204"/>
      <c r="J45" s="204"/>
      <c r="K45" s="204"/>
      <c r="L45" s="204"/>
      <c r="M45" s="204"/>
      <c r="N45" s="469"/>
      <c r="O45" s="273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</row>
    <row r="46" spans="1:33" ht="13.5" customHeight="1" x14ac:dyDescent="0.2">
      <c r="A46" s="204" t="s">
        <v>203</v>
      </c>
      <c r="B46" s="346">
        <f>+WTGmktg!J43</f>
        <v>-24888.649999999994</v>
      </c>
      <c r="C46" s="206">
        <f>+B46/$G$4</f>
        <v>-11965.697115384612</v>
      </c>
      <c r="D46" s="363">
        <f>+WTGmktg!A43</f>
        <v>37305</v>
      </c>
      <c r="E46" s="32" t="s">
        <v>85</v>
      </c>
      <c r="F46" s="204" t="s">
        <v>152</v>
      </c>
      <c r="G46" s="204" t="s">
        <v>115</v>
      </c>
      <c r="H46" s="204"/>
      <c r="I46" s="32"/>
      <c r="J46" s="32"/>
      <c r="K46" s="32"/>
      <c r="L46" s="32"/>
      <c r="M46" s="32" t="s">
        <v>243</v>
      </c>
      <c r="N46" s="379">
        <v>23995</v>
      </c>
      <c r="O46" s="70">
        <v>-1023166</v>
      </c>
      <c r="P46" s="32" t="s">
        <v>245</v>
      </c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ht="13.5" customHeight="1" x14ac:dyDescent="0.2">
      <c r="A47" s="32" t="s">
        <v>1</v>
      </c>
      <c r="B47" s="345">
        <f>+C47*$G$3</f>
        <v>-21924.1</v>
      </c>
      <c r="C47" s="206">
        <f>+NW!$F$41</f>
        <v>-10490</v>
      </c>
      <c r="D47" s="363">
        <f>+NW!B41</f>
        <v>37305</v>
      </c>
      <c r="E47" s="32" t="s">
        <v>84</v>
      </c>
      <c r="F47" s="32" t="s">
        <v>152</v>
      </c>
      <c r="G47" s="32" t="s">
        <v>115</v>
      </c>
      <c r="H47" s="351"/>
      <c r="I47" s="32"/>
      <c r="J47" s="32"/>
      <c r="K47" s="32"/>
      <c r="L47" s="32"/>
      <c r="M47" s="32"/>
      <c r="N47" s="379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3.5" customHeight="1" x14ac:dyDescent="0.2">
      <c r="A48" s="204" t="s">
        <v>28</v>
      </c>
      <c r="B48" s="345">
        <f>+C48*$G$3</f>
        <v>-18950.03</v>
      </c>
      <c r="C48" s="275">
        <f>+williams!J40</f>
        <v>-9067</v>
      </c>
      <c r="D48" s="363">
        <f>+williams!A40</f>
        <v>37306</v>
      </c>
      <c r="E48" s="204" t="s">
        <v>85</v>
      </c>
      <c r="F48" s="204" t="s">
        <v>153</v>
      </c>
      <c r="G48" s="204" t="s">
        <v>290</v>
      </c>
      <c r="H48" s="204"/>
      <c r="I48" s="32"/>
      <c r="J48" s="32"/>
      <c r="K48" s="32"/>
      <c r="L48" s="32"/>
      <c r="M48" s="32"/>
      <c r="N48" s="379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554" customFormat="1" ht="13.5" customHeight="1" x14ac:dyDescent="0.2">
      <c r="A49" s="32" t="s">
        <v>103</v>
      </c>
      <c r="B49" s="345">
        <f>+EOG!$J$41</f>
        <v>-11989.39</v>
      </c>
      <c r="C49" s="275">
        <f>+B49/$G$4</f>
        <v>-5764.1298076923076</v>
      </c>
      <c r="D49" s="363">
        <f>+EOG!A41</f>
        <v>37305</v>
      </c>
      <c r="E49" s="32" t="s">
        <v>85</v>
      </c>
      <c r="F49" s="32" t="s">
        <v>299</v>
      </c>
      <c r="G49" s="32" t="s">
        <v>102</v>
      </c>
      <c r="H49" s="32"/>
      <c r="I49" s="204"/>
      <c r="J49" s="204"/>
      <c r="K49" s="204"/>
      <c r="L49" s="204"/>
      <c r="M49" s="204" t="s">
        <v>242</v>
      </c>
      <c r="N49" s="469">
        <v>24268</v>
      </c>
      <c r="O49" s="273">
        <v>1481856.66</v>
      </c>
      <c r="P49" s="273">
        <f>+O49</f>
        <v>1481856.66</v>
      </c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s="554" customFormat="1" ht="13.5" customHeight="1" x14ac:dyDescent="0.2">
      <c r="A50" s="32" t="s">
        <v>209</v>
      </c>
      <c r="B50" s="345">
        <f>+Devon!D41</f>
        <v>-8941.92</v>
      </c>
      <c r="C50" s="275">
        <f>+B50/$G$5</f>
        <v>-4299</v>
      </c>
      <c r="D50" s="364">
        <f>+Devon!A41</f>
        <v>37305</v>
      </c>
      <c r="E50" s="32" t="s">
        <v>85</v>
      </c>
      <c r="F50" s="32" t="s">
        <v>300</v>
      </c>
      <c r="G50" s="32" t="s">
        <v>99</v>
      </c>
      <c r="H50" s="32" t="s">
        <v>311</v>
      </c>
      <c r="I50" s="204"/>
      <c r="J50" s="204"/>
      <c r="K50" s="204"/>
      <c r="L50" s="204"/>
      <c r="M50" s="204"/>
      <c r="N50" s="469"/>
      <c r="O50" s="273"/>
      <c r="P50" s="273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554" customFormat="1" ht="13.5" customHeight="1" x14ac:dyDescent="0.2">
      <c r="A51" s="32" t="s">
        <v>288</v>
      </c>
      <c r="B51" s="345">
        <f>+C51*$G$3</f>
        <v>-8675.59</v>
      </c>
      <c r="C51" s="275">
        <f>+Amoco!D40</f>
        <v>-4151</v>
      </c>
      <c r="D51" s="364">
        <f>+Amoco!A40</f>
        <v>37305</v>
      </c>
      <c r="E51" s="32" t="s">
        <v>84</v>
      </c>
      <c r="F51" s="32" t="s">
        <v>152</v>
      </c>
      <c r="G51" s="32" t="s">
        <v>115</v>
      </c>
      <c r="H51" s="249"/>
      <c r="I51" s="204"/>
      <c r="J51" s="204"/>
      <c r="K51" s="204"/>
      <c r="L51" s="204"/>
      <c r="M51" s="204"/>
      <c r="N51" s="469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54" customFormat="1" ht="13.5" customHeight="1" x14ac:dyDescent="0.2">
      <c r="A52" s="204" t="s">
        <v>71</v>
      </c>
      <c r="B52" s="605">
        <f>+transcol!$D$43</f>
        <v>-374.28000000000247</v>
      </c>
      <c r="C52" s="283">
        <f>+B52/$G$4</f>
        <v>-179.94230769230887</v>
      </c>
      <c r="D52" s="363">
        <f>+transcol!A43</f>
        <v>37305</v>
      </c>
      <c r="E52" s="204" t="s">
        <v>85</v>
      </c>
      <c r="F52" s="204" t="s">
        <v>152</v>
      </c>
      <c r="G52" s="204" t="s">
        <v>115</v>
      </c>
      <c r="H52" s="32"/>
      <c r="I52" s="204"/>
      <c r="J52" s="204"/>
      <c r="K52" s="204"/>
      <c r="L52" s="204"/>
      <c r="M52" s="204"/>
      <c r="N52" s="469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">
      <c r="A53" s="32" t="s">
        <v>97</v>
      </c>
      <c r="B53" s="345">
        <f>SUM(B39:B52)</f>
        <v>-1469401.4599999993</v>
      </c>
      <c r="C53" s="206">
        <f>SUM(C39:C52)</f>
        <v>-706198.11878910533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">
      <c r="A54" s="32"/>
      <c r="B54" s="348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3">
        <f>+B53+B36</f>
        <v>2788007.790000001</v>
      </c>
      <c r="C55" s="354">
        <f>+C53+C36</f>
        <v>1340531.6792878183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260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258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259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261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262</v>
      </c>
      <c r="B75" s="589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264</v>
      </c>
      <c r="B76" s="589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265</v>
      </c>
      <c r="B77" s="589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266</v>
      </c>
      <c r="B78" s="589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267</v>
      </c>
      <c r="B79" s="589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268</v>
      </c>
      <c r="B80" s="589">
        <v>7679.44</v>
      </c>
      <c r="C80" s="491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270</v>
      </c>
      <c r="B81" s="594">
        <v>-1851.26</v>
      </c>
      <c r="C81" s="491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272</v>
      </c>
      <c r="B82" s="569">
        <v>-27278.52</v>
      </c>
      <c r="C82" s="491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273</v>
      </c>
      <c r="B83" s="514">
        <v>8356.0499999999993</v>
      </c>
      <c r="C83" s="556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274</v>
      </c>
      <c r="B84" s="595">
        <f>775*2.08</f>
        <v>1612</v>
      </c>
      <c r="C84" s="556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271</v>
      </c>
      <c r="B85" s="15">
        <f>44144.84-58339.66</f>
        <v>-14194.820000000007</v>
      </c>
      <c r="C85" s="556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271</v>
      </c>
      <c r="B86" s="15">
        <v>-51695.87</v>
      </c>
      <c r="C86" s="556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271</v>
      </c>
      <c r="B87" s="15">
        <v>61340.160000000003</v>
      </c>
      <c r="C87" s="556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292</v>
      </c>
      <c r="B88" s="569">
        <v>-1702.75</v>
      </c>
      <c r="C88" s="556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278</v>
      </c>
      <c r="B89" s="569">
        <v>-1664.28</v>
      </c>
      <c r="C89" s="556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263</v>
      </c>
      <c r="B90" s="516">
        <v>-35893</v>
      </c>
      <c r="C90" s="491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269</v>
      </c>
      <c r="B91" s="15">
        <v>3338.45</v>
      </c>
      <c r="C91" s="491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293</v>
      </c>
      <c r="B92" s="593">
        <v>4589.1400000000003</v>
      </c>
      <c r="C92" s="491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294</v>
      </c>
      <c r="B93" s="515">
        <v>-725.46</v>
      </c>
      <c r="C93" s="491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8" sqref="B8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v>-542296</v>
      </c>
      <c r="C7" s="80">
        <v>-216603</v>
      </c>
      <c r="D7" s="80">
        <f t="shared" si="0"/>
        <v>325693</v>
      </c>
    </row>
    <row r="8" spans="1:4" x14ac:dyDescent="0.2">
      <c r="A8" s="32">
        <v>60667</v>
      </c>
      <c r="B8" s="309">
        <v>-18</v>
      </c>
      <c r="C8" s="80">
        <v>-603171</v>
      </c>
      <c r="D8" s="80">
        <f t="shared" si="0"/>
        <v>-603153</v>
      </c>
    </row>
    <row r="9" spans="1:4" x14ac:dyDescent="0.2">
      <c r="A9" s="32">
        <v>60749</v>
      </c>
      <c r="B9" s="309">
        <v>48196</v>
      </c>
      <c r="C9" s="80">
        <v>-44940</v>
      </c>
      <c r="D9" s="80">
        <f t="shared" si="0"/>
        <v>-93136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-382739</v>
      </c>
      <c r="C11" s="80"/>
      <c r="D11" s="80">
        <f t="shared" si="0"/>
        <v>382739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12143</v>
      </c>
    </row>
    <row r="19" spans="1:5" x14ac:dyDescent="0.2">
      <c r="A19" s="32" t="s">
        <v>81</v>
      </c>
      <c r="B19" s="69"/>
      <c r="C19" s="69"/>
      <c r="D19" s="73">
        <f>+summary!G4</f>
        <v>2.08</v>
      </c>
    </row>
    <row r="20" spans="1:5" x14ac:dyDescent="0.2">
      <c r="B20" s="69"/>
      <c r="C20" s="69"/>
      <c r="D20" s="75">
        <f>+D19*D18</f>
        <v>25257.440000000002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98">
        <v>10496.07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37305</v>
      </c>
      <c r="B24" s="69"/>
      <c r="C24" s="69"/>
      <c r="D24" s="331">
        <f>+D22+D20</f>
        <v>35753.51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v>37256</v>
      </c>
      <c r="D32" s="585">
        <v>4346</v>
      </c>
    </row>
    <row r="33" spans="1:4" x14ac:dyDescent="0.2">
      <c r="A33" s="49">
        <f>+A24</f>
        <v>37305</v>
      </c>
      <c r="D33" s="349">
        <f>+D18</f>
        <v>12143</v>
      </c>
    </row>
    <row r="34" spans="1:4" x14ac:dyDescent="0.2">
      <c r="D34" s="14">
        <f>+D33+D32</f>
        <v>16489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10" workbookViewId="0">
      <selection activeCell="C32" sqref="C32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4" customWidth="1"/>
  </cols>
  <sheetData>
    <row r="3" spans="1:11" x14ac:dyDescent="0.2">
      <c r="A3" s="3" t="s">
        <v>83</v>
      </c>
      <c r="B3" s="88"/>
      <c r="C3" s="257"/>
      <c r="D3" s="88"/>
    </row>
    <row r="4" spans="1:11" x14ac:dyDescent="0.2">
      <c r="A4" s="87"/>
      <c r="B4" s="254" t="s">
        <v>19</v>
      </c>
      <c r="C4" s="254" t="s">
        <v>20</v>
      </c>
      <c r="D4" s="255" t="s">
        <v>49</v>
      </c>
    </row>
    <row r="5" spans="1:11" x14ac:dyDescent="0.2">
      <c r="A5" s="87">
        <v>9236</v>
      </c>
      <c r="B5" s="90">
        <f>-69310-3578</f>
        <v>-72888</v>
      </c>
      <c r="C5" s="90">
        <v>-38202</v>
      </c>
      <c r="D5" s="90">
        <f t="shared" ref="D5:D13" si="0">+C5-B5</f>
        <v>34686</v>
      </c>
      <c r="E5" s="69"/>
      <c r="F5" s="201"/>
    </row>
    <row r="6" spans="1:11" x14ac:dyDescent="0.2">
      <c r="A6" s="87">
        <v>9238</v>
      </c>
      <c r="B6" s="90">
        <f>-16006-327</f>
        <v>-16333</v>
      </c>
      <c r="C6" s="90">
        <v>-19000</v>
      </c>
      <c r="D6" s="90">
        <f t="shared" si="0"/>
        <v>-2667</v>
      </c>
      <c r="E6" s="275"/>
      <c r="F6" s="201"/>
      <c r="K6" s="65"/>
    </row>
    <row r="7" spans="1:11" x14ac:dyDescent="0.2">
      <c r="A7" s="87">
        <v>56422</v>
      </c>
      <c r="B7" s="90">
        <f>-1545820-79636</f>
        <v>-1625456</v>
      </c>
      <c r="C7" s="90">
        <v>-1440522</v>
      </c>
      <c r="D7" s="90">
        <f t="shared" si="0"/>
        <v>184934</v>
      </c>
      <c r="E7" s="275"/>
      <c r="F7" s="201"/>
    </row>
    <row r="8" spans="1:11" x14ac:dyDescent="0.2">
      <c r="A8" s="87">
        <v>58710</v>
      </c>
      <c r="B8" s="90">
        <v>-4946</v>
      </c>
      <c r="C8" s="90">
        <v>-31715</v>
      </c>
      <c r="D8" s="90">
        <f t="shared" si="0"/>
        <v>-26769</v>
      </c>
      <c r="E8" s="275"/>
      <c r="F8" s="201"/>
    </row>
    <row r="9" spans="1:11" x14ac:dyDescent="0.2">
      <c r="A9" s="87">
        <v>60921</v>
      </c>
      <c r="B9" s="90">
        <f>-1154600-66220</f>
        <v>-1220820</v>
      </c>
      <c r="C9" s="90">
        <v>-1364036</v>
      </c>
      <c r="D9" s="90">
        <f t="shared" si="0"/>
        <v>-143216</v>
      </c>
      <c r="E9" s="275"/>
      <c r="F9" s="201"/>
    </row>
    <row r="10" spans="1:11" x14ac:dyDescent="0.2">
      <c r="A10" s="87">
        <v>78026</v>
      </c>
      <c r="B10" s="90"/>
      <c r="C10" s="90">
        <v>10450</v>
      </c>
      <c r="D10" s="90">
        <f t="shared" si="0"/>
        <v>10450</v>
      </c>
      <c r="E10" s="275"/>
      <c r="F10" s="465"/>
    </row>
    <row r="11" spans="1:11" x14ac:dyDescent="0.2">
      <c r="A11" s="87">
        <v>500084</v>
      </c>
      <c r="B11" s="90">
        <f>-34486-3231</f>
        <v>-37717</v>
      </c>
      <c r="C11" s="90">
        <v>-57000</v>
      </c>
      <c r="D11" s="90">
        <f t="shared" si="0"/>
        <v>-19283</v>
      </c>
      <c r="E11" s="276"/>
      <c r="F11" s="465"/>
    </row>
    <row r="12" spans="1:11" x14ac:dyDescent="0.2">
      <c r="A12" s="317">
        <v>500085</v>
      </c>
      <c r="B12" s="90">
        <v>-3596</v>
      </c>
      <c r="C12" s="90"/>
      <c r="D12" s="90">
        <f t="shared" si="0"/>
        <v>3596</v>
      </c>
      <c r="E12" s="275"/>
      <c r="F12" s="465"/>
    </row>
    <row r="13" spans="1:11" x14ac:dyDescent="0.2">
      <c r="A13" s="87">
        <v>500097</v>
      </c>
      <c r="B13" s="90">
        <f>-56495-2000</f>
        <v>-58495</v>
      </c>
      <c r="C13" s="90">
        <v>-78961</v>
      </c>
      <c r="D13" s="90">
        <f t="shared" si="0"/>
        <v>-20466</v>
      </c>
      <c r="E13" s="275"/>
      <c r="F13" s="465"/>
    </row>
    <row r="14" spans="1:11" x14ac:dyDescent="0.2">
      <c r="A14" s="87"/>
      <c r="B14" s="90"/>
      <c r="C14" s="90"/>
      <c r="D14" s="90"/>
      <c r="E14" s="275"/>
      <c r="F14" s="465"/>
    </row>
    <row r="15" spans="1:11" x14ac:dyDescent="0.2">
      <c r="A15" s="87"/>
      <c r="B15" s="90"/>
      <c r="C15" s="90"/>
      <c r="D15" s="90"/>
      <c r="E15" s="275"/>
      <c r="F15" s="465"/>
    </row>
    <row r="16" spans="1:11" x14ac:dyDescent="0.2">
      <c r="A16" s="87"/>
      <c r="B16" s="88"/>
      <c r="C16" s="88"/>
      <c r="D16" s="94"/>
      <c r="E16" s="275"/>
      <c r="F16" s="465"/>
    </row>
    <row r="17" spans="1:7" x14ac:dyDescent="0.2">
      <c r="A17" s="87"/>
      <c r="B17" s="88"/>
      <c r="C17" s="88"/>
      <c r="D17" s="88">
        <f>SUM(D5:D16)</f>
        <v>21265</v>
      </c>
      <c r="E17" s="275"/>
      <c r="F17" s="465"/>
    </row>
    <row r="18" spans="1:7" x14ac:dyDescent="0.2">
      <c r="A18" s="87" t="s">
        <v>81</v>
      </c>
      <c r="B18" s="88"/>
      <c r="C18" s="88"/>
      <c r="D18" s="95">
        <f>+summary!G4</f>
        <v>2.08</v>
      </c>
      <c r="E18" s="277"/>
      <c r="F18" s="465"/>
    </row>
    <row r="19" spans="1:7" x14ac:dyDescent="0.2">
      <c r="A19" s="87"/>
      <c r="B19" s="88"/>
      <c r="C19" s="88"/>
      <c r="D19" s="96">
        <f>+D18*D17</f>
        <v>44231.200000000004</v>
      </c>
      <c r="E19" s="207"/>
      <c r="F19" s="46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37287</v>
      </c>
      <c r="B21" s="88"/>
      <c r="C21" s="88"/>
      <c r="D21" s="562">
        <v>835344.24</v>
      </c>
      <c r="E21" s="207"/>
      <c r="F21" s="466"/>
    </row>
    <row r="22" spans="1:7" x14ac:dyDescent="0.2">
      <c r="A22" s="87"/>
      <c r="B22" s="88"/>
      <c r="C22" s="88"/>
      <c r="D22" s="308"/>
      <c r="E22" s="207"/>
      <c r="F22" s="466"/>
    </row>
    <row r="23" spans="1:7" ht="13.5" thickBot="1" x14ac:dyDescent="0.25">
      <c r="A23" s="99">
        <v>37306</v>
      </c>
      <c r="B23" s="88"/>
      <c r="C23" s="88"/>
      <c r="D23" s="318">
        <f>+D21+D19</f>
        <v>879575.44</v>
      </c>
      <c r="E23" s="207"/>
      <c r="F23" s="466"/>
    </row>
    <row r="24" spans="1:7" ht="13.5" thickTop="1" x14ac:dyDescent="0.2">
      <c r="E24" s="278"/>
    </row>
    <row r="25" spans="1:7" x14ac:dyDescent="0.2">
      <c r="E25" s="498"/>
    </row>
    <row r="27" spans="1:7" x14ac:dyDescent="0.2">
      <c r="A27" s="32" t="s">
        <v>148</v>
      </c>
      <c r="B27" s="32"/>
      <c r="C27" s="32"/>
      <c r="D27" s="32"/>
    </row>
    <row r="28" spans="1:7" x14ac:dyDescent="0.2">
      <c r="A28" s="49">
        <f>+A21</f>
        <v>37287</v>
      </c>
      <c r="B28" s="32"/>
      <c r="C28" s="32"/>
      <c r="D28" s="485">
        <v>340221</v>
      </c>
    </row>
    <row r="29" spans="1:7" x14ac:dyDescent="0.2">
      <c r="A29" s="49">
        <f>+A23</f>
        <v>37306</v>
      </c>
      <c r="B29" s="32"/>
      <c r="C29" s="32"/>
      <c r="D29" s="349">
        <f>+D17</f>
        <v>21265</v>
      </c>
    </row>
    <row r="30" spans="1:7" x14ac:dyDescent="0.2">
      <c r="A30" s="32"/>
      <c r="B30" s="32"/>
      <c r="C30" s="32"/>
      <c r="D30" s="14">
        <f>+D29+D28</f>
        <v>361486</v>
      </c>
      <c r="E30" s="344"/>
    </row>
    <row r="31" spans="1:7" x14ac:dyDescent="0.2">
      <c r="A31" s="139"/>
      <c r="B31" s="119"/>
      <c r="C31" s="140"/>
      <c r="D31" s="518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5"/>
      <c r="G44" s="204"/>
    </row>
    <row r="45" spans="1:7" x14ac:dyDescent="0.2">
      <c r="B45" s="69"/>
      <c r="C45" s="69"/>
      <c r="D45" s="292"/>
      <c r="E45" s="275"/>
      <c r="F45" s="465"/>
      <c r="G45" s="204"/>
    </row>
    <row r="46" spans="1:7" x14ac:dyDescent="0.2">
      <c r="A46" s="32"/>
      <c r="B46" s="69"/>
      <c r="C46" s="69"/>
      <c r="D46" s="275"/>
      <c r="E46" s="275"/>
      <c r="F46" s="465"/>
      <c r="G46" s="204"/>
    </row>
    <row r="47" spans="1:7" x14ac:dyDescent="0.2">
      <c r="A47" s="32"/>
      <c r="B47" s="69"/>
      <c r="C47" s="69"/>
      <c r="D47" s="277"/>
      <c r="E47" s="277"/>
      <c r="F47" s="465"/>
      <c r="G47" s="204"/>
    </row>
    <row r="48" spans="1:7" x14ac:dyDescent="0.2">
      <c r="B48" s="69"/>
      <c r="C48" s="69"/>
      <c r="D48" s="275"/>
      <c r="E48" s="275"/>
      <c r="F48" s="465"/>
      <c r="G48" s="204"/>
    </row>
    <row r="49" spans="1:7" x14ac:dyDescent="0.2">
      <c r="B49" s="69"/>
      <c r="C49" s="69"/>
      <c r="D49" s="275"/>
      <c r="E49" s="275"/>
      <c r="F49" s="465"/>
      <c r="G49" s="204"/>
    </row>
    <row r="50" spans="1:7" x14ac:dyDescent="0.2">
      <c r="C50" s="289"/>
      <c r="D50" s="289"/>
      <c r="E50" s="289"/>
      <c r="F50" s="467"/>
      <c r="G50" s="290"/>
    </row>
    <row r="51" spans="1:7" x14ac:dyDescent="0.2">
      <c r="A51" s="32"/>
      <c r="C51" s="289"/>
      <c r="D51" s="289"/>
      <c r="E51" s="289"/>
      <c r="F51" s="467"/>
    </row>
    <row r="52" spans="1:7" x14ac:dyDescent="0.2">
      <c r="A52" s="32"/>
      <c r="C52" s="289"/>
      <c r="D52" s="289"/>
      <c r="E52" s="289"/>
      <c r="F52" s="467"/>
    </row>
    <row r="53" spans="1:7" x14ac:dyDescent="0.2">
      <c r="A53" s="32"/>
      <c r="C53" s="289"/>
      <c r="D53" s="289"/>
      <c r="E53" s="289"/>
      <c r="F53" s="467"/>
    </row>
    <row r="54" spans="1:7" x14ac:dyDescent="0.2">
      <c r="A54" s="32"/>
      <c r="C54" s="289"/>
      <c r="D54" s="289"/>
      <c r="E54" s="289"/>
      <c r="F54" s="467"/>
    </row>
    <row r="55" spans="1:7" x14ac:dyDescent="0.2">
      <c r="A55" s="32"/>
      <c r="C55" s="289"/>
      <c r="D55" s="289"/>
      <c r="E55" s="278"/>
      <c r="F55" s="421"/>
    </row>
    <row r="56" spans="1:7" x14ac:dyDescent="0.2">
      <c r="C56" s="289"/>
      <c r="D56" s="289"/>
      <c r="E56" s="278"/>
      <c r="F56" s="421"/>
    </row>
    <row r="57" spans="1:7" x14ac:dyDescent="0.2">
      <c r="C57" s="289"/>
      <c r="D57" s="289"/>
      <c r="E57" s="278"/>
      <c r="F57" s="421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6"/>
    </row>
    <row r="101" spans="1:6" x14ac:dyDescent="0.2">
      <c r="A101" s="32"/>
      <c r="E101" s="63"/>
      <c r="F101" s="466"/>
    </row>
    <row r="102" spans="1:6" ht="13.5" thickBot="1" x14ac:dyDescent="0.25">
      <c r="A102" s="32"/>
      <c r="D102" s="68"/>
      <c r="E102" s="68"/>
      <c r="F102" s="4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6"/>
    </row>
    <row r="127" spans="1:6" x14ac:dyDescent="0.2">
      <c r="A127" s="32"/>
      <c r="D127" s="75"/>
      <c r="E127" s="75"/>
      <c r="F127" s="466"/>
    </row>
    <row r="128" spans="1:6" ht="13.5" thickBot="1" x14ac:dyDescent="0.25">
      <c r="A128" s="32"/>
      <c r="D128" s="77"/>
      <c r="E128" s="77"/>
      <c r="F128" s="46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6"/>
    </row>
    <row r="152" spans="1:6" x14ac:dyDescent="0.2">
      <c r="A152" s="32"/>
      <c r="D152" s="75"/>
      <c r="E152" s="75"/>
      <c r="F152" s="466"/>
    </row>
    <row r="153" spans="1:6" ht="13.5" thickBot="1" x14ac:dyDescent="0.25">
      <c r="A153" s="32"/>
      <c r="D153" s="77"/>
      <c r="E153" s="77"/>
      <c r="F153" s="46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6"/>
    </row>
    <row r="177" spans="1:6" x14ac:dyDescent="0.2">
      <c r="A177" s="32"/>
      <c r="D177" s="75"/>
      <c r="E177" s="75"/>
      <c r="F177" s="466"/>
    </row>
    <row r="178" spans="1:6" ht="13.5" thickBot="1" x14ac:dyDescent="0.25">
      <c r="A178" s="32"/>
      <c r="D178" s="77"/>
      <c r="E178" s="77"/>
      <c r="F178" s="46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6"/>
    </row>
    <row r="201" spans="1:6" x14ac:dyDescent="0.2">
      <c r="A201" s="32"/>
      <c r="D201" s="75"/>
      <c r="E201" s="75"/>
      <c r="F201" s="466"/>
    </row>
    <row r="202" spans="1:6" ht="13.5" thickBot="1" x14ac:dyDescent="0.25">
      <c r="A202" s="32"/>
      <c r="D202" s="83"/>
      <c r="E202" s="77"/>
      <c r="F202" s="46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6"/>
    </row>
    <row r="227" spans="1:6" x14ac:dyDescent="0.2">
      <c r="A227" s="32"/>
      <c r="D227" s="75"/>
      <c r="E227" s="75"/>
      <c r="F227" s="466"/>
    </row>
    <row r="228" spans="1:6" ht="13.5" thickBot="1" x14ac:dyDescent="0.25">
      <c r="A228" s="32"/>
      <c r="D228" s="83"/>
      <c r="E228" s="77"/>
      <c r="F228" s="46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6"/>
    </row>
    <row r="251" spans="1:6" x14ac:dyDescent="0.2">
      <c r="A251" s="32"/>
      <c r="D251" s="75"/>
      <c r="E251" s="75"/>
      <c r="F251" s="466"/>
    </row>
    <row r="252" spans="1:6" ht="13.5" thickBot="1" x14ac:dyDescent="0.25">
      <c r="A252" s="32"/>
      <c r="D252" s="86"/>
      <c r="E252" s="77"/>
      <c r="F252" s="4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6"/>
    </row>
    <row r="275" spans="1:6" x14ac:dyDescent="0.2">
      <c r="A275" s="87"/>
      <c r="B275" s="88"/>
      <c r="C275" s="88"/>
      <c r="D275" s="96"/>
      <c r="E275" s="75"/>
      <c r="F275" s="466"/>
    </row>
    <row r="276" spans="1:6" ht="13.5" thickBot="1" x14ac:dyDescent="0.25">
      <c r="A276" s="87"/>
      <c r="B276" s="88"/>
      <c r="C276" s="88"/>
      <c r="D276" s="98"/>
      <c r="E276" s="77"/>
      <c r="F276" s="4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6"/>
    </row>
    <row r="300" spans="1:6" x14ac:dyDescent="0.2">
      <c r="A300" s="87"/>
      <c r="B300" s="88"/>
      <c r="C300" s="88"/>
      <c r="D300" s="96"/>
      <c r="E300" s="75"/>
      <c r="F300" s="466"/>
    </row>
    <row r="301" spans="1:6" ht="13.5" thickBot="1" x14ac:dyDescent="0.25">
      <c r="A301" s="87"/>
      <c r="B301" s="88"/>
      <c r="C301" s="88"/>
      <c r="D301" s="98"/>
      <c r="E301" s="77"/>
      <c r="F301" s="4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6"/>
    </row>
    <row r="327" spans="1:6" x14ac:dyDescent="0.2">
      <c r="A327" s="87"/>
      <c r="B327" s="88"/>
      <c r="C327" s="88"/>
      <c r="D327" s="96"/>
      <c r="E327" s="75"/>
      <c r="F327" s="466"/>
    </row>
    <row r="328" spans="1:6" ht="13.5" thickBot="1" x14ac:dyDescent="0.25">
      <c r="A328" s="87"/>
      <c r="B328" s="88"/>
      <c r="C328" s="88"/>
      <c r="D328" s="98"/>
      <c r="E328" s="77"/>
      <c r="F328" s="4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1" workbookViewId="0">
      <selection activeCell="A40" sqref="A40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38753</v>
      </c>
      <c r="C3" s="90">
        <v>38839</v>
      </c>
      <c r="D3" s="90"/>
      <c r="E3" s="90">
        <v>-1752</v>
      </c>
      <c r="F3" s="90">
        <v>27848</v>
      </c>
      <c r="G3" s="90">
        <v>23815</v>
      </c>
      <c r="H3" s="90">
        <f>+E3-D3+C3-B3+G3-F3</f>
        <v>-5699</v>
      </c>
    </row>
    <row r="4" spans="1:26" x14ac:dyDescent="0.2">
      <c r="A4">
        <v>2</v>
      </c>
      <c r="B4" s="90">
        <v>40637</v>
      </c>
      <c r="C4" s="90">
        <v>40684</v>
      </c>
      <c r="D4" s="90"/>
      <c r="E4" s="90"/>
      <c r="F4" s="90">
        <v>27871</v>
      </c>
      <c r="G4" s="90">
        <v>25215</v>
      </c>
      <c r="H4" s="90">
        <f t="shared" ref="H4:H33" si="0">+E4-D4+C4-B4+G4-F4</f>
        <v>-2609</v>
      </c>
    </row>
    <row r="5" spans="1:26" x14ac:dyDescent="0.2">
      <c r="A5">
        <v>3</v>
      </c>
      <c r="B5" s="90">
        <v>40652</v>
      </c>
      <c r="C5" s="90">
        <v>40676</v>
      </c>
      <c r="D5" s="90"/>
      <c r="E5" s="90"/>
      <c r="F5" s="90">
        <v>28102</v>
      </c>
      <c r="G5" s="90">
        <v>25164</v>
      </c>
      <c r="H5" s="90">
        <f t="shared" si="0"/>
        <v>-2914</v>
      </c>
    </row>
    <row r="6" spans="1:26" x14ac:dyDescent="0.2">
      <c r="A6">
        <v>4</v>
      </c>
      <c r="B6" s="90">
        <v>40650</v>
      </c>
      <c r="C6" s="90">
        <v>40684</v>
      </c>
      <c r="D6" s="90"/>
      <c r="E6" s="90"/>
      <c r="F6" s="90">
        <v>27824</v>
      </c>
      <c r="G6" s="90">
        <v>25215</v>
      </c>
      <c r="H6" s="90">
        <f t="shared" si="0"/>
        <v>-2575</v>
      </c>
      <c r="K6" t="s">
        <v>234</v>
      </c>
      <c r="R6" t="s">
        <v>235</v>
      </c>
    </row>
    <row r="7" spans="1:26" x14ac:dyDescent="0.2">
      <c r="A7">
        <v>5</v>
      </c>
      <c r="B7" s="90">
        <v>37651</v>
      </c>
      <c r="C7" s="90">
        <v>37644</v>
      </c>
      <c r="D7" s="90"/>
      <c r="E7" s="90"/>
      <c r="F7" s="90">
        <v>24510</v>
      </c>
      <c r="G7" s="90">
        <v>24952</v>
      </c>
      <c r="H7" s="90">
        <f t="shared" si="0"/>
        <v>435</v>
      </c>
    </row>
    <row r="8" spans="1:26" x14ac:dyDescent="0.2">
      <c r="A8">
        <v>6</v>
      </c>
      <c r="B8" s="90">
        <v>37652</v>
      </c>
      <c r="C8" s="90">
        <v>37684</v>
      </c>
      <c r="D8" s="90"/>
      <c r="E8" s="90"/>
      <c r="F8" s="90">
        <v>26762</v>
      </c>
      <c r="G8" s="90">
        <v>25198</v>
      </c>
      <c r="H8" s="90">
        <f t="shared" si="0"/>
        <v>-1532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37653</v>
      </c>
      <c r="C9" s="90">
        <v>37684</v>
      </c>
      <c r="D9" s="90"/>
      <c r="E9" s="90"/>
      <c r="F9" s="90">
        <v>26569</v>
      </c>
      <c r="G9" s="90">
        <v>25217</v>
      </c>
      <c r="H9" s="90">
        <f t="shared" si="0"/>
        <v>-1321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">
      <c r="A10">
        <v>8</v>
      </c>
      <c r="B10" s="90">
        <v>39631</v>
      </c>
      <c r="C10" s="90">
        <v>39684</v>
      </c>
      <c r="D10" s="90"/>
      <c r="E10" s="90"/>
      <c r="F10" s="90">
        <v>21066</v>
      </c>
      <c r="G10" s="90">
        <v>25215</v>
      </c>
      <c r="H10" s="90">
        <f t="shared" si="0"/>
        <v>4202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">
      <c r="A11">
        <v>9</v>
      </c>
      <c r="B11" s="90">
        <v>45455</v>
      </c>
      <c r="C11" s="90">
        <v>45458</v>
      </c>
      <c r="D11" s="90"/>
      <c r="E11" s="90"/>
      <c r="F11" s="90">
        <v>24054</v>
      </c>
      <c r="G11" s="90">
        <v>23449</v>
      </c>
      <c r="H11" s="90">
        <f t="shared" si="0"/>
        <v>-602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">
      <c r="A12">
        <v>10</v>
      </c>
      <c r="B12" s="90">
        <v>45361</v>
      </c>
      <c r="C12" s="90">
        <v>45458</v>
      </c>
      <c r="D12" s="90"/>
      <c r="E12" s="90"/>
      <c r="F12" s="90">
        <v>23079</v>
      </c>
      <c r="G12" s="90">
        <v>23449</v>
      </c>
      <c r="H12" s="90">
        <f t="shared" si="0"/>
        <v>467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">
      <c r="A13">
        <v>11</v>
      </c>
      <c r="B13" s="90">
        <v>45428</v>
      </c>
      <c r="C13" s="90">
        <v>45458</v>
      </c>
      <c r="D13" s="90"/>
      <c r="E13" s="90"/>
      <c r="F13" s="90">
        <v>27403</v>
      </c>
      <c r="G13" s="90">
        <v>19517</v>
      </c>
      <c r="H13" s="90">
        <f t="shared" si="0"/>
        <v>-7856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">
      <c r="A14">
        <v>12</v>
      </c>
      <c r="B14" s="88">
        <v>45768</v>
      </c>
      <c r="C14" s="90">
        <v>37497</v>
      </c>
      <c r="D14" s="88"/>
      <c r="E14" s="88"/>
      <c r="F14" s="88">
        <v>14699</v>
      </c>
      <c r="G14" s="88">
        <v>23449</v>
      </c>
      <c r="H14" s="90">
        <f t="shared" si="0"/>
        <v>479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">
      <c r="A15">
        <v>13</v>
      </c>
      <c r="B15" s="88">
        <v>33659</v>
      </c>
      <c r="C15" s="88">
        <v>33643</v>
      </c>
      <c r="D15" s="88"/>
      <c r="E15" s="88"/>
      <c r="F15" s="88">
        <v>29075</v>
      </c>
      <c r="G15" s="88">
        <v>28943</v>
      </c>
      <c r="H15" s="90">
        <f t="shared" si="0"/>
        <v>-148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">
      <c r="A16">
        <v>14</v>
      </c>
      <c r="B16" s="88">
        <v>33891</v>
      </c>
      <c r="C16" s="88">
        <v>33684</v>
      </c>
      <c r="D16" s="88"/>
      <c r="E16" s="88"/>
      <c r="F16" s="88">
        <v>28918</v>
      </c>
      <c r="G16" s="88">
        <v>28943</v>
      </c>
      <c r="H16" s="90">
        <f t="shared" si="0"/>
        <v>-182</v>
      </c>
      <c r="K16" s="446" t="s">
        <v>236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236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">
      <c r="A17">
        <v>15</v>
      </c>
      <c r="B17" s="88">
        <v>33682</v>
      </c>
      <c r="C17" s="88">
        <v>33684</v>
      </c>
      <c r="D17" s="327">
        <v>-3456</v>
      </c>
      <c r="E17" s="327">
        <v>-10000</v>
      </c>
      <c r="F17" s="327">
        <v>28439</v>
      </c>
      <c r="G17" s="327">
        <v>28452</v>
      </c>
      <c r="H17" s="90">
        <f t="shared" si="0"/>
        <v>-6529</v>
      </c>
    </row>
    <row r="18" spans="1:23" x14ac:dyDescent="0.2">
      <c r="A18">
        <v>16</v>
      </c>
      <c r="B18" s="88">
        <v>33687</v>
      </c>
      <c r="C18" s="88">
        <v>33684</v>
      </c>
      <c r="D18" s="327"/>
      <c r="E18" s="327">
        <v>-4795</v>
      </c>
      <c r="F18" s="327">
        <v>28439</v>
      </c>
      <c r="G18" s="327">
        <v>28452</v>
      </c>
      <c r="H18" s="90">
        <f t="shared" si="0"/>
        <v>-4785</v>
      </c>
      <c r="K18" s="446" t="s">
        <v>237</v>
      </c>
      <c r="L18" s="327"/>
      <c r="M18" s="327"/>
      <c r="N18" s="327">
        <v>19880</v>
      </c>
      <c r="O18" s="445"/>
      <c r="P18" s="445"/>
      <c r="Q18" s="445"/>
      <c r="R18" s="446" t="s">
        <v>237</v>
      </c>
      <c r="S18" s="327"/>
      <c r="T18" s="327"/>
      <c r="U18" s="327">
        <v>37185</v>
      </c>
      <c r="V18" s="445"/>
      <c r="W18" s="445"/>
    </row>
    <row r="19" spans="1:23" x14ac:dyDescent="0.2">
      <c r="A19">
        <v>17</v>
      </c>
      <c r="B19" s="88">
        <v>33681</v>
      </c>
      <c r="C19" s="88">
        <v>33684</v>
      </c>
      <c r="D19" s="327"/>
      <c r="E19" s="327">
        <v>-5000</v>
      </c>
      <c r="F19" s="327">
        <v>28436</v>
      </c>
      <c r="G19" s="327">
        <v>28452</v>
      </c>
      <c r="H19" s="90">
        <f t="shared" si="0"/>
        <v>-4981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">
      <c r="A20">
        <v>18</v>
      </c>
      <c r="B20" s="327">
        <v>33667</v>
      </c>
      <c r="C20" s="327">
        <v>33684</v>
      </c>
      <c r="D20" s="327"/>
      <c r="E20" s="327">
        <v>-4813</v>
      </c>
      <c r="F20" s="327">
        <v>28416</v>
      </c>
      <c r="G20" s="327">
        <v>28452</v>
      </c>
      <c r="H20" s="90">
        <f t="shared" si="0"/>
        <v>-4760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">
      <c r="A21">
        <v>19</v>
      </c>
      <c r="B21" s="327">
        <v>33680</v>
      </c>
      <c r="C21" s="327">
        <v>33684</v>
      </c>
      <c r="D21" s="327"/>
      <c r="E21" s="327">
        <v>-5000</v>
      </c>
      <c r="F21" s="327">
        <v>28419</v>
      </c>
      <c r="G21" s="327">
        <v>28452</v>
      </c>
      <c r="H21" s="90">
        <f t="shared" si="0"/>
        <v>-4963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">
      <c r="A22">
        <v>20</v>
      </c>
      <c r="B22" s="427"/>
      <c r="C22" s="327"/>
      <c r="D22" s="327"/>
      <c r="E22" s="327"/>
      <c r="F22" s="327"/>
      <c r="G22" s="327"/>
      <c r="H22" s="90">
        <f t="shared" si="0"/>
        <v>0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">
      <c r="A25">
        <v>23</v>
      </c>
      <c r="B25" s="427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731238</v>
      </c>
      <c r="C34" s="287">
        <f t="shared" si="2"/>
        <v>723197</v>
      </c>
      <c r="D34" s="14">
        <f t="shared" si="2"/>
        <v>-3456</v>
      </c>
      <c r="E34" s="14">
        <f t="shared" si="2"/>
        <v>-31360</v>
      </c>
      <c r="F34" s="14">
        <f t="shared" si="2"/>
        <v>499929</v>
      </c>
      <c r="G34" s="14">
        <f t="shared" si="2"/>
        <v>490001</v>
      </c>
      <c r="H34" s="14">
        <f t="shared" si="2"/>
        <v>-45873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81"/>
      <c r="O36" s="259"/>
      <c r="P36" s="259"/>
      <c r="Q36" s="259"/>
      <c r="V36" s="259"/>
      <c r="W36" s="259"/>
    </row>
    <row r="37" spans="1:23" x14ac:dyDescent="0.2">
      <c r="A37" s="256">
        <v>37287</v>
      </c>
      <c r="B37" s="14"/>
      <c r="C37" s="14"/>
      <c r="D37" s="14"/>
      <c r="E37" s="14"/>
      <c r="F37" s="14"/>
      <c r="G37" s="14"/>
      <c r="H37" s="576">
        <f>8222+127244</f>
        <v>135466</v>
      </c>
      <c r="O37" s="259"/>
      <c r="P37" s="259"/>
      <c r="Q37" s="259"/>
      <c r="V37" s="259"/>
      <c r="W37" s="259"/>
    </row>
    <row r="38" spans="1:23" x14ac:dyDescent="0.2">
      <c r="A38" s="542">
        <v>37306</v>
      </c>
      <c r="B38" s="14"/>
      <c r="C38" s="14"/>
      <c r="D38" s="14"/>
      <c r="E38" s="14"/>
      <c r="F38" s="14"/>
      <c r="G38" s="14"/>
      <c r="H38" s="150">
        <f>+H37+H34</f>
        <v>89593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4"/>
      <c r="O40" s="259"/>
      <c r="P40" s="259"/>
      <c r="Q40" s="259"/>
    </row>
    <row r="41" spans="1:23" x14ac:dyDescent="0.2">
      <c r="H41" s="290"/>
      <c r="K41" s="344"/>
      <c r="O41" s="259"/>
      <c r="P41" s="259"/>
      <c r="Q41" s="259"/>
    </row>
    <row r="42" spans="1:23" x14ac:dyDescent="0.2">
      <c r="A42" s="32" t="s">
        <v>149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">
      <c r="A43" s="49">
        <f>+A37</f>
        <v>37287</v>
      </c>
      <c r="B43" s="32"/>
      <c r="C43" s="32"/>
      <c r="D43" s="573">
        <f>139025.55+196742</f>
        <v>335767.55</v>
      </c>
      <c r="F43" s="484">
        <v>338741</v>
      </c>
      <c r="H43" s="290"/>
      <c r="I43" s="31"/>
      <c r="K43" s="344"/>
      <c r="O43" s="259"/>
      <c r="P43" s="259"/>
      <c r="Q43" s="259"/>
    </row>
    <row r="44" spans="1:23" x14ac:dyDescent="0.2">
      <c r="A44" s="49">
        <f>+A38</f>
        <v>37306</v>
      </c>
      <c r="B44" s="32"/>
      <c r="C44" s="32"/>
      <c r="D44" s="374">
        <f>+H34*'by type_area'!G4</f>
        <v>-95415.84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240351.71</v>
      </c>
      <c r="F45" s="200">
        <f>+F44+F43</f>
        <v>338741</v>
      </c>
      <c r="H45" s="290"/>
      <c r="K45" s="497"/>
      <c r="O45" s="259"/>
      <c r="P45" s="259"/>
      <c r="Q45" s="259"/>
    </row>
    <row r="46" spans="1:23" x14ac:dyDescent="0.2">
      <c r="H46" s="290"/>
      <c r="K46" s="344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8" workbookViewId="0">
      <selection activeCell="C36" sqref="C36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">
      <c r="A8" s="10">
        <v>5</v>
      </c>
      <c r="B8" s="11">
        <v>-20583</v>
      </c>
      <c r="C8" s="11">
        <v>-19738</v>
      </c>
      <c r="D8" s="25">
        <f t="shared" si="0"/>
        <v>845</v>
      </c>
    </row>
    <row r="9" spans="1:4" x14ac:dyDescent="0.2">
      <c r="A9" s="10">
        <v>6</v>
      </c>
      <c r="B9" s="11">
        <v>-20425</v>
      </c>
      <c r="C9" s="11">
        <v>-19793</v>
      </c>
      <c r="D9" s="25">
        <f t="shared" si="0"/>
        <v>632</v>
      </c>
    </row>
    <row r="10" spans="1:4" x14ac:dyDescent="0.2">
      <c r="A10" s="10">
        <v>7</v>
      </c>
      <c r="B10" s="129">
        <v>-20729</v>
      </c>
      <c r="C10" s="11">
        <v>-19793</v>
      </c>
      <c r="D10" s="25">
        <f t="shared" si="0"/>
        <v>936</v>
      </c>
    </row>
    <row r="11" spans="1:4" x14ac:dyDescent="0.2">
      <c r="A11" s="10">
        <v>8</v>
      </c>
      <c r="B11" s="11">
        <v>-19999</v>
      </c>
      <c r="C11" s="11">
        <v>-19960</v>
      </c>
      <c r="D11" s="25">
        <f t="shared" si="0"/>
        <v>39</v>
      </c>
    </row>
    <row r="12" spans="1:4" x14ac:dyDescent="0.2">
      <c r="A12" s="10">
        <v>9</v>
      </c>
      <c r="B12" s="11">
        <v>-20900</v>
      </c>
      <c r="C12" s="11">
        <v>-19960</v>
      </c>
      <c r="D12" s="25">
        <f t="shared" si="0"/>
        <v>940</v>
      </c>
    </row>
    <row r="13" spans="1:4" x14ac:dyDescent="0.2">
      <c r="A13" s="10">
        <v>10</v>
      </c>
      <c r="B13" s="11">
        <v>-19998</v>
      </c>
      <c r="C13" s="11">
        <v>-19960</v>
      </c>
      <c r="D13" s="25">
        <f t="shared" si="0"/>
        <v>38</v>
      </c>
    </row>
    <row r="14" spans="1:4" x14ac:dyDescent="0.2">
      <c r="A14" s="10">
        <v>11</v>
      </c>
      <c r="B14" s="11">
        <v>-19998</v>
      </c>
      <c r="C14" s="11">
        <v>-19960</v>
      </c>
      <c r="D14" s="25">
        <f t="shared" si="0"/>
        <v>38</v>
      </c>
    </row>
    <row r="15" spans="1:4" x14ac:dyDescent="0.2">
      <c r="A15" s="10">
        <v>12</v>
      </c>
      <c r="B15" s="11">
        <v>-13793</v>
      </c>
      <c r="C15" s="11">
        <v>-19793</v>
      </c>
      <c r="D15" s="25">
        <f t="shared" si="0"/>
        <v>-6000</v>
      </c>
    </row>
    <row r="16" spans="1:4" x14ac:dyDescent="0.2">
      <c r="A16" s="10">
        <v>13</v>
      </c>
      <c r="B16" s="11">
        <v>-26751</v>
      </c>
      <c r="C16" s="11">
        <v>-19960</v>
      </c>
      <c r="D16" s="25">
        <f t="shared" si="0"/>
        <v>6791</v>
      </c>
    </row>
    <row r="17" spans="1:8" x14ac:dyDescent="0.2">
      <c r="A17" s="10">
        <v>14</v>
      </c>
      <c r="B17" s="11">
        <v>-20012</v>
      </c>
      <c r="C17" s="11">
        <v>-19960</v>
      </c>
      <c r="D17" s="25">
        <f t="shared" si="0"/>
        <v>52</v>
      </c>
    </row>
    <row r="18" spans="1:8" x14ac:dyDescent="0.2">
      <c r="A18" s="10">
        <v>15</v>
      </c>
      <c r="B18" s="11">
        <v>-20003</v>
      </c>
      <c r="C18" s="11">
        <v>-19960</v>
      </c>
      <c r="D18" s="25">
        <f t="shared" si="0"/>
        <v>43</v>
      </c>
    </row>
    <row r="19" spans="1:8" x14ac:dyDescent="0.2">
      <c r="A19" s="10">
        <v>16</v>
      </c>
      <c r="B19" s="11">
        <v>-19996</v>
      </c>
      <c r="C19" s="11">
        <v>-19960</v>
      </c>
      <c r="D19" s="25">
        <f t="shared" si="0"/>
        <v>36</v>
      </c>
    </row>
    <row r="20" spans="1:8" x14ac:dyDescent="0.2">
      <c r="A20" s="10">
        <v>17</v>
      </c>
      <c r="B20" s="11">
        <v>-10606</v>
      </c>
      <c r="C20" s="11">
        <v>-19960</v>
      </c>
      <c r="D20" s="25">
        <f t="shared" si="0"/>
        <v>-9354</v>
      </c>
    </row>
    <row r="21" spans="1:8" x14ac:dyDescent="0.2">
      <c r="A21" s="10">
        <v>18</v>
      </c>
      <c r="B21" s="11">
        <v>-19912</v>
      </c>
      <c r="C21" s="11">
        <v>-19960</v>
      </c>
      <c r="D21" s="25">
        <f t="shared" si="0"/>
        <v>-48</v>
      </c>
    </row>
    <row r="22" spans="1:8" x14ac:dyDescent="0.2">
      <c r="A22" s="10">
        <v>19</v>
      </c>
      <c r="B22" s="11">
        <v>-18547</v>
      </c>
      <c r="C22" s="11">
        <v>-19960</v>
      </c>
      <c r="D22" s="25">
        <f t="shared" si="0"/>
        <v>-1413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-373990</v>
      </c>
      <c r="C35" s="11">
        <f>SUM(C4:C34)</f>
        <v>-378517</v>
      </c>
      <c r="D35" s="11">
        <f>SUM(D4:D34)</f>
        <v>-4527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37287</v>
      </c>
      <c r="D38" s="488">
        <v>177959</v>
      </c>
    </row>
    <row r="39" spans="1:4" x14ac:dyDescent="0.2">
      <c r="A39" s="2"/>
      <c r="D39" s="24"/>
    </row>
    <row r="40" spans="1:4" x14ac:dyDescent="0.2">
      <c r="A40" s="57">
        <v>37306</v>
      </c>
      <c r="D40" s="51">
        <f>+D38+D35</f>
        <v>173432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+A38</f>
        <v>37287</v>
      </c>
      <c r="B45" s="32"/>
      <c r="C45" s="32"/>
      <c r="D45" s="487">
        <v>181376</v>
      </c>
    </row>
    <row r="46" spans="1:4" x14ac:dyDescent="0.2">
      <c r="A46" s="49">
        <f>+A40</f>
        <v>37306</v>
      </c>
      <c r="B46" s="32"/>
      <c r="C46" s="32"/>
      <c r="D46" s="374">
        <f>+D35*'by type_area'!G4</f>
        <v>-9416.16</v>
      </c>
    </row>
    <row r="47" spans="1:4" x14ac:dyDescent="0.2">
      <c r="A47" s="32"/>
      <c r="B47" s="32"/>
      <c r="C47" s="32"/>
      <c r="D47" s="200">
        <f>+D46+D45</f>
        <v>171959.84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2" sqref="A4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>
        <v>1</v>
      </c>
      <c r="G8" s="11"/>
      <c r="H8" s="11">
        <v>6285</v>
      </c>
      <c r="I8" s="11">
        <v>7000</v>
      </c>
      <c r="J8" s="11">
        <f t="shared" si="0"/>
        <v>786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8341</v>
      </c>
      <c r="C9" s="11">
        <v>7700</v>
      </c>
      <c r="D9" s="11">
        <v>8747</v>
      </c>
      <c r="E9" s="11">
        <v>8000</v>
      </c>
      <c r="F9" s="11"/>
      <c r="G9" s="11"/>
      <c r="H9" s="11">
        <v>5673</v>
      </c>
      <c r="I9" s="11">
        <v>7000</v>
      </c>
      <c r="J9" s="11">
        <f t="shared" si="0"/>
        <v>-61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9046</v>
      </c>
      <c r="C10" s="11">
        <v>7700</v>
      </c>
      <c r="D10" s="129">
        <v>5199</v>
      </c>
      <c r="E10" s="11">
        <v>8000</v>
      </c>
      <c r="F10" s="11"/>
      <c r="G10" s="11"/>
      <c r="H10" s="11">
        <v>1107</v>
      </c>
      <c r="I10" s="11"/>
      <c r="J10" s="11">
        <f t="shared" si="0"/>
        <v>348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8490</v>
      </c>
      <c r="C11" s="11">
        <v>7700</v>
      </c>
      <c r="D11" s="11">
        <v>4470</v>
      </c>
      <c r="E11" s="11">
        <v>8000</v>
      </c>
      <c r="F11" s="11"/>
      <c r="G11" s="11"/>
      <c r="H11" s="11"/>
      <c r="I11" s="11"/>
      <c r="J11" s="11">
        <f t="shared" si="0"/>
        <v>2740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7931</v>
      </c>
      <c r="C12" s="11">
        <v>7700</v>
      </c>
      <c r="D12" s="11">
        <v>8850</v>
      </c>
      <c r="E12" s="11">
        <v>8000</v>
      </c>
      <c r="F12" s="11"/>
      <c r="G12" s="11"/>
      <c r="H12" s="11"/>
      <c r="I12" s="11"/>
      <c r="J12" s="11">
        <f t="shared" si="0"/>
        <v>-1081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7777</v>
      </c>
      <c r="C13" s="11">
        <v>7700</v>
      </c>
      <c r="D13" s="11">
        <v>8458</v>
      </c>
      <c r="E13" s="11">
        <v>8000</v>
      </c>
      <c r="F13" s="11"/>
      <c r="G13" s="11"/>
      <c r="H13" s="11"/>
      <c r="I13" s="11"/>
      <c r="J13" s="11">
        <f t="shared" si="0"/>
        <v>-535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7673</v>
      </c>
      <c r="C14" s="11">
        <v>7700</v>
      </c>
      <c r="D14" s="11">
        <v>8800</v>
      </c>
      <c r="E14" s="11">
        <v>8000</v>
      </c>
      <c r="F14" s="11"/>
      <c r="G14" s="11"/>
      <c r="H14" s="11">
        <v>265</v>
      </c>
      <c r="I14" s="11"/>
      <c r="J14" s="11">
        <f t="shared" si="0"/>
        <v>-1038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7457</v>
      </c>
      <c r="C15" s="11">
        <v>7700</v>
      </c>
      <c r="D15" s="11">
        <v>9083</v>
      </c>
      <c r="E15" s="11">
        <v>8000</v>
      </c>
      <c r="F15" s="11"/>
      <c r="G15" s="11"/>
      <c r="H15" s="11">
        <v>913</v>
      </c>
      <c r="I15" s="11"/>
      <c r="J15" s="11">
        <f t="shared" si="0"/>
        <v>-1753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7123</v>
      </c>
      <c r="C16" s="11">
        <v>7700</v>
      </c>
      <c r="D16" s="11">
        <v>8979</v>
      </c>
      <c r="E16" s="11">
        <v>8000</v>
      </c>
      <c r="F16" s="11"/>
      <c r="G16" s="11"/>
      <c r="H16" s="11"/>
      <c r="I16" s="11"/>
      <c r="J16" s="11">
        <f t="shared" si="0"/>
        <v>-402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12291</v>
      </c>
      <c r="C17" s="11">
        <v>7700</v>
      </c>
      <c r="D17" s="11">
        <v>9160</v>
      </c>
      <c r="E17" s="11">
        <v>8000</v>
      </c>
      <c r="F17" s="11"/>
      <c r="G17" s="11"/>
      <c r="H17" s="11">
        <v>1482</v>
      </c>
      <c r="I17" s="11"/>
      <c r="J17" s="11">
        <f t="shared" si="0"/>
        <v>-7233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11610</v>
      </c>
      <c r="C18" s="11">
        <v>8000</v>
      </c>
      <c r="D18" s="11">
        <v>9275</v>
      </c>
      <c r="E18" s="11">
        <v>8700</v>
      </c>
      <c r="F18" s="11"/>
      <c r="G18" s="11"/>
      <c r="H18" s="11">
        <v>23</v>
      </c>
      <c r="I18" s="11"/>
      <c r="J18" s="11">
        <f t="shared" si="0"/>
        <v>-4208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13054</v>
      </c>
      <c r="C19" s="11">
        <v>11000</v>
      </c>
      <c r="D19" s="11">
        <v>9247</v>
      </c>
      <c r="E19" s="11">
        <v>8700</v>
      </c>
      <c r="F19" s="11"/>
      <c r="G19" s="11"/>
      <c r="H19" s="11"/>
      <c r="I19" s="11"/>
      <c r="J19" s="11">
        <f t="shared" si="0"/>
        <v>-2601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10833</v>
      </c>
      <c r="C20" s="11">
        <v>11000</v>
      </c>
      <c r="D20" s="11">
        <v>9133</v>
      </c>
      <c r="E20" s="11">
        <v>8700</v>
      </c>
      <c r="F20" s="11"/>
      <c r="G20" s="11"/>
      <c r="H20" s="11">
        <v>101</v>
      </c>
      <c r="I20" s="11"/>
      <c r="J20" s="11">
        <f t="shared" si="0"/>
        <v>-367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12772</v>
      </c>
      <c r="C21" s="11">
        <v>11000</v>
      </c>
      <c r="D21" s="11">
        <v>9577</v>
      </c>
      <c r="E21" s="11">
        <v>8700</v>
      </c>
      <c r="F21" s="11"/>
      <c r="G21" s="11"/>
      <c r="H21" s="11">
        <v>499</v>
      </c>
      <c r="I21" s="11"/>
      <c r="J21" s="11">
        <f t="shared" si="0"/>
        <v>-3148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161685</v>
      </c>
      <c r="C35" s="11">
        <f t="shared" ref="C35:I35" si="1">SUM(C4:C34)</f>
        <v>148800</v>
      </c>
      <c r="D35" s="11">
        <f t="shared" si="1"/>
        <v>150847</v>
      </c>
      <c r="E35" s="11">
        <f t="shared" si="1"/>
        <v>146800</v>
      </c>
      <c r="F35" s="11">
        <f t="shared" si="1"/>
        <v>1</v>
      </c>
      <c r="G35" s="11">
        <f t="shared" si="1"/>
        <v>3500</v>
      </c>
      <c r="H35" s="11">
        <f t="shared" si="1"/>
        <v>39892</v>
      </c>
      <c r="I35" s="11">
        <f t="shared" si="1"/>
        <v>38500</v>
      </c>
      <c r="J35" s="11">
        <f>SUM(J4:J34)</f>
        <v>-14825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2.08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-30836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37287</v>
      </c>
      <c r="C39" s="25"/>
      <c r="E39" s="25"/>
      <c r="G39" s="25"/>
      <c r="I39" s="25"/>
      <c r="J39" s="484">
        <v>18846.61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37305</v>
      </c>
      <c r="J41" s="319">
        <f>+J39+J37</f>
        <v>-11989.39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37287</v>
      </c>
      <c r="B46" s="32"/>
      <c r="C46" s="32"/>
      <c r="D46" s="485">
        <v>-118658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37305</v>
      </c>
      <c r="B47" s="32"/>
      <c r="C47" s="32"/>
      <c r="D47" s="349">
        <f>+J35</f>
        <v>-14825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-133483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43" workbookViewId="0">
      <selection activeCell="E42" sqref="E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304</v>
      </c>
      <c r="H4" s="14" t="s">
        <v>303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302</v>
      </c>
      <c r="I5" s="14" t="s">
        <v>305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-38899</v>
      </c>
      <c r="E6" s="24">
        <v>-39350</v>
      </c>
      <c r="F6" s="24">
        <f>+C6+E6-B6-D6</f>
        <v>-451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-3677</v>
      </c>
      <c r="E7" s="24">
        <v>-1850</v>
      </c>
      <c r="F7" s="24">
        <f t="shared" ref="F7:F36" si="0">+C7+E7-B7-D7</f>
        <v>1827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>
        <v>-3350</v>
      </c>
      <c r="F8" s="24">
        <f t="shared" si="0"/>
        <v>-3350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>
        <v>-350</v>
      </c>
      <c r="F9" s="24">
        <f t="shared" si="0"/>
        <v>-350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>
        <v>-850</v>
      </c>
      <c r="F10" s="24">
        <f t="shared" si="0"/>
        <v>-850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>
        <v>-850</v>
      </c>
      <c r="F11" s="24">
        <f t="shared" si="0"/>
        <v>-850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>
        <v>-850</v>
      </c>
      <c r="F12" s="24">
        <f t="shared" si="0"/>
        <v>-850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-13262</v>
      </c>
      <c r="E13" s="24">
        <v>-12350</v>
      </c>
      <c r="F13" s="24">
        <f t="shared" si="0"/>
        <v>912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-33942</v>
      </c>
      <c r="E14" s="24">
        <v>-32042</v>
      </c>
      <c r="F14" s="24">
        <f t="shared" si="0"/>
        <v>1900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-33351</v>
      </c>
      <c r="E15" s="24">
        <v>-32042</v>
      </c>
      <c r="F15" s="24">
        <f t="shared" si="0"/>
        <v>1309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-33738</v>
      </c>
      <c r="E16" s="24">
        <v>-32042</v>
      </c>
      <c r="F16" s="24">
        <f t="shared" si="0"/>
        <v>1696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-33590</v>
      </c>
      <c r="E17" s="24">
        <v>-33350</v>
      </c>
      <c r="F17" s="24">
        <f t="shared" si="0"/>
        <v>240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-5050</v>
      </c>
      <c r="E18" s="24">
        <v>-850</v>
      </c>
      <c r="F18" s="24">
        <f t="shared" si="0"/>
        <v>4200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-18827</v>
      </c>
      <c r="E19" s="24">
        <v>-23049</v>
      </c>
      <c r="F19" s="24">
        <f t="shared" si="0"/>
        <v>-4222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-29265</v>
      </c>
      <c r="E20" s="24">
        <v>-30349</v>
      </c>
      <c r="F20" s="24">
        <f t="shared" si="0"/>
        <v>-1084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-19595</v>
      </c>
      <c r="E21" s="24">
        <v>-19850</v>
      </c>
      <c r="F21" s="24">
        <f t="shared" si="0"/>
        <v>-255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-19651</v>
      </c>
      <c r="E22" s="24">
        <v>-19850</v>
      </c>
      <c r="F22" s="24">
        <f t="shared" si="0"/>
        <v>-199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-19767</v>
      </c>
      <c r="E23" s="24">
        <v>-19850</v>
      </c>
      <c r="F23" s="24">
        <f t="shared" si="0"/>
        <v>-83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-302614</v>
      </c>
      <c r="E37" s="24">
        <f>SUM(E6:E36)</f>
        <v>-303074</v>
      </c>
      <c r="F37" s="24">
        <f>SUM(F6:F36)</f>
        <v>-460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-956.80000000000007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E40" s="14"/>
      <c r="F40" s="568">
        <v>329520.2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37305</v>
      </c>
      <c r="E41" s="14"/>
      <c r="F41" s="104">
        <f>+F40+F39</f>
        <v>328563.40000000002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v>-36982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37305</v>
      </c>
      <c r="B47" s="32"/>
      <c r="C47" s="32"/>
      <c r="D47" s="349">
        <f>+F37</f>
        <v>-460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-37442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7" workbookViewId="0">
      <selection activeCell="E49" sqref="E49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">
      <c r="A12" s="10">
        <v>5</v>
      </c>
      <c r="B12" s="11"/>
      <c r="C12" s="11"/>
      <c r="D12" s="11"/>
      <c r="E12" s="11">
        <v>65</v>
      </c>
      <c r="F12" s="25">
        <f t="shared" si="0"/>
        <v>65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>
        <v>135</v>
      </c>
      <c r="F14" s="25">
        <f t="shared" si="0"/>
        <v>135</v>
      </c>
    </row>
    <row r="15" spans="1:6" x14ac:dyDescent="0.2">
      <c r="A15" s="10">
        <v>8</v>
      </c>
      <c r="B15" s="11"/>
      <c r="C15" s="11"/>
      <c r="D15" s="11"/>
      <c r="E15" s="11">
        <v>135</v>
      </c>
      <c r="F15" s="25">
        <f t="shared" si="0"/>
        <v>135</v>
      </c>
    </row>
    <row r="16" spans="1:6" x14ac:dyDescent="0.2">
      <c r="A16" s="10">
        <v>9</v>
      </c>
      <c r="B16" s="11"/>
      <c r="C16" s="11"/>
      <c r="D16" s="11"/>
      <c r="E16" s="11">
        <v>135</v>
      </c>
      <c r="F16" s="25">
        <f t="shared" si="0"/>
        <v>135</v>
      </c>
    </row>
    <row r="17" spans="1:10" x14ac:dyDescent="0.2">
      <c r="A17" s="10">
        <v>10</v>
      </c>
      <c r="B17" s="11"/>
      <c r="C17" s="11"/>
      <c r="D17" s="11"/>
      <c r="E17" s="11">
        <v>135</v>
      </c>
      <c r="F17" s="25">
        <f t="shared" si="0"/>
        <v>135</v>
      </c>
      <c r="J17" s="322"/>
    </row>
    <row r="18" spans="1:10" x14ac:dyDescent="0.2">
      <c r="A18" s="10">
        <v>11</v>
      </c>
      <c r="B18" s="11"/>
      <c r="C18" s="11"/>
      <c r="D18" s="11"/>
      <c r="E18" s="11">
        <v>135</v>
      </c>
      <c r="F18" s="25">
        <f t="shared" si="0"/>
        <v>135</v>
      </c>
      <c r="J18" s="32"/>
    </row>
    <row r="19" spans="1:10" x14ac:dyDescent="0.2">
      <c r="A19" s="10">
        <v>12</v>
      </c>
      <c r="B19" s="11"/>
      <c r="C19" s="11"/>
      <c r="D19" s="11"/>
      <c r="E19" s="11">
        <v>135</v>
      </c>
      <c r="F19" s="25">
        <f t="shared" si="0"/>
        <v>135</v>
      </c>
      <c r="J19" s="136"/>
    </row>
    <row r="20" spans="1:10" x14ac:dyDescent="0.2">
      <c r="A20" s="10">
        <v>13</v>
      </c>
      <c r="B20" s="11"/>
      <c r="C20" s="11"/>
      <c r="D20" s="11"/>
      <c r="E20" s="11">
        <v>135</v>
      </c>
      <c r="F20" s="25">
        <f t="shared" si="0"/>
        <v>135</v>
      </c>
    </row>
    <row r="21" spans="1:10" x14ac:dyDescent="0.2">
      <c r="A21" s="10">
        <v>14</v>
      </c>
      <c r="B21" s="11"/>
      <c r="C21" s="11"/>
      <c r="D21" s="11"/>
      <c r="E21" s="11">
        <v>135</v>
      </c>
      <c r="F21" s="25">
        <f t="shared" si="0"/>
        <v>135</v>
      </c>
    </row>
    <row r="22" spans="1:10" x14ac:dyDescent="0.2">
      <c r="A22" s="10">
        <v>15</v>
      </c>
      <c r="B22" s="11"/>
      <c r="C22" s="11"/>
      <c r="D22" s="11"/>
      <c r="E22" s="11">
        <v>135</v>
      </c>
      <c r="F22" s="25">
        <f t="shared" si="0"/>
        <v>135</v>
      </c>
    </row>
    <row r="23" spans="1:10" x14ac:dyDescent="0.2">
      <c r="A23" s="10">
        <v>16</v>
      </c>
      <c r="B23" s="11"/>
      <c r="C23" s="11"/>
      <c r="D23" s="11"/>
      <c r="E23" s="11">
        <v>135</v>
      </c>
      <c r="F23" s="25">
        <f t="shared" si="0"/>
        <v>135</v>
      </c>
    </row>
    <row r="24" spans="1:10" x14ac:dyDescent="0.2">
      <c r="A24" s="10">
        <v>17</v>
      </c>
      <c r="B24" s="11"/>
      <c r="C24" s="11"/>
      <c r="D24" s="11"/>
      <c r="E24" s="11">
        <v>135</v>
      </c>
      <c r="F24" s="25">
        <f t="shared" si="0"/>
        <v>135</v>
      </c>
    </row>
    <row r="25" spans="1:10" x14ac:dyDescent="0.2">
      <c r="A25" s="10">
        <v>18</v>
      </c>
      <c r="B25" s="11"/>
      <c r="C25" s="11"/>
      <c r="D25" s="11"/>
      <c r="E25" s="11">
        <v>135</v>
      </c>
      <c r="F25" s="25">
        <f t="shared" si="0"/>
        <v>135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1913</v>
      </c>
      <c r="F39" s="25">
        <f>SUM(F8:F38)</f>
        <v>1913</v>
      </c>
    </row>
    <row r="40" spans="1:6" x14ac:dyDescent="0.2">
      <c r="A40" s="26"/>
      <c r="C40" s="14"/>
      <c r="F40" s="253">
        <f>+summary!G4</f>
        <v>2.08</v>
      </c>
    </row>
    <row r="41" spans="1:6" x14ac:dyDescent="0.2">
      <c r="F41" s="138">
        <f>+F40*F39</f>
        <v>3979.04</v>
      </c>
    </row>
    <row r="42" spans="1:6" x14ac:dyDescent="0.2">
      <c r="A42" s="57">
        <v>37287</v>
      </c>
      <c r="C42" s="15"/>
      <c r="F42" s="570">
        <v>42790.44</v>
      </c>
    </row>
    <row r="43" spans="1:6" x14ac:dyDescent="0.2">
      <c r="A43" s="57">
        <v>37305</v>
      </c>
      <c r="C43" s="48"/>
      <c r="F43" s="138">
        <f>+F42+F41</f>
        <v>46769.48</v>
      </c>
    </row>
    <row r="47" spans="1:6" x14ac:dyDescent="0.2">
      <c r="A47" s="32" t="s">
        <v>148</v>
      </c>
      <c r="B47" s="32"/>
      <c r="C47" s="32"/>
      <c r="D47" s="32"/>
    </row>
    <row r="48" spans="1:6" x14ac:dyDescent="0.2">
      <c r="A48" s="49">
        <f>+A42</f>
        <v>37287</v>
      </c>
      <c r="B48" s="32"/>
      <c r="C48" s="32"/>
      <c r="D48" s="485">
        <v>4581</v>
      </c>
    </row>
    <row r="49" spans="1:4" x14ac:dyDescent="0.2">
      <c r="A49" s="49">
        <f>+A43</f>
        <v>37305</v>
      </c>
      <c r="B49" s="32"/>
      <c r="C49" s="32"/>
      <c r="D49" s="349">
        <f>+F39</f>
        <v>1913</v>
      </c>
    </row>
    <row r="50" spans="1:4" x14ac:dyDescent="0.2">
      <c r="A50" s="32"/>
      <c r="B50" s="32"/>
      <c r="C50" s="32"/>
      <c r="D50" s="14">
        <f>+D49+D48</f>
        <v>6494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1" sqref="A41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9"/>
    </row>
    <row r="41" spans="1:4" x14ac:dyDescent="0.2">
      <c r="A41" s="57">
        <v>37287</v>
      </c>
      <c r="C41" s="15"/>
      <c r="D41" s="456">
        <v>17587</v>
      </c>
    </row>
    <row r="42" spans="1:4" x14ac:dyDescent="0.2">
      <c r="A42" s="57">
        <v>37305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149</v>
      </c>
      <c r="B46" s="32"/>
      <c r="C46" s="32"/>
      <c r="D46" s="32"/>
    </row>
    <row r="47" spans="1:4" x14ac:dyDescent="0.2">
      <c r="A47" s="49">
        <f>+A41</f>
        <v>37287</v>
      </c>
      <c r="B47" s="32"/>
      <c r="C47" s="32"/>
      <c r="D47" s="459">
        <v>385897</v>
      </c>
    </row>
    <row r="48" spans="1:4" x14ac:dyDescent="0.2">
      <c r="A48" s="49">
        <f>+A42</f>
        <v>37305</v>
      </c>
      <c r="B48" s="32"/>
      <c r="C48" s="32"/>
      <c r="D48" s="374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33" workbookViewId="0">
      <selection activeCell="C46" sqref="C46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-42173</v>
      </c>
      <c r="C11" s="11">
        <v>-42972</v>
      </c>
      <c r="D11" s="25">
        <f t="shared" si="0"/>
        <v>-799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-48371</v>
      </c>
      <c r="C12" s="11">
        <v>-50000</v>
      </c>
      <c r="D12" s="25">
        <f t="shared" si="0"/>
        <v>-1629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-80802</v>
      </c>
      <c r="C13" s="11">
        <v>-70000</v>
      </c>
      <c r="D13" s="25">
        <f t="shared" si="0"/>
        <v>10802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-82459</v>
      </c>
      <c r="C14" s="11">
        <v>-80300</v>
      </c>
      <c r="D14" s="25">
        <f t="shared" si="0"/>
        <v>2159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-78069</v>
      </c>
      <c r="C15" s="11">
        <v>-80300</v>
      </c>
      <c r="D15" s="25">
        <f t="shared" si="0"/>
        <v>-2231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">
      <c r="A16" s="10">
        <v>11</v>
      </c>
      <c r="B16" s="11">
        <v>-83884</v>
      </c>
      <c r="C16" s="11">
        <v>-80300</v>
      </c>
      <c r="D16" s="25">
        <f t="shared" si="0"/>
        <v>3584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">
      <c r="A17" s="10">
        <v>12</v>
      </c>
      <c r="B17" s="11">
        <v>-84205</v>
      </c>
      <c r="C17" s="11">
        <v>-80299</v>
      </c>
      <c r="D17" s="25">
        <f t="shared" si="0"/>
        <v>3906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-80842</v>
      </c>
      <c r="C18" s="11">
        <v>-80300</v>
      </c>
      <c r="D18" s="25">
        <f t="shared" si="0"/>
        <v>542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">
      <c r="A19" s="10">
        <v>14</v>
      </c>
      <c r="B19" s="11">
        <v>-82060</v>
      </c>
      <c r="C19" s="11">
        <v>-85300</v>
      </c>
      <c r="D19" s="25">
        <f t="shared" si="0"/>
        <v>-3240</v>
      </c>
      <c r="G19" s="118" t="s">
        <v>183</v>
      </c>
      <c r="H19" s="119">
        <f>+B37</f>
        <v>-1210357</v>
      </c>
      <c r="I19" s="119">
        <f>+C37</f>
        <v>-1184971</v>
      </c>
      <c r="J19" s="119">
        <f>+I19-H19</f>
        <v>25386</v>
      </c>
      <c r="K19" s="411">
        <f>+D38</f>
        <v>2.08</v>
      </c>
      <c r="L19" s="416">
        <f>+K19*J19</f>
        <v>52802.880000000005</v>
      </c>
      <c r="M19" s="2"/>
      <c r="N19" s="34"/>
    </row>
    <row r="20" spans="1:14" x14ac:dyDescent="0.2">
      <c r="A20" s="10">
        <v>15</v>
      </c>
      <c r="B20" s="11">
        <v>-84337</v>
      </c>
      <c r="C20" s="11">
        <v>-80300</v>
      </c>
      <c r="D20" s="25">
        <f t="shared" si="0"/>
        <v>4037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">
      <c r="A21" s="10">
        <v>16</v>
      </c>
      <c r="B21" s="11">
        <v>-84089</v>
      </c>
      <c r="C21" s="11">
        <v>-85300</v>
      </c>
      <c r="D21" s="25">
        <f t="shared" si="0"/>
        <v>-1211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-83899</v>
      </c>
      <c r="C22" s="11">
        <v>-85300</v>
      </c>
      <c r="D22" s="25">
        <f t="shared" si="0"/>
        <v>-1401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-83874</v>
      </c>
      <c r="C23" s="11">
        <v>-85300</v>
      </c>
      <c r="D23" s="25">
        <f t="shared" si="0"/>
        <v>-1426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184</v>
      </c>
      <c r="H24" s="24"/>
      <c r="I24" s="24"/>
      <c r="J24" s="24">
        <f>+J19+J17</f>
        <v>155878</v>
      </c>
      <c r="K24" s="407"/>
      <c r="L24" s="110">
        <f>+L19+L17</f>
        <v>134487.97999999984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7"/>
      <c r="L26" s="24">
        <f>+L24/K19</f>
        <v>64657.682692307608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7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7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-1210357</v>
      </c>
      <c r="C37" s="11">
        <f>SUM(C6:C36)</f>
        <v>-1184971</v>
      </c>
      <c r="D37" s="25">
        <f>SUM(D6:D36)</f>
        <v>25386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52802.880000000005</v>
      </c>
    </row>
    <row r="40" spans="1:4" x14ac:dyDescent="0.2">
      <c r="A40" s="57">
        <v>37287</v>
      </c>
      <c r="C40" s="15"/>
      <c r="D40" s="590">
        <v>-2220</v>
      </c>
    </row>
    <row r="41" spans="1:4" x14ac:dyDescent="0.2">
      <c r="A41" s="57">
        <v>37305</v>
      </c>
      <c r="C41" s="48"/>
      <c r="D41" s="138">
        <f>+D40+D39</f>
        <v>50582.880000000005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1">
        <v>86032</v>
      </c>
    </row>
    <row r="46" spans="1:4" x14ac:dyDescent="0.2">
      <c r="A46" s="49">
        <f>+A41</f>
        <v>37305</v>
      </c>
      <c r="B46" s="32"/>
      <c r="C46" s="32"/>
      <c r="D46" s="349">
        <f>+D37</f>
        <v>25386</v>
      </c>
    </row>
    <row r="47" spans="1:4" x14ac:dyDescent="0.2">
      <c r="A47" s="32"/>
      <c r="B47" s="32"/>
      <c r="C47" s="32"/>
      <c r="D47" s="14">
        <f>+D46+D45</f>
        <v>111418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46" sqref="C46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">
      <c r="A12" s="10">
        <v>7</v>
      </c>
      <c r="B12" s="129">
        <v>37808</v>
      </c>
      <c r="C12" s="11">
        <v>38956</v>
      </c>
      <c r="D12" s="25">
        <f t="shared" si="0"/>
        <v>1148</v>
      </c>
    </row>
    <row r="13" spans="1:5" x14ac:dyDescent="0.2">
      <c r="A13" s="10">
        <v>8</v>
      </c>
      <c r="B13" s="129">
        <v>38181</v>
      </c>
      <c r="C13" s="11">
        <v>39034</v>
      </c>
      <c r="D13" s="25">
        <f t="shared" si="0"/>
        <v>853</v>
      </c>
    </row>
    <row r="14" spans="1:5" x14ac:dyDescent="0.2">
      <c r="A14" s="10">
        <v>9</v>
      </c>
      <c r="B14" s="129">
        <v>38435</v>
      </c>
      <c r="C14" s="11">
        <v>39956</v>
      </c>
      <c r="D14" s="25">
        <f t="shared" si="0"/>
        <v>1521</v>
      </c>
    </row>
    <row r="15" spans="1:5" x14ac:dyDescent="0.2">
      <c r="A15" s="10">
        <v>10</v>
      </c>
      <c r="B15" s="129">
        <v>36511</v>
      </c>
      <c r="C15" s="11">
        <v>39956</v>
      </c>
      <c r="D15" s="25">
        <f t="shared" si="0"/>
        <v>3445</v>
      </c>
    </row>
    <row r="16" spans="1:5" x14ac:dyDescent="0.2">
      <c r="A16" s="10">
        <v>11</v>
      </c>
      <c r="B16" s="129">
        <v>36351</v>
      </c>
      <c r="C16" s="11">
        <v>34319</v>
      </c>
      <c r="D16" s="25">
        <f t="shared" si="0"/>
        <v>-2032</v>
      </c>
    </row>
    <row r="17" spans="1:4" x14ac:dyDescent="0.2">
      <c r="A17" s="10">
        <v>12</v>
      </c>
      <c r="B17" s="129">
        <v>35353</v>
      </c>
      <c r="C17" s="11">
        <v>39956</v>
      </c>
      <c r="D17" s="25">
        <f t="shared" si="0"/>
        <v>4603</v>
      </c>
    </row>
    <row r="18" spans="1:4" x14ac:dyDescent="0.2">
      <c r="A18" s="10">
        <v>13</v>
      </c>
      <c r="B18" s="129">
        <v>38142</v>
      </c>
      <c r="C18" s="11">
        <v>39956</v>
      </c>
      <c r="D18" s="25">
        <f t="shared" si="0"/>
        <v>1814</v>
      </c>
    </row>
    <row r="19" spans="1:4" x14ac:dyDescent="0.2">
      <c r="A19" s="10">
        <v>14</v>
      </c>
      <c r="B19" s="129">
        <v>34878</v>
      </c>
      <c r="C19" s="11">
        <v>37956</v>
      </c>
      <c r="D19" s="25">
        <f t="shared" si="0"/>
        <v>3078</v>
      </c>
    </row>
    <row r="20" spans="1:4" x14ac:dyDescent="0.2">
      <c r="A20" s="10">
        <v>15</v>
      </c>
      <c r="B20" s="129">
        <v>40870</v>
      </c>
      <c r="C20" s="11">
        <v>37956</v>
      </c>
      <c r="D20" s="25">
        <f t="shared" si="0"/>
        <v>-2914</v>
      </c>
    </row>
    <row r="21" spans="1:4" x14ac:dyDescent="0.2">
      <c r="A21" s="10">
        <v>16</v>
      </c>
      <c r="B21" s="11">
        <v>40485</v>
      </c>
      <c r="C21" s="11">
        <v>39956</v>
      </c>
      <c r="D21" s="25">
        <f t="shared" si="0"/>
        <v>-529</v>
      </c>
    </row>
    <row r="22" spans="1:4" x14ac:dyDescent="0.2">
      <c r="A22" s="10">
        <v>17</v>
      </c>
      <c r="B22" s="11">
        <v>40144</v>
      </c>
      <c r="C22" s="11">
        <v>39956</v>
      </c>
      <c r="D22" s="25">
        <f t="shared" si="0"/>
        <v>-188</v>
      </c>
    </row>
    <row r="23" spans="1:4" x14ac:dyDescent="0.2">
      <c r="A23" s="10">
        <v>18</v>
      </c>
      <c r="B23" s="11">
        <v>41271</v>
      </c>
      <c r="C23" s="11">
        <v>40108</v>
      </c>
      <c r="D23" s="25">
        <f t="shared" si="0"/>
        <v>-1163</v>
      </c>
    </row>
    <row r="24" spans="1:4" x14ac:dyDescent="0.2">
      <c r="A24" s="10">
        <v>19</v>
      </c>
      <c r="B24" s="11">
        <v>41201</v>
      </c>
      <c r="C24" s="11">
        <v>40108</v>
      </c>
      <c r="D24" s="25">
        <f t="shared" si="0"/>
        <v>-1093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685094</v>
      </c>
      <c r="C37" s="11">
        <f>SUM(C6:C36)</f>
        <v>705327</v>
      </c>
      <c r="D37" s="25">
        <f>SUM(D6:D36)</f>
        <v>20233</v>
      </c>
    </row>
    <row r="38" spans="1:4" x14ac:dyDescent="0.2">
      <c r="A38" s="26"/>
      <c r="B38" s="31"/>
      <c r="C38" s="14"/>
      <c r="D38" s="326">
        <f>+summary!G5</f>
        <v>2.08</v>
      </c>
    </row>
    <row r="39" spans="1:4" x14ac:dyDescent="0.2">
      <c r="D39" s="138">
        <f>+D38*D37</f>
        <v>42084.639999999999</v>
      </c>
    </row>
    <row r="40" spans="1:4" x14ac:dyDescent="0.2">
      <c r="A40" s="57">
        <v>37287</v>
      </c>
      <c r="C40" s="15"/>
      <c r="D40" s="590">
        <v>100916</v>
      </c>
    </row>
    <row r="41" spans="1:4" x14ac:dyDescent="0.2">
      <c r="A41" s="57">
        <v>37306</v>
      </c>
      <c r="C41" s="48"/>
      <c r="D41" s="138">
        <f>+D40+D39</f>
        <v>143000.64000000001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1">
        <v>62232</v>
      </c>
    </row>
    <row r="46" spans="1:4" x14ac:dyDescent="0.2">
      <c r="A46" s="49">
        <f>+A41</f>
        <v>37306</v>
      </c>
      <c r="B46" s="32"/>
      <c r="C46" s="32"/>
      <c r="D46" s="349">
        <f>+D37</f>
        <v>20233</v>
      </c>
    </row>
    <row r="47" spans="1:4" x14ac:dyDescent="0.2">
      <c r="A47" s="32"/>
      <c r="B47" s="32"/>
      <c r="C47" s="32"/>
      <c r="D47" s="14">
        <f>+D46+D45</f>
        <v>82465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4" workbookViewId="0">
      <selection activeCell="B22" sqref="B22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6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138333</v>
      </c>
      <c r="I4" s="11">
        <v>132994</v>
      </c>
      <c r="J4" s="11">
        <f t="shared" ref="J4:J34" si="0">+C4+E4+G4+I4-H4-F4-D4-B4</f>
        <v>-7102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248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319506</v>
      </c>
      <c r="C10" s="11">
        <v>320155</v>
      </c>
      <c r="D10" s="129">
        <v>23179</v>
      </c>
      <c r="E10" s="11">
        <v>22626</v>
      </c>
      <c r="F10" s="129">
        <v>38348</v>
      </c>
      <c r="G10" s="11">
        <v>37079</v>
      </c>
      <c r="H10" s="129">
        <v>129327</v>
      </c>
      <c r="I10" s="11">
        <v>126563</v>
      </c>
      <c r="J10" s="11">
        <f t="shared" si="0"/>
        <v>-3937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286158</v>
      </c>
      <c r="C11" s="11">
        <v>281186</v>
      </c>
      <c r="D11" s="11">
        <v>22743</v>
      </c>
      <c r="E11" s="11">
        <v>22671</v>
      </c>
      <c r="F11" s="11">
        <v>38426</v>
      </c>
      <c r="G11" s="11">
        <v>40918</v>
      </c>
      <c r="H11" s="11">
        <v>111115</v>
      </c>
      <c r="I11" s="11">
        <v>111192</v>
      </c>
      <c r="J11" s="11">
        <f t="shared" si="0"/>
        <v>-2475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302691</v>
      </c>
      <c r="C12" s="11">
        <v>299195</v>
      </c>
      <c r="D12" s="11">
        <v>19977</v>
      </c>
      <c r="E12" s="11">
        <v>22175</v>
      </c>
      <c r="F12" s="11">
        <v>40192</v>
      </c>
      <c r="G12" s="11">
        <v>40918</v>
      </c>
      <c r="H12" s="11">
        <v>124988</v>
      </c>
      <c r="I12" s="11">
        <v>121550</v>
      </c>
      <c r="J12" s="11">
        <f t="shared" si="0"/>
        <v>-4010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79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294278</v>
      </c>
      <c r="C13" s="11">
        <v>299195</v>
      </c>
      <c r="D13" s="129">
        <v>22860</v>
      </c>
      <c r="E13" s="11">
        <v>22094</v>
      </c>
      <c r="F13" s="129">
        <v>42910</v>
      </c>
      <c r="G13" s="11">
        <v>40918</v>
      </c>
      <c r="H13" s="129">
        <v>128025</v>
      </c>
      <c r="I13" s="11">
        <v>125624</v>
      </c>
      <c r="J13" s="11">
        <f t="shared" si="0"/>
        <v>-242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308297</v>
      </c>
      <c r="C14" s="11">
        <v>314941</v>
      </c>
      <c r="D14" s="11">
        <v>23014</v>
      </c>
      <c r="E14" s="11">
        <v>21854</v>
      </c>
      <c r="F14" s="11">
        <v>38296</v>
      </c>
      <c r="G14" s="11">
        <v>34629</v>
      </c>
      <c r="H14" s="11">
        <v>136518</v>
      </c>
      <c r="I14" s="11">
        <v>133999</v>
      </c>
      <c r="J14" s="11">
        <f t="shared" si="0"/>
        <v>-702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323009</v>
      </c>
      <c r="C15" s="11">
        <v>340013</v>
      </c>
      <c r="D15" s="11">
        <v>23025</v>
      </c>
      <c r="E15" s="11">
        <v>21500</v>
      </c>
      <c r="F15" s="11">
        <v>48171</v>
      </c>
      <c r="G15" s="11">
        <v>28668</v>
      </c>
      <c r="H15" s="11">
        <v>119665</v>
      </c>
      <c r="I15" s="11">
        <v>121497</v>
      </c>
      <c r="J15" s="11">
        <f t="shared" si="0"/>
        <v>-2192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251547</v>
      </c>
      <c r="C16" s="11">
        <v>255068</v>
      </c>
      <c r="D16" s="11">
        <v>22924</v>
      </c>
      <c r="E16" s="11">
        <v>11153</v>
      </c>
      <c r="F16" s="11">
        <v>34346</v>
      </c>
      <c r="G16" s="11">
        <v>29840</v>
      </c>
      <c r="H16" s="11">
        <v>120632</v>
      </c>
      <c r="I16" s="11">
        <v>119766</v>
      </c>
      <c r="J16" s="11">
        <f t="shared" si="0"/>
        <v>-13622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302986</v>
      </c>
      <c r="C17" s="11">
        <v>300798</v>
      </c>
      <c r="D17" s="11">
        <v>23089</v>
      </c>
      <c r="E17" s="11">
        <v>12065</v>
      </c>
      <c r="F17" s="11">
        <v>30114</v>
      </c>
      <c r="G17" s="11">
        <v>36168</v>
      </c>
      <c r="H17" s="11">
        <v>118174</v>
      </c>
      <c r="I17" s="11">
        <v>128285</v>
      </c>
      <c r="J17" s="11">
        <f t="shared" si="0"/>
        <v>2953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320781</v>
      </c>
      <c r="C18" s="11">
        <v>321683</v>
      </c>
      <c r="D18" s="11">
        <v>7129</v>
      </c>
      <c r="E18" s="11">
        <v>11514</v>
      </c>
      <c r="F18" s="11">
        <v>33386</v>
      </c>
      <c r="G18" s="11">
        <v>33898</v>
      </c>
      <c r="H18" s="11">
        <v>132774</v>
      </c>
      <c r="I18" s="11">
        <v>133680</v>
      </c>
      <c r="J18" s="11">
        <f t="shared" si="0"/>
        <v>6705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294339</v>
      </c>
      <c r="C19" s="11">
        <v>291714</v>
      </c>
      <c r="D19" s="11"/>
      <c r="E19" s="11">
        <v>4943</v>
      </c>
      <c r="F19" s="11">
        <v>38975</v>
      </c>
      <c r="G19" s="11">
        <v>35013</v>
      </c>
      <c r="H19" s="11">
        <v>131155</v>
      </c>
      <c r="I19" s="11">
        <v>131546</v>
      </c>
      <c r="J19" s="11">
        <f t="shared" si="0"/>
        <v>-1253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290904</v>
      </c>
      <c r="C20" s="11">
        <v>293264</v>
      </c>
      <c r="D20" s="11"/>
      <c r="E20" s="11">
        <v>4862</v>
      </c>
      <c r="F20" s="11">
        <v>36131</v>
      </c>
      <c r="G20" s="11">
        <v>36168</v>
      </c>
      <c r="H20" s="11">
        <v>126129</v>
      </c>
      <c r="I20" s="11">
        <v>119066</v>
      </c>
      <c r="J20" s="11">
        <f t="shared" si="0"/>
        <v>196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305922</v>
      </c>
      <c r="C21" s="11">
        <v>303311</v>
      </c>
      <c r="D21" s="11"/>
      <c r="E21" s="11">
        <v>4930</v>
      </c>
      <c r="F21" s="11">
        <v>35067</v>
      </c>
      <c r="G21" s="11">
        <v>35103</v>
      </c>
      <c r="H21" s="11">
        <v>117947</v>
      </c>
      <c r="I21" s="11">
        <v>116578</v>
      </c>
      <c r="J21" s="11">
        <f t="shared" si="0"/>
        <v>986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301502</v>
      </c>
      <c r="C22" s="11">
        <v>302180</v>
      </c>
      <c r="D22" s="11"/>
      <c r="E22" s="11">
        <v>4734</v>
      </c>
      <c r="F22" s="11">
        <v>35147</v>
      </c>
      <c r="G22" s="11">
        <v>35103</v>
      </c>
      <c r="H22" s="11">
        <v>120094</v>
      </c>
      <c r="I22" s="11">
        <v>125238</v>
      </c>
      <c r="J22" s="11">
        <f t="shared" si="0"/>
        <v>10512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5866000</v>
      </c>
      <c r="C35" s="11">
        <f t="shared" ref="C35:I35" si="3">SUM(C4:C34)</f>
        <v>5903575</v>
      </c>
      <c r="D35" s="11">
        <f t="shared" si="3"/>
        <v>421386</v>
      </c>
      <c r="E35" s="11">
        <f t="shared" si="3"/>
        <v>419512</v>
      </c>
      <c r="F35" s="11">
        <f t="shared" si="3"/>
        <v>725541</v>
      </c>
      <c r="G35" s="11">
        <f t="shared" si="3"/>
        <v>697362</v>
      </c>
      <c r="H35" s="11">
        <f t="shared" si="3"/>
        <v>2366136</v>
      </c>
      <c r="I35" s="11">
        <f t="shared" si="3"/>
        <v>2349547</v>
      </c>
      <c r="J35" s="11">
        <f>SUM(J4:J34)</f>
        <v>-9067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">
      <c r="A38" s="56">
        <v>37287</v>
      </c>
      <c r="C38" s="25"/>
      <c r="E38" s="25"/>
      <c r="G38" s="25"/>
      <c r="I38" s="25"/>
      <c r="J38" s="571">
        <f>3060-3060</f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">
      <c r="A40" s="33">
        <v>37306</v>
      </c>
      <c r="J40" s="51">
        <f>+J38+J35</f>
        <v>-9067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37287</v>
      </c>
      <c r="B46" s="32"/>
      <c r="C46" s="32"/>
      <c r="D46" s="574">
        <f>6364.8-6364.8</f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37306</v>
      </c>
      <c r="B47" s="32"/>
      <c r="C47" s="32"/>
      <c r="D47" s="374">
        <f>+J35*'by type_area'!G3</f>
        <v>-18950.03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-18950.03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8"/>
      <c r="S295" s="1"/>
    </row>
    <row r="296" spans="9:21" x14ac:dyDescent="0.2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8"/>
      <c r="S337" s="1"/>
    </row>
    <row r="338" spans="11:21" x14ac:dyDescent="0.2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8"/>
      <c r="S379" s="1"/>
    </row>
    <row r="380" spans="11:21" x14ac:dyDescent="0.2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8"/>
      <c r="S423" s="1"/>
    </row>
    <row r="424" spans="11:21" x14ac:dyDescent="0.2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32" workbookViewId="0">
      <selection activeCell="C47" sqref="C47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">
      <c r="A8" s="10">
        <v>3</v>
      </c>
      <c r="B8" s="11">
        <v>45365</v>
      </c>
      <c r="C8" s="11">
        <v>45393</v>
      </c>
      <c r="D8" s="25">
        <f t="shared" si="0"/>
        <v>28</v>
      </c>
      <c r="F8" s="558"/>
    </row>
    <row r="9" spans="1:6" x14ac:dyDescent="0.2">
      <c r="A9" s="10">
        <v>4</v>
      </c>
      <c r="B9" s="11">
        <v>45289</v>
      </c>
      <c r="C9" s="11">
        <v>45501</v>
      </c>
      <c r="D9" s="25">
        <f t="shared" si="0"/>
        <v>212</v>
      </c>
      <c r="F9" s="558"/>
    </row>
    <row r="10" spans="1:6" x14ac:dyDescent="0.2">
      <c r="A10" s="10">
        <v>5</v>
      </c>
      <c r="B10" s="11">
        <v>29956</v>
      </c>
      <c r="C10" s="11">
        <v>32422</v>
      </c>
      <c r="D10" s="25">
        <f t="shared" si="0"/>
        <v>2466</v>
      </c>
      <c r="F10" s="559"/>
    </row>
    <row r="11" spans="1:6" x14ac:dyDescent="0.2">
      <c r="A11" s="10">
        <v>6</v>
      </c>
      <c r="B11" s="11">
        <v>44104</v>
      </c>
      <c r="C11" s="11">
        <v>43943</v>
      </c>
      <c r="D11" s="25">
        <f t="shared" si="0"/>
        <v>-161</v>
      </c>
      <c r="F11" s="559"/>
    </row>
    <row r="12" spans="1:6" x14ac:dyDescent="0.2">
      <c r="A12" s="10">
        <v>7</v>
      </c>
      <c r="B12" s="11">
        <v>28135</v>
      </c>
      <c r="C12" s="11">
        <v>28260</v>
      </c>
      <c r="D12" s="25">
        <f t="shared" si="0"/>
        <v>125</v>
      </c>
      <c r="F12" s="559"/>
    </row>
    <row r="13" spans="1:6" x14ac:dyDescent="0.2">
      <c r="A13" s="10">
        <v>8</v>
      </c>
      <c r="B13" s="11">
        <v>40218</v>
      </c>
      <c r="C13" s="11">
        <v>40777</v>
      </c>
      <c r="D13" s="25">
        <f t="shared" si="0"/>
        <v>559</v>
      </c>
      <c r="F13" s="559"/>
    </row>
    <row r="14" spans="1:6" x14ac:dyDescent="0.2">
      <c r="A14" s="10">
        <v>9</v>
      </c>
      <c r="B14" s="11">
        <v>54635</v>
      </c>
      <c r="C14" s="11">
        <v>54792</v>
      </c>
      <c r="D14" s="25">
        <f t="shared" si="0"/>
        <v>157</v>
      </c>
    </row>
    <row r="15" spans="1:6" x14ac:dyDescent="0.2">
      <c r="A15" s="10">
        <v>10</v>
      </c>
      <c r="B15" s="11">
        <v>55177</v>
      </c>
      <c r="C15" s="11">
        <v>54792</v>
      </c>
      <c r="D15" s="25">
        <f t="shared" si="0"/>
        <v>-385</v>
      </c>
    </row>
    <row r="16" spans="1:6" x14ac:dyDescent="0.2">
      <c r="A16" s="10">
        <v>11</v>
      </c>
      <c r="B16" s="11">
        <v>54989</v>
      </c>
      <c r="C16" s="11">
        <v>54792</v>
      </c>
      <c r="D16" s="25">
        <f t="shared" si="0"/>
        <v>-197</v>
      </c>
    </row>
    <row r="17" spans="1:4" x14ac:dyDescent="0.2">
      <c r="A17" s="10">
        <v>12</v>
      </c>
      <c r="B17" s="11">
        <v>26436</v>
      </c>
      <c r="C17" s="11">
        <v>25267</v>
      </c>
      <c r="D17" s="25">
        <f t="shared" si="0"/>
        <v>-1169</v>
      </c>
    </row>
    <row r="18" spans="1:4" x14ac:dyDescent="0.2">
      <c r="A18" s="10">
        <v>13</v>
      </c>
      <c r="B18" s="11">
        <v>43593</v>
      </c>
      <c r="C18" s="11">
        <v>42531</v>
      </c>
      <c r="D18" s="25">
        <f t="shared" si="0"/>
        <v>-1062</v>
      </c>
    </row>
    <row r="19" spans="1:4" x14ac:dyDescent="0.2">
      <c r="A19" s="10">
        <v>14</v>
      </c>
      <c r="B19" s="11">
        <v>46670</v>
      </c>
      <c r="C19" s="11">
        <v>45534</v>
      </c>
      <c r="D19" s="25">
        <f t="shared" si="0"/>
        <v>-1136</v>
      </c>
    </row>
    <row r="20" spans="1:4" x14ac:dyDescent="0.2">
      <c r="A20" s="10">
        <v>15</v>
      </c>
      <c r="B20" s="11">
        <v>36529</v>
      </c>
      <c r="C20" s="11">
        <v>35569</v>
      </c>
      <c r="D20" s="25">
        <f t="shared" si="0"/>
        <v>-960</v>
      </c>
    </row>
    <row r="21" spans="1:4" x14ac:dyDescent="0.2">
      <c r="A21" s="10">
        <v>16</v>
      </c>
      <c r="B21" s="11">
        <v>38425</v>
      </c>
      <c r="C21" s="11">
        <v>40811</v>
      </c>
      <c r="D21" s="25">
        <f t="shared" si="0"/>
        <v>2386</v>
      </c>
    </row>
    <row r="22" spans="1:4" x14ac:dyDescent="0.2">
      <c r="A22" s="10">
        <v>17</v>
      </c>
      <c r="B22" s="11">
        <v>39068</v>
      </c>
      <c r="C22" s="11">
        <v>40811</v>
      </c>
      <c r="D22" s="25">
        <f t="shared" si="0"/>
        <v>1743</v>
      </c>
    </row>
    <row r="23" spans="1:4" x14ac:dyDescent="0.2">
      <c r="A23" s="10">
        <v>18</v>
      </c>
      <c r="B23" s="11">
        <v>38120</v>
      </c>
      <c r="C23" s="11">
        <v>40811</v>
      </c>
      <c r="D23" s="25">
        <f t="shared" si="0"/>
        <v>2691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758200</v>
      </c>
      <c r="C37" s="11">
        <f>SUM(C6:C36)</f>
        <v>763632</v>
      </c>
      <c r="D37" s="25">
        <f>SUM(D6:D36)</f>
        <v>5432</v>
      </c>
    </row>
    <row r="38" spans="1:4" x14ac:dyDescent="0.2">
      <c r="A38" s="26"/>
      <c r="C38" s="14"/>
      <c r="D38" s="326">
        <f>+summary!G5</f>
        <v>2.08</v>
      </c>
    </row>
    <row r="39" spans="1:4" x14ac:dyDescent="0.2">
      <c r="D39" s="138">
        <f>+D38*D37</f>
        <v>11298.56</v>
      </c>
    </row>
    <row r="40" spans="1:4" x14ac:dyDescent="0.2">
      <c r="A40" s="57">
        <v>37287</v>
      </c>
      <c r="C40" s="15"/>
      <c r="D40" s="599">
        <v>1526.04</v>
      </c>
    </row>
    <row r="41" spans="1:4" x14ac:dyDescent="0.2">
      <c r="A41" s="57">
        <v>37305</v>
      </c>
      <c r="C41" s="48"/>
      <c r="D41" s="138">
        <f>+D40+D39</f>
        <v>12824.599999999999</v>
      </c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549</v>
      </c>
    </row>
    <row r="47" spans="1:4" x14ac:dyDescent="0.2">
      <c r="A47" s="49">
        <f>+A41</f>
        <v>37305</v>
      </c>
      <c r="B47" s="32"/>
      <c r="C47" s="32"/>
      <c r="D47" s="349">
        <f>+D37</f>
        <v>5432</v>
      </c>
    </row>
    <row r="48" spans="1:4" x14ac:dyDescent="0.2">
      <c r="A48" s="32"/>
      <c r="B48" s="32"/>
      <c r="C48" s="32"/>
      <c r="D48" s="14">
        <f>+D47+D46</f>
        <v>5981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2" workbookViewId="0">
      <selection activeCell="E47" sqref="E47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">
      <c r="A12" s="10">
        <v>7</v>
      </c>
      <c r="B12" s="11">
        <v>-1834</v>
      </c>
      <c r="C12" s="11">
        <v>-657</v>
      </c>
      <c r="D12" s="25">
        <f t="shared" si="0"/>
        <v>1177</v>
      </c>
    </row>
    <row r="13" spans="1:13" x14ac:dyDescent="0.2">
      <c r="A13" s="10">
        <v>8</v>
      </c>
      <c r="B13" s="11">
        <v>-409</v>
      </c>
      <c r="C13" s="11">
        <v>-657</v>
      </c>
      <c r="D13" s="25">
        <f t="shared" si="0"/>
        <v>-248</v>
      </c>
      <c r="H13" s="118"/>
      <c r="I13" s="34"/>
      <c r="J13" s="34"/>
      <c r="K13" s="189"/>
      <c r="L13" s="411" t="s">
        <v>173</v>
      </c>
      <c r="M13" s="189"/>
    </row>
    <row r="14" spans="1:13" x14ac:dyDescent="0.2">
      <c r="A14" s="10">
        <v>9</v>
      </c>
      <c r="B14" s="11">
        <v>-425</v>
      </c>
      <c r="C14" s="11">
        <v>-657</v>
      </c>
      <c r="D14" s="25">
        <f t="shared" si="0"/>
        <v>-232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">
      <c r="A15" s="10">
        <v>10</v>
      </c>
      <c r="B15" s="11">
        <v>-1898</v>
      </c>
      <c r="C15" s="11">
        <v>-657</v>
      </c>
      <c r="D15" s="25">
        <f t="shared" si="0"/>
        <v>1241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-1844</v>
      </c>
      <c r="C16" s="11">
        <v>-657</v>
      </c>
      <c r="D16" s="25">
        <f t="shared" si="0"/>
        <v>1187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">
      <c r="A17" s="10">
        <v>12</v>
      </c>
      <c r="B17" s="11">
        <v>-1374</v>
      </c>
      <c r="C17" s="11">
        <v>-657</v>
      </c>
      <c r="D17" s="25">
        <f t="shared" si="0"/>
        <v>717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">
      <c r="A18" s="10">
        <v>13</v>
      </c>
      <c r="B18" s="11">
        <v>-1653</v>
      </c>
      <c r="C18" s="11">
        <v>-657</v>
      </c>
      <c r="D18" s="25">
        <f t="shared" si="0"/>
        <v>996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">
      <c r="A19" s="10">
        <v>14</v>
      </c>
      <c r="B19" s="11">
        <v>-582</v>
      </c>
      <c r="C19" s="11">
        <v>-657</v>
      </c>
      <c r="D19" s="25">
        <f t="shared" si="0"/>
        <v>-75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">
      <c r="A20" s="10">
        <v>15</v>
      </c>
      <c r="B20" s="11">
        <v>-670</v>
      </c>
      <c r="C20" s="11">
        <v>-657</v>
      </c>
      <c r="D20" s="25">
        <f t="shared" si="0"/>
        <v>13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">
      <c r="A21" s="10">
        <v>16</v>
      </c>
      <c r="B21" s="11">
        <v>-888</v>
      </c>
      <c r="C21" s="11">
        <v>-657</v>
      </c>
      <c r="D21" s="25">
        <f t="shared" si="0"/>
        <v>231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">
      <c r="A22" s="10">
        <v>17</v>
      </c>
      <c r="B22" s="11">
        <v>-2001</v>
      </c>
      <c r="C22" s="11">
        <v>-657</v>
      </c>
      <c r="D22" s="25">
        <f t="shared" si="0"/>
        <v>1344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5" thickBot="1" x14ac:dyDescent="0.25">
      <c r="A23" s="10">
        <v>18</v>
      </c>
      <c r="B23" s="11">
        <v>-1889</v>
      </c>
      <c r="C23" s="11">
        <v>-657</v>
      </c>
      <c r="D23" s="25">
        <f t="shared" si="0"/>
        <v>1232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-22241</v>
      </c>
      <c r="C37" s="11">
        <f>SUM(C6:C36)</f>
        <v>-11161</v>
      </c>
      <c r="D37" s="25">
        <f>SUM(D6:D36)</f>
        <v>11080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23046.400000000001</v>
      </c>
    </row>
    <row r="40" spans="1:4" x14ac:dyDescent="0.2">
      <c r="A40" s="57">
        <v>37287</v>
      </c>
      <c r="C40" s="15"/>
      <c r="D40" s="570">
        <v>-292829</v>
      </c>
    </row>
    <row r="41" spans="1:4" x14ac:dyDescent="0.2">
      <c r="A41" s="57">
        <v>37305</v>
      </c>
      <c r="C41" s="48"/>
      <c r="D41" s="138">
        <f>+D40+D39</f>
        <v>-269782.59999999998</v>
      </c>
    </row>
    <row r="47" spans="1:4" x14ac:dyDescent="0.2">
      <c r="A47" s="32" t="s">
        <v>148</v>
      </c>
      <c r="B47" s="32"/>
      <c r="C47" s="32"/>
      <c r="D47" s="32"/>
    </row>
    <row r="48" spans="1:4" x14ac:dyDescent="0.2">
      <c r="A48" s="49">
        <f>+A40</f>
        <v>37287</v>
      </c>
      <c r="B48" s="32"/>
      <c r="C48" s="32"/>
      <c r="D48" s="567">
        <v>-14344</v>
      </c>
    </row>
    <row r="49" spans="1:4" x14ac:dyDescent="0.2">
      <c r="A49" s="49">
        <f>+A41</f>
        <v>37305</v>
      </c>
      <c r="B49" s="32"/>
      <c r="C49" s="32"/>
      <c r="D49" s="349">
        <f>+D37</f>
        <v>11080</v>
      </c>
    </row>
    <row r="50" spans="1:4" x14ac:dyDescent="0.2">
      <c r="A50" s="32"/>
      <c r="B50" s="32"/>
      <c r="C50" s="32"/>
      <c r="D50" s="14">
        <f>+D49+D48</f>
        <v>-3264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">
      <c r="A12" s="10">
        <v>7</v>
      </c>
      <c r="B12" s="129">
        <v>-48009</v>
      </c>
      <c r="C12" s="11">
        <v>-54967</v>
      </c>
      <c r="D12" s="25">
        <f t="shared" si="0"/>
        <v>-6958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>
        <v>-11316</v>
      </c>
      <c r="C15" s="11">
        <v>-6000</v>
      </c>
      <c r="D15" s="25">
        <f t="shared" si="0"/>
        <v>5316</v>
      </c>
    </row>
    <row r="16" spans="1:4" x14ac:dyDescent="0.2">
      <c r="A16" s="10">
        <v>11</v>
      </c>
      <c r="B16" s="11">
        <v>-63764</v>
      </c>
      <c r="C16" s="11">
        <v>-51407</v>
      </c>
      <c r="D16" s="25">
        <f t="shared" si="0"/>
        <v>12357</v>
      </c>
    </row>
    <row r="17" spans="1:4" x14ac:dyDescent="0.2">
      <c r="A17" s="10">
        <v>12</v>
      </c>
      <c r="B17" s="11">
        <v>-58527</v>
      </c>
      <c r="C17" s="11">
        <v>-67499</v>
      </c>
      <c r="D17" s="25">
        <f t="shared" si="0"/>
        <v>-8972</v>
      </c>
    </row>
    <row r="18" spans="1:4" x14ac:dyDescent="0.2">
      <c r="A18" s="10">
        <v>13</v>
      </c>
      <c r="B18" s="11">
        <v>-41171</v>
      </c>
      <c r="C18" s="11">
        <v>-51000</v>
      </c>
      <c r="D18" s="25">
        <f t="shared" si="0"/>
        <v>-9829</v>
      </c>
    </row>
    <row r="19" spans="1:4" x14ac:dyDescent="0.2">
      <c r="A19" s="10">
        <v>14</v>
      </c>
      <c r="B19" s="11">
        <v>-49898</v>
      </c>
      <c r="C19" s="11">
        <v>-52000</v>
      </c>
      <c r="D19" s="25">
        <f t="shared" si="0"/>
        <v>-2102</v>
      </c>
    </row>
    <row r="20" spans="1:4" x14ac:dyDescent="0.2">
      <c r="A20" s="10">
        <v>15</v>
      </c>
      <c r="B20" s="11">
        <v>-52161</v>
      </c>
      <c r="C20" s="11">
        <v>-60000</v>
      </c>
      <c r="D20" s="25">
        <f t="shared" si="0"/>
        <v>-7839</v>
      </c>
    </row>
    <row r="21" spans="1:4" x14ac:dyDescent="0.2">
      <c r="A21" s="10">
        <v>16</v>
      </c>
      <c r="B21" s="11">
        <v>-36534</v>
      </c>
      <c r="C21" s="11">
        <v>-33000</v>
      </c>
      <c r="D21" s="25">
        <f t="shared" si="0"/>
        <v>3534</v>
      </c>
    </row>
    <row r="22" spans="1:4" x14ac:dyDescent="0.2">
      <c r="A22" s="10">
        <v>17</v>
      </c>
      <c r="B22" s="11">
        <v>-40628</v>
      </c>
      <c r="C22" s="11">
        <v>-29000</v>
      </c>
      <c r="D22" s="25">
        <f t="shared" si="0"/>
        <v>11628</v>
      </c>
    </row>
    <row r="23" spans="1:4" x14ac:dyDescent="0.2">
      <c r="A23" s="10">
        <v>18</v>
      </c>
      <c r="B23" s="11">
        <v>-65332</v>
      </c>
      <c r="C23" s="11">
        <v>-54999</v>
      </c>
      <c r="D23" s="25">
        <f t="shared" si="0"/>
        <v>10333</v>
      </c>
    </row>
    <row r="24" spans="1:4" x14ac:dyDescent="0.2">
      <c r="A24" s="10">
        <v>19</v>
      </c>
      <c r="B24" s="11">
        <v>-69204</v>
      </c>
      <c r="C24" s="11">
        <v>-54999</v>
      </c>
      <c r="D24" s="25">
        <f t="shared" si="0"/>
        <v>14205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-899147</v>
      </c>
      <c r="C37" s="11">
        <f>SUM(C6:C36)</f>
        <v>-864168</v>
      </c>
      <c r="D37" s="25">
        <f>SUM(D6:D36)</f>
        <v>34979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72756.320000000007</v>
      </c>
    </row>
    <row r="40" spans="1:4" x14ac:dyDescent="0.2">
      <c r="A40" s="57">
        <v>37287</v>
      </c>
      <c r="C40" s="15"/>
      <c r="D40" s="570">
        <v>23627.8</v>
      </c>
    </row>
    <row r="41" spans="1:4" x14ac:dyDescent="0.2">
      <c r="A41" s="57">
        <v>37306</v>
      </c>
      <c r="C41" s="48"/>
      <c r="D41" s="138">
        <f>+D40+D39</f>
        <v>96384.12000000001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67">
        <v>14942</v>
      </c>
    </row>
    <row r="47" spans="1:4" x14ac:dyDescent="0.2">
      <c r="A47" s="49">
        <f>+A41</f>
        <v>37306</v>
      </c>
      <c r="B47" s="32"/>
      <c r="C47" s="32"/>
      <c r="D47" s="349">
        <f>+D37</f>
        <v>34979</v>
      </c>
    </row>
    <row r="48" spans="1:4" x14ac:dyDescent="0.2">
      <c r="A48" s="32"/>
      <c r="B48" s="32"/>
      <c r="C48" s="32"/>
      <c r="D48" s="14">
        <f>+D47+D46</f>
        <v>49921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3" workbookViewId="0">
      <selection activeCell="C8" sqref="C8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-3</v>
      </c>
      <c r="C5" s="90">
        <v>-2142</v>
      </c>
      <c r="D5" s="90">
        <f>+C5-B5</f>
        <v>-2139</v>
      </c>
      <c r="E5" s="275"/>
      <c r="F5" s="273"/>
    </row>
    <row r="6" spans="1:13" x14ac:dyDescent="0.2">
      <c r="A6" s="87">
        <v>500046</v>
      </c>
      <c r="B6" s="90">
        <v>-7907</v>
      </c>
      <c r="C6" s="90"/>
      <c r="D6" s="90">
        <f t="shared" ref="D6:D11" si="0">+C6-B6</f>
        <v>7907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-15554</v>
      </c>
      <c r="C8" s="90">
        <v>-29104</v>
      </c>
      <c r="D8" s="90">
        <f t="shared" si="0"/>
        <v>-13550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-7782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2.08</v>
      </c>
      <c r="E13" s="277"/>
      <c r="F13" s="273"/>
    </row>
    <row r="14" spans="1:13" x14ac:dyDescent="0.2">
      <c r="A14" s="87"/>
      <c r="B14" s="88"/>
      <c r="C14" s="88"/>
      <c r="D14" s="96">
        <f>+D13*D12</f>
        <v>-16186.560000000001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37287</v>
      </c>
      <c r="B16" s="88"/>
      <c r="C16" s="88"/>
      <c r="D16" s="517">
        <v>-547260.79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37304</v>
      </c>
      <c r="B18" s="88"/>
      <c r="C18" s="88"/>
      <c r="D18" s="318">
        <f>+D16+D14</f>
        <v>-563447.35000000009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148</v>
      </c>
      <c r="B21" s="32"/>
      <c r="C21" s="32"/>
      <c r="D21" s="32"/>
    </row>
    <row r="22" spans="1:7" x14ac:dyDescent="0.2">
      <c r="A22" s="49">
        <f>+A16</f>
        <v>37287</v>
      </c>
      <c r="B22" s="32"/>
      <c r="C22" s="32"/>
      <c r="D22" s="567">
        <v>-41423</v>
      </c>
    </row>
    <row r="23" spans="1:7" x14ac:dyDescent="0.2">
      <c r="A23" s="49"/>
      <c r="B23" s="32"/>
      <c r="C23" s="32"/>
      <c r="D23" s="349">
        <f>+D12</f>
        <v>-7782</v>
      </c>
    </row>
    <row r="24" spans="1:7" x14ac:dyDescent="0.2">
      <c r="A24" s="49">
        <f>+A18</f>
        <v>37304</v>
      </c>
      <c r="B24" s="32"/>
      <c r="C24" s="32"/>
      <c r="D24" s="14">
        <f>+D23+D22</f>
        <v>-49205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6" workbookViewId="0">
      <selection activeCell="C47" sqref="C47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">
      <c r="A9" s="10">
        <v>4</v>
      </c>
      <c r="B9" s="129">
        <v>-57818</v>
      </c>
      <c r="C9" s="11">
        <v>-57711</v>
      </c>
      <c r="D9" s="25">
        <f t="shared" si="0"/>
        <v>107</v>
      </c>
    </row>
    <row r="10" spans="1:4" x14ac:dyDescent="0.2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">
      <c r="A11" s="10">
        <v>6</v>
      </c>
      <c r="B11" s="11">
        <v>-17354</v>
      </c>
      <c r="C11" s="11">
        <v>-18500</v>
      </c>
      <c r="D11" s="25">
        <f t="shared" si="0"/>
        <v>-1146</v>
      </c>
    </row>
    <row r="12" spans="1:4" x14ac:dyDescent="0.2">
      <c r="A12" s="10">
        <v>7</v>
      </c>
      <c r="B12" s="11">
        <v>-38858</v>
      </c>
      <c r="C12" s="11">
        <v>-38303</v>
      </c>
      <c r="D12" s="25">
        <f t="shared" si="0"/>
        <v>555</v>
      </c>
    </row>
    <row r="13" spans="1:4" x14ac:dyDescent="0.2">
      <c r="A13" s="10">
        <v>8</v>
      </c>
      <c r="B13" s="11">
        <v>-23897</v>
      </c>
      <c r="C13" s="11">
        <v>-23492</v>
      </c>
      <c r="D13" s="25">
        <f t="shared" si="0"/>
        <v>405</v>
      </c>
    </row>
    <row r="14" spans="1:4" x14ac:dyDescent="0.2">
      <c r="A14" s="10">
        <v>9</v>
      </c>
      <c r="B14" s="11">
        <v>-66545</v>
      </c>
      <c r="C14" s="11">
        <v>-67340</v>
      </c>
      <c r="D14" s="25">
        <f t="shared" si="0"/>
        <v>-795</v>
      </c>
    </row>
    <row r="15" spans="1:4" x14ac:dyDescent="0.2">
      <c r="A15" s="10">
        <v>10</v>
      </c>
      <c r="B15" s="11">
        <v>-67813</v>
      </c>
      <c r="C15" s="11">
        <v>-67340</v>
      </c>
      <c r="D15" s="25">
        <f t="shared" si="0"/>
        <v>473</v>
      </c>
    </row>
    <row r="16" spans="1:4" x14ac:dyDescent="0.2">
      <c r="A16" s="10">
        <v>11</v>
      </c>
      <c r="B16" s="11">
        <v>-67191</v>
      </c>
      <c r="C16" s="11">
        <v>-67340</v>
      </c>
      <c r="D16" s="25">
        <f t="shared" si="0"/>
        <v>-149</v>
      </c>
    </row>
    <row r="17" spans="1:4" x14ac:dyDescent="0.2">
      <c r="A17" s="10">
        <v>12</v>
      </c>
      <c r="B17" s="129">
        <v>-36674</v>
      </c>
      <c r="C17" s="11">
        <v>-36088</v>
      </c>
      <c r="D17" s="25">
        <f t="shared" si="0"/>
        <v>586</v>
      </c>
    </row>
    <row r="18" spans="1:4" x14ac:dyDescent="0.2">
      <c r="A18" s="10">
        <v>13</v>
      </c>
      <c r="B18" s="11">
        <v>-47122</v>
      </c>
      <c r="C18" s="11">
        <v>-47000</v>
      </c>
      <c r="D18" s="25">
        <f t="shared" si="0"/>
        <v>122</v>
      </c>
    </row>
    <row r="19" spans="1:4" x14ac:dyDescent="0.2">
      <c r="A19" s="10">
        <v>14</v>
      </c>
      <c r="B19" s="11">
        <v>-45072</v>
      </c>
      <c r="C19" s="11">
        <v>-45048</v>
      </c>
      <c r="D19" s="25">
        <f t="shared" si="0"/>
        <v>24</v>
      </c>
    </row>
    <row r="20" spans="1:4" x14ac:dyDescent="0.2">
      <c r="A20" s="10">
        <v>15</v>
      </c>
      <c r="B20" s="11">
        <v>-33797</v>
      </c>
      <c r="C20" s="11">
        <v>-32900</v>
      </c>
      <c r="D20" s="25">
        <f t="shared" si="0"/>
        <v>897</v>
      </c>
    </row>
    <row r="21" spans="1:4" x14ac:dyDescent="0.2">
      <c r="A21" s="10">
        <v>16</v>
      </c>
      <c r="B21" s="11">
        <v>-57765</v>
      </c>
      <c r="C21" s="11">
        <v>-57276</v>
      </c>
      <c r="D21" s="25">
        <f t="shared" si="0"/>
        <v>489</v>
      </c>
    </row>
    <row r="22" spans="1:4" x14ac:dyDescent="0.2">
      <c r="A22" s="10">
        <v>17</v>
      </c>
      <c r="B22" s="11">
        <v>-57995</v>
      </c>
      <c r="C22" s="11">
        <v>-57276</v>
      </c>
      <c r="D22" s="25">
        <f t="shared" si="0"/>
        <v>719</v>
      </c>
    </row>
    <row r="23" spans="1:4" x14ac:dyDescent="0.2">
      <c r="A23" s="10">
        <v>18</v>
      </c>
      <c r="B23" s="11">
        <v>-57788</v>
      </c>
      <c r="C23" s="11">
        <v>-57276</v>
      </c>
      <c r="D23" s="25">
        <f t="shared" si="0"/>
        <v>512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-850440</v>
      </c>
      <c r="C37" s="11">
        <f>SUM(C6:C36)</f>
        <v>-846281</v>
      </c>
      <c r="D37" s="25">
        <f>SUM(D6:D36)</f>
        <v>4159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37287</v>
      </c>
      <c r="C40" s="15"/>
      <c r="D40" s="571">
        <v>19592</v>
      </c>
    </row>
    <row r="41" spans="1:4" x14ac:dyDescent="0.2">
      <c r="A41" s="57">
        <v>37305</v>
      </c>
      <c r="C41" s="48"/>
      <c r="D41" s="25">
        <f>+D40+D37</f>
        <v>23751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+A40</f>
        <v>37287</v>
      </c>
      <c r="B45" s="32"/>
      <c r="C45" s="32"/>
      <c r="D45" s="483">
        <v>186633</v>
      </c>
    </row>
    <row r="46" spans="1:4" x14ac:dyDescent="0.2">
      <c r="A46" s="49">
        <f>+A41</f>
        <v>37305</v>
      </c>
      <c r="B46" s="32"/>
      <c r="C46" s="32"/>
      <c r="D46" s="374">
        <f>+D37*'by type_area'!G4</f>
        <v>8650.7200000000012</v>
      </c>
    </row>
    <row r="47" spans="1:4" x14ac:dyDescent="0.2">
      <c r="A47" s="32"/>
      <c r="B47" s="32"/>
      <c r="C47" s="32"/>
      <c r="D47" s="200">
        <f>+D46+D45</f>
        <v>195283.72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C48" sqref="C4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239</v>
      </c>
      <c r="C3" s="87"/>
      <c r="D3" s="87"/>
    </row>
    <row r="4" spans="1:4" x14ac:dyDescent="0.2">
      <c r="A4" s="3"/>
      <c r="B4" s="328" t="s">
        <v>238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2.08</v>
      </c>
    </row>
    <row r="39" spans="1:4" x14ac:dyDescent="0.2">
      <c r="D39" s="138">
        <f>+D38*D37</f>
        <v>0</v>
      </c>
    </row>
    <row r="40" spans="1:4" x14ac:dyDescent="0.2">
      <c r="A40" s="57">
        <v>37287</v>
      </c>
      <c r="C40" s="15"/>
      <c r="D40" s="590">
        <v>-192285.66</v>
      </c>
    </row>
    <row r="41" spans="1:4" x14ac:dyDescent="0.2">
      <c r="A41" s="57">
        <v>37287</v>
      </c>
      <c r="C41" s="48"/>
      <c r="D41" s="138">
        <f>+D40+D39</f>
        <v>-192285.66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-45949</v>
      </c>
    </row>
    <row r="47" spans="1:4" x14ac:dyDescent="0.2">
      <c r="A47" s="49">
        <f>+A41</f>
        <v>37287</v>
      </c>
      <c r="B47" s="32"/>
      <c r="C47" s="32"/>
      <c r="D47" s="457">
        <f>+D37</f>
        <v>0</v>
      </c>
    </row>
    <row r="48" spans="1:4" x14ac:dyDescent="0.2">
      <c r="A48" s="32"/>
      <c r="B48" s="32"/>
      <c r="C48" s="32"/>
      <c r="D48" s="14">
        <f>+D47+D46</f>
        <v>-45949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8" t="s">
        <v>240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-162</v>
      </c>
      <c r="C9" s="11">
        <v>-143</v>
      </c>
      <c r="D9" s="11"/>
      <c r="E9" s="11"/>
      <c r="F9" s="11">
        <v>-1329</v>
      </c>
      <c r="G9" s="11">
        <v>-786</v>
      </c>
      <c r="H9" s="11"/>
      <c r="I9" s="11"/>
      <c r="J9" s="11">
        <f t="shared" si="0"/>
        <v>562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-175</v>
      </c>
      <c r="C10" s="11">
        <v>-143</v>
      </c>
      <c r="D10" s="129"/>
      <c r="E10" s="11"/>
      <c r="F10" s="11">
        <v>-1492</v>
      </c>
      <c r="G10" s="11">
        <v>-786</v>
      </c>
      <c r="H10" s="11"/>
      <c r="I10" s="11"/>
      <c r="J10" s="11">
        <f t="shared" si="0"/>
        <v>738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-165</v>
      </c>
      <c r="C11" s="11">
        <v>-143</v>
      </c>
      <c r="D11" s="11"/>
      <c r="E11" s="11"/>
      <c r="F11" s="11">
        <v>-1260</v>
      </c>
      <c r="G11" s="11">
        <v>-786</v>
      </c>
      <c r="H11" s="11"/>
      <c r="I11" s="11"/>
      <c r="J11" s="11">
        <f t="shared" si="0"/>
        <v>496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-135</v>
      </c>
      <c r="C12" s="11">
        <v>-143</v>
      </c>
      <c r="D12" s="129"/>
      <c r="E12" s="11"/>
      <c r="F12" s="11">
        <v>-1019</v>
      </c>
      <c r="G12" s="11">
        <v>-786</v>
      </c>
      <c r="H12" s="11"/>
      <c r="I12" s="11"/>
      <c r="J12" s="11">
        <f t="shared" si="0"/>
        <v>225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-115</v>
      </c>
      <c r="C13" s="11">
        <v>-143</v>
      </c>
      <c r="D13" s="11"/>
      <c r="E13" s="11"/>
      <c r="F13" s="11">
        <v>-838</v>
      </c>
      <c r="G13" s="11">
        <v>-786</v>
      </c>
      <c r="H13" s="11"/>
      <c r="I13" s="11"/>
      <c r="J13" s="11">
        <f t="shared" si="0"/>
        <v>24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-233</v>
      </c>
      <c r="C14" s="11">
        <v>-143</v>
      </c>
      <c r="D14" s="11"/>
      <c r="E14" s="11"/>
      <c r="F14" s="11">
        <v>-1113</v>
      </c>
      <c r="G14" s="11">
        <v>-786</v>
      </c>
      <c r="H14" s="11"/>
      <c r="I14" s="11"/>
      <c r="J14" s="11">
        <f t="shared" si="0"/>
        <v>417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-202</v>
      </c>
      <c r="C15" s="11">
        <v>-143</v>
      </c>
      <c r="D15" s="11"/>
      <c r="E15" s="11"/>
      <c r="F15" s="11">
        <v>-1390</v>
      </c>
      <c r="G15" s="11">
        <v>-786</v>
      </c>
      <c r="H15" s="11"/>
      <c r="I15" s="11"/>
      <c r="J15" s="11">
        <f t="shared" si="0"/>
        <v>663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-154</v>
      </c>
      <c r="C16" s="11">
        <v>-143</v>
      </c>
      <c r="D16" s="11"/>
      <c r="E16" s="11"/>
      <c r="F16" s="11">
        <v>-1253</v>
      </c>
      <c r="G16" s="11">
        <v>-786</v>
      </c>
      <c r="H16" s="11"/>
      <c r="I16" s="11"/>
      <c r="J16" s="11">
        <f t="shared" si="0"/>
        <v>478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>
        <v>-160</v>
      </c>
      <c r="C17" s="11">
        <v>-143</v>
      </c>
      <c r="D17" s="11"/>
      <c r="E17" s="11"/>
      <c r="F17" s="11">
        <v>-1211</v>
      </c>
      <c r="G17" s="11">
        <v>-786</v>
      </c>
      <c r="H17" s="11"/>
      <c r="I17" s="11"/>
      <c r="J17" s="11">
        <f t="shared" si="0"/>
        <v>442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-143</v>
      </c>
      <c r="C18" s="11">
        <v>-143</v>
      </c>
      <c r="D18" s="11"/>
      <c r="E18" s="11"/>
      <c r="F18" s="11">
        <v>-1225</v>
      </c>
      <c r="G18" s="11">
        <v>-786</v>
      </c>
      <c r="H18" s="11"/>
      <c r="I18" s="11"/>
      <c r="J18" s="11">
        <f t="shared" si="0"/>
        <v>439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-133</v>
      </c>
      <c r="C19" s="11">
        <v>-143</v>
      </c>
      <c r="D19" s="11"/>
      <c r="E19" s="11"/>
      <c r="F19" s="11">
        <v>-933</v>
      </c>
      <c r="G19" s="11">
        <v>-786</v>
      </c>
      <c r="H19" s="11"/>
      <c r="I19" s="11"/>
      <c r="J19" s="11">
        <f t="shared" si="0"/>
        <v>137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-128</v>
      </c>
      <c r="C20" s="11">
        <v>-143</v>
      </c>
      <c r="D20" s="11"/>
      <c r="E20" s="11"/>
      <c r="F20" s="11">
        <v>-981</v>
      </c>
      <c r="G20" s="11">
        <v>-786</v>
      </c>
      <c r="H20" s="11"/>
      <c r="I20" s="11"/>
      <c r="J20" s="11">
        <f t="shared" si="0"/>
        <v>180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-104</v>
      </c>
      <c r="C21" s="11">
        <v>-143</v>
      </c>
      <c r="D21" s="11"/>
      <c r="E21" s="11"/>
      <c r="F21" s="11">
        <v>-840</v>
      </c>
      <c r="G21" s="11">
        <v>-786</v>
      </c>
      <c r="H21" s="11"/>
      <c r="I21" s="11"/>
      <c r="J21" s="11">
        <f t="shared" si="0"/>
        <v>15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-99</v>
      </c>
      <c r="C22" s="11">
        <v>-143</v>
      </c>
      <c r="D22" s="11"/>
      <c r="E22" s="11"/>
      <c r="F22" s="11">
        <v>-951</v>
      </c>
      <c r="G22" s="11">
        <v>-786</v>
      </c>
      <c r="H22" s="11"/>
      <c r="I22" s="11"/>
      <c r="J22" s="11">
        <f t="shared" si="0"/>
        <v>121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-94</v>
      </c>
      <c r="C23" s="11">
        <v>-143</v>
      </c>
      <c r="D23" s="11"/>
      <c r="E23" s="11"/>
      <c r="F23" s="11">
        <v>-565</v>
      </c>
      <c r="G23" s="11">
        <v>-786</v>
      </c>
      <c r="H23" s="11"/>
      <c r="I23" s="11"/>
      <c r="J23" s="11">
        <f t="shared" si="0"/>
        <v>-270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-2743</v>
      </c>
      <c r="C37" s="11">
        <f t="shared" ref="C37:I37" si="1">SUM(C6:C36)</f>
        <v>-2574</v>
      </c>
      <c r="D37" s="11">
        <f t="shared" si="1"/>
        <v>0</v>
      </c>
      <c r="E37" s="11">
        <f t="shared" si="1"/>
        <v>0</v>
      </c>
      <c r="F37" s="11">
        <f t="shared" si="1"/>
        <v>-19893</v>
      </c>
      <c r="G37" s="11">
        <f t="shared" si="1"/>
        <v>-14148</v>
      </c>
      <c r="H37" s="11">
        <f t="shared" si="1"/>
        <v>0</v>
      </c>
      <c r="I37" s="11">
        <f t="shared" si="1"/>
        <v>0</v>
      </c>
      <c r="J37" s="11">
        <f>SUM(J6:J36)</f>
        <v>5914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2.08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12301.12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37287</v>
      </c>
      <c r="C41" s="25"/>
      <c r="E41" s="25"/>
      <c r="G41" s="25"/>
      <c r="I41" s="25"/>
      <c r="J41" s="573">
        <v>-37189.769999999997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37305</v>
      </c>
      <c r="J43" s="319">
        <f>+J41+J39</f>
        <v>-24888.649999999994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37287</v>
      </c>
      <c r="B48" s="32"/>
      <c r="C48" s="32"/>
      <c r="D48" s="567">
        <v>-4227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37305</v>
      </c>
      <c r="B49" s="32"/>
      <c r="C49" s="32"/>
      <c r="D49" s="349">
        <f>+J37</f>
        <v>5914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1687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A55" sqref="A55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279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281</v>
      </c>
      <c r="C4" s="4"/>
      <c r="D4" s="38" t="s">
        <v>282</v>
      </c>
      <c r="E4" s="4"/>
      <c r="F4" s="38" t="s">
        <v>283</v>
      </c>
      <c r="G4" s="4"/>
      <c r="H4" s="38" t="s">
        <v>284</v>
      </c>
      <c r="I4" s="4"/>
      <c r="J4" s="38" t="s">
        <v>285</v>
      </c>
      <c r="K4" s="4"/>
      <c r="L4" s="38" t="s">
        <v>286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2"/>
      <c r="C6" s="11"/>
      <c r="D6" s="492"/>
      <c r="E6" s="11"/>
      <c r="F6" s="492"/>
      <c r="G6" s="11"/>
      <c r="H6" s="492"/>
      <c r="I6" s="11"/>
      <c r="J6" s="492"/>
      <c r="K6" s="11"/>
      <c r="L6" s="11">
        <v>-970</v>
      </c>
      <c r="M6" s="11">
        <v>-824</v>
      </c>
      <c r="N6" s="11">
        <f>+M6+K6+I6+G6+E6+C6-L6-J6-H6-F6-D6-B6</f>
        <v>146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2"/>
      <c r="C7" s="11"/>
      <c r="D7" s="492"/>
      <c r="E7" s="11"/>
      <c r="F7" s="492"/>
      <c r="G7" s="11"/>
      <c r="H7" s="492"/>
      <c r="I7" s="11"/>
      <c r="J7" s="492"/>
      <c r="K7" s="11"/>
      <c r="L7" s="11">
        <v>-1043</v>
      </c>
      <c r="M7" s="11">
        <v>-824</v>
      </c>
      <c r="N7" s="11">
        <f t="shared" ref="N7:N36" si="0">+M7+K7+I7+G7+E7+C7-L7-J7-H7-F7-D7-B7</f>
        <v>219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2"/>
      <c r="C8" s="11"/>
      <c r="D8" s="492"/>
      <c r="E8" s="11"/>
      <c r="F8" s="492"/>
      <c r="G8" s="11"/>
      <c r="H8" s="492"/>
      <c r="I8" s="11"/>
      <c r="J8" s="492"/>
      <c r="K8" s="11"/>
      <c r="L8" s="11">
        <v>-872</v>
      </c>
      <c r="M8" s="11">
        <v>-824</v>
      </c>
      <c r="N8" s="11">
        <f t="shared" si="0"/>
        <v>48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2"/>
      <c r="C9" s="11"/>
      <c r="D9" s="492"/>
      <c r="E9" s="11"/>
      <c r="F9" s="492"/>
      <c r="G9" s="11"/>
      <c r="H9" s="492"/>
      <c r="I9" s="11"/>
      <c r="J9" s="492"/>
      <c r="K9" s="11"/>
      <c r="L9" s="11">
        <v>-727</v>
      </c>
      <c r="M9" s="11">
        <v>-824</v>
      </c>
      <c r="N9" s="11">
        <f t="shared" si="0"/>
        <v>-97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2"/>
      <c r="C10" s="11"/>
      <c r="D10" s="492"/>
      <c r="E10" s="11"/>
      <c r="F10" s="492"/>
      <c r="G10" s="11"/>
      <c r="H10" s="492"/>
      <c r="I10" s="11"/>
      <c r="J10" s="492"/>
      <c r="K10" s="11"/>
      <c r="L10" s="11">
        <v>-670</v>
      </c>
      <c r="M10" s="11">
        <v>-824</v>
      </c>
      <c r="N10" s="11">
        <f t="shared" si="0"/>
        <v>-154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2"/>
      <c r="C11" s="11"/>
      <c r="D11" s="492"/>
      <c r="E11" s="11"/>
      <c r="F11" s="492"/>
      <c r="G11" s="11"/>
      <c r="H11" s="492"/>
      <c r="I11" s="11"/>
      <c r="J11" s="492"/>
      <c r="K11" s="11"/>
      <c r="L11" s="11">
        <v>-720</v>
      </c>
      <c r="M11" s="11">
        <v>-824</v>
      </c>
      <c r="N11" s="11">
        <f t="shared" si="0"/>
        <v>-104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2"/>
      <c r="C12" s="11"/>
      <c r="D12" s="492"/>
      <c r="E12" s="11"/>
      <c r="F12" s="492"/>
      <c r="G12" s="11"/>
      <c r="H12" s="492"/>
      <c r="I12" s="11"/>
      <c r="J12" s="492"/>
      <c r="K12" s="11"/>
      <c r="L12" s="11">
        <v>-648</v>
      </c>
      <c r="M12" s="11">
        <v>-824</v>
      </c>
      <c r="N12" s="11">
        <f t="shared" si="0"/>
        <v>-176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2"/>
      <c r="C13" s="11"/>
      <c r="D13" s="492"/>
      <c r="E13" s="11"/>
      <c r="F13" s="492"/>
      <c r="G13" s="11"/>
      <c r="H13" s="492"/>
      <c r="I13" s="11"/>
      <c r="J13" s="492"/>
      <c r="K13" s="11"/>
      <c r="L13" s="11">
        <v>-711</v>
      </c>
      <c r="M13" s="11">
        <v>-824</v>
      </c>
      <c r="N13" s="11">
        <f t="shared" si="0"/>
        <v>-113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2"/>
      <c r="C14" s="11"/>
      <c r="D14" s="492"/>
      <c r="E14" s="11"/>
      <c r="F14" s="492"/>
      <c r="G14" s="11"/>
      <c r="H14" s="492"/>
      <c r="I14" s="11"/>
      <c r="J14" s="492"/>
      <c r="K14" s="11"/>
      <c r="L14" s="11">
        <v>-466</v>
      </c>
      <c r="M14" s="11">
        <v>-824</v>
      </c>
      <c r="N14" s="11">
        <f t="shared" si="0"/>
        <v>-358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2"/>
      <c r="C15" s="11"/>
      <c r="D15" s="492"/>
      <c r="E15" s="11"/>
      <c r="F15" s="492"/>
      <c r="G15" s="11"/>
      <c r="H15" s="492"/>
      <c r="I15" s="11"/>
      <c r="J15" s="492"/>
      <c r="K15" s="11"/>
      <c r="L15" s="11">
        <v>-1017</v>
      </c>
      <c r="M15" s="11">
        <v>-824</v>
      </c>
      <c r="N15" s="11">
        <f t="shared" si="0"/>
        <v>193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2"/>
      <c r="C16" s="11"/>
      <c r="D16" s="492"/>
      <c r="E16" s="11"/>
      <c r="F16" s="492"/>
      <c r="G16" s="11"/>
      <c r="H16" s="492"/>
      <c r="I16" s="11"/>
      <c r="J16" s="492"/>
      <c r="K16" s="11"/>
      <c r="L16" s="11">
        <v>-720</v>
      </c>
      <c r="M16" s="11">
        <v>-824</v>
      </c>
      <c r="N16" s="11">
        <f>+M16+K16+I16+G16+E16+C16-L16-J16-H16-F16-D16-B16</f>
        <v>-104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2"/>
      <c r="C17" s="11"/>
      <c r="D17" s="492"/>
      <c r="E17" s="11"/>
      <c r="F17" s="492"/>
      <c r="G17" s="11"/>
      <c r="H17" s="492"/>
      <c r="I17" s="11"/>
      <c r="J17" s="492"/>
      <c r="K17" s="11"/>
      <c r="L17" s="11">
        <v>-827</v>
      </c>
      <c r="M17" s="11">
        <v>-824</v>
      </c>
      <c r="N17" s="11">
        <f>+M17+K17+I17+G17+E17+C17-L17-J17-H17-F17-D17-B17</f>
        <v>3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2"/>
      <c r="C18" s="11"/>
      <c r="D18" s="492"/>
      <c r="E18" s="11"/>
      <c r="F18" s="492"/>
      <c r="G18" s="11"/>
      <c r="H18" s="492"/>
      <c r="I18" s="11"/>
      <c r="J18" s="492"/>
      <c r="K18" s="11"/>
      <c r="L18" s="11">
        <v>-701</v>
      </c>
      <c r="M18" s="11">
        <v>-824</v>
      </c>
      <c r="N18" s="11">
        <f>+M18+K18+I18+G18+E18+C18-L18-J18-H18-F18-D18-B18</f>
        <v>-123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2"/>
      <c r="C19" s="11"/>
      <c r="D19" s="492"/>
      <c r="E19" s="11"/>
      <c r="F19" s="492"/>
      <c r="G19" s="11"/>
      <c r="H19" s="492"/>
      <c r="I19" s="11"/>
      <c r="J19" s="492"/>
      <c r="K19" s="11"/>
      <c r="L19" s="11">
        <v>-674</v>
      </c>
      <c r="M19" s="11">
        <v>-824</v>
      </c>
      <c r="N19" s="11">
        <f>+M19+K19+I19+G19+E19+C19-L19-J19-H19-F19-D19-B19</f>
        <v>-150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2"/>
      <c r="C20" s="11"/>
      <c r="D20" s="492"/>
      <c r="E20" s="11"/>
      <c r="F20" s="492"/>
      <c r="G20" s="11"/>
      <c r="H20" s="492"/>
      <c r="I20" s="11"/>
      <c r="J20" s="492"/>
      <c r="K20" s="11"/>
      <c r="L20" s="11">
        <v>-736</v>
      </c>
      <c r="M20" s="11">
        <v>-824</v>
      </c>
      <c r="N20" s="11">
        <f>+M20+K20+I20+G20+E20+C20-L20-J20-H20-F20-D20-B20</f>
        <v>-88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2"/>
      <c r="C21" s="11"/>
      <c r="D21" s="492"/>
      <c r="E21" s="11"/>
      <c r="F21" s="492"/>
      <c r="G21" s="11"/>
      <c r="H21" s="492"/>
      <c r="I21" s="11"/>
      <c r="J21" s="492"/>
      <c r="K21" s="11"/>
      <c r="L21" s="11">
        <v>-630</v>
      </c>
      <c r="M21" s="11">
        <v>-824</v>
      </c>
      <c r="N21" s="11">
        <f t="shared" si="0"/>
        <v>-194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2"/>
      <c r="C22" s="11"/>
      <c r="D22" s="492"/>
      <c r="E22" s="11"/>
      <c r="F22" s="492"/>
      <c r="G22" s="11"/>
      <c r="H22" s="492"/>
      <c r="I22" s="11"/>
      <c r="J22" s="492"/>
      <c r="K22" s="11"/>
      <c r="L22" s="11">
        <v>-689</v>
      </c>
      <c r="M22" s="11">
        <v>-824</v>
      </c>
      <c r="N22" s="11">
        <f t="shared" si="0"/>
        <v>-135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2"/>
      <c r="C23" s="11"/>
      <c r="D23" s="492"/>
      <c r="E23" s="11"/>
      <c r="F23" s="492"/>
      <c r="G23" s="11"/>
      <c r="H23" s="492"/>
      <c r="I23" s="11"/>
      <c r="J23" s="492"/>
      <c r="K23" s="11"/>
      <c r="L23" s="11">
        <v>-656</v>
      </c>
      <c r="M23" s="11">
        <v>-824</v>
      </c>
      <c r="N23" s="11">
        <f t="shared" si="0"/>
        <v>-168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2"/>
      <c r="C24" s="11"/>
      <c r="D24" s="492"/>
      <c r="E24" s="11"/>
      <c r="F24" s="492"/>
      <c r="G24" s="11"/>
      <c r="H24" s="492"/>
      <c r="I24" s="11"/>
      <c r="J24" s="492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2"/>
      <c r="C25" s="11"/>
      <c r="D25" s="492"/>
      <c r="E25" s="11"/>
      <c r="F25" s="492"/>
      <c r="G25" s="11"/>
      <c r="H25" s="492"/>
      <c r="I25" s="11"/>
      <c r="J25" s="492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2"/>
      <c r="C26" s="11"/>
      <c r="D26" s="492"/>
      <c r="E26" s="11"/>
      <c r="F26" s="492"/>
      <c r="G26" s="11"/>
      <c r="H26" s="492"/>
      <c r="I26" s="11"/>
      <c r="J26" s="492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2"/>
      <c r="C27" s="11"/>
      <c r="D27" s="492"/>
      <c r="E27" s="11"/>
      <c r="F27" s="492"/>
      <c r="G27" s="11"/>
      <c r="H27" s="492"/>
      <c r="I27" s="11"/>
      <c r="J27" s="492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2"/>
      <c r="C28" s="11"/>
      <c r="D28" s="492"/>
      <c r="E28" s="11"/>
      <c r="F28" s="492"/>
      <c r="G28" s="11"/>
      <c r="H28" s="492"/>
      <c r="I28" s="11"/>
      <c r="J28" s="492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2"/>
      <c r="C29" s="11"/>
      <c r="D29" s="492"/>
      <c r="E29" s="11"/>
      <c r="F29" s="492"/>
      <c r="G29" s="11"/>
      <c r="H29" s="492"/>
      <c r="I29" s="11"/>
      <c r="J29" s="492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2"/>
      <c r="C30" s="11"/>
      <c r="D30" s="492"/>
      <c r="E30" s="11"/>
      <c r="F30" s="492"/>
      <c r="G30" s="11"/>
      <c r="H30" s="492"/>
      <c r="I30" s="11"/>
      <c r="J30" s="492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-13477</v>
      </c>
      <c r="M37" s="11">
        <f>SUM(M6:M36)</f>
        <v>-14832</v>
      </c>
      <c r="N37" s="11">
        <f t="shared" si="1"/>
        <v>-1355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2.08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-2818.4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37287</v>
      </c>
      <c r="C41" s="25"/>
      <c r="E41" s="25"/>
      <c r="G41" s="25"/>
      <c r="I41" s="25"/>
      <c r="K41" s="25"/>
      <c r="M41" s="25"/>
      <c r="N41" s="484">
        <v>25186.41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37305</v>
      </c>
      <c r="N43" s="319">
        <f>+N41+N39</f>
        <v>22368.01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37287</v>
      </c>
      <c r="B48" s="32"/>
      <c r="C48" s="32"/>
      <c r="D48" s="485">
        <v>8555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37305</v>
      </c>
      <c r="B49" s="32"/>
      <c r="C49" s="32"/>
      <c r="D49" s="349">
        <f>+N37</f>
        <v>-1355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7200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5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204</v>
      </c>
      <c r="C3" s="87"/>
      <c r="D3" s="87"/>
    </row>
    <row r="4" spans="1:4" x14ac:dyDescent="0.2">
      <c r="A4" s="3"/>
      <c r="B4" s="328" t="s">
        <v>205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>
        <v>150</v>
      </c>
      <c r="D6" s="25">
        <f>+C6-B6</f>
        <v>150</v>
      </c>
    </row>
    <row r="7" spans="1:4" x14ac:dyDescent="0.2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">
      <c r="A12" s="10">
        <v>7</v>
      </c>
      <c r="B12" s="129">
        <v>4</v>
      </c>
      <c r="C12" s="11">
        <v>150</v>
      </c>
      <c r="D12" s="25">
        <f t="shared" si="0"/>
        <v>146</v>
      </c>
    </row>
    <row r="13" spans="1:4" x14ac:dyDescent="0.2">
      <c r="A13" s="10">
        <v>8</v>
      </c>
      <c r="B13" s="11">
        <v>303</v>
      </c>
      <c r="C13" s="11">
        <v>150</v>
      </c>
      <c r="D13" s="25">
        <f t="shared" si="0"/>
        <v>-153</v>
      </c>
    </row>
    <row r="14" spans="1:4" x14ac:dyDescent="0.2">
      <c r="A14" s="10">
        <v>9</v>
      </c>
      <c r="B14" s="11">
        <v>289</v>
      </c>
      <c r="C14" s="11">
        <v>150</v>
      </c>
      <c r="D14" s="25">
        <f t="shared" si="0"/>
        <v>-139</v>
      </c>
    </row>
    <row r="15" spans="1:4" x14ac:dyDescent="0.2">
      <c r="A15" s="10">
        <v>10</v>
      </c>
      <c r="B15" s="11">
        <v>146</v>
      </c>
      <c r="C15" s="11">
        <v>150</v>
      </c>
      <c r="D15" s="25">
        <f t="shared" si="0"/>
        <v>4</v>
      </c>
    </row>
    <row r="16" spans="1:4" x14ac:dyDescent="0.2">
      <c r="A16" s="10">
        <v>11</v>
      </c>
      <c r="B16" s="11">
        <v>52</v>
      </c>
      <c r="C16" s="11">
        <v>150</v>
      </c>
      <c r="D16" s="25">
        <f t="shared" si="0"/>
        <v>98</v>
      </c>
    </row>
    <row r="17" spans="1:4" x14ac:dyDescent="0.2">
      <c r="A17" s="10">
        <v>12</v>
      </c>
      <c r="B17" s="11">
        <v>315</v>
      </c>
      <c r="C17" s="11">
        <v>150</v>
      </c>
      <c r="D17" s="25">
        <f t="shared" si="0"/>
        <v>-165</v>
      </c>
    </row>
    <row r="18" spans="1:4" x14ac:dyDescent="0.2">
      <c r="A18" s="10">
        <v>13</v>
      </c>
      <c r="B18" s="11">
        <v>201</v>
      </c>
      <c r="C18" s="11">
        <v>150</v>
      </c>
      <c r="D18" s="25">
        <f t="shared" si="0"/>
        <v>-51</v>
      </c>
    </row>
    <row r="19" spans="1:4" x14ac:dyDescent="0.2">
      <c r="A19" s="10">
        <v>14</v>
      </c>
      <c r="B19" s="11">
        <v>186</v>
      </c>
      <c r="C19" s="11">
        <v>150</v>
      </c>
      <c r="D19" s="25">
        <f t="shared" si="0"/>
        <v>-36</v>
      </c>
    </row>
    <row r="20" spans="1:4" x14ac:dyDescent="0.2">
      <c r="A20" s="10">
        <v>15</v>
      </c>
      <c r="B20" s="11">
        <v>164</v>
      </c>
      <c r="C20" s="11">
        <v>150</v>
      </c>
      <c r="D20" s="25">
        <f t="shared" si="0"/>
        <v>-14</v>
      </c>
    </row>
    <row r="21" spans="1:4" x14ac:dyDescent="0.2">
      <c r="A21" s="10">
        <v>16</v>
      </c>
      <c r="B21" s="11">
        <v>142</v>
      </c>
      <c r="C21" s="11">
        <v>150</v>
      </c>
      <c r="D21" s="25">
        <f t="shared" si="0"/>
        <v>8</v>
      </c>
    </row>
    <row r="22" spans="1:4" x14ac:dyDescent="0.2">
      <c r="A22" s="10">
        <v>17</v>
      </c>
      <c r="B22" s="11">
        <v>227</v>
      </c>
      <c r="C22" s="11">
        <v>150</v>
      </c>
      <c r="D22" s="25">
        <f t="shared" si="0"/>
        <v>-77</v>
      </c>
    </row>
    <row r="23" spans="1:4" x14ac:dyDescent="0.2">
      <c r="A23" s="10">
        <v>18</v>
      </c>
      <c r="B23" s="11">
        <v>197</v>
      </c>
      <c r="C23" s="11">
        <v>150</v>
      </c>
      <c r="D23" s="25">
        <f t="shared" si="0"/>
        <v>-47</v>
      </c>
    </row>
    <row r="24" spans="1:4" x14ac:dyDescent="0.2">
      <c r="A24" s="10">
        <v>19</v>
      </c>
      <c r="B24" s="11">
        <v>225</v>
      </c>
      <c r="C24" s="11">
        <v>150</v>
      </c>
      <c r="D24" s="25">
        <f t="shared" si="0"/>
        <v>-75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3628</v>
      </c>
      <c r="C37" s="11">
        <f>SUM(C6:C36)</f>
        <v>2850</v>
      </c>
      <c r="D37" s="25">
        <f>SUM(D6:D36)</f>
        <v>-778</v>
      </c>
    </row>
    <row r="38" spans="1:4" x14ac:dyDescent="0.2">
      <c r="A38" s="26"/>
      <c r="C38" s="14"/>
      <c r="D38" s="326">
        <f>+summary!G5</f>
        <v>2.08</v>
      </c>
    </row>
    <row r="39" spans="1:4" x14ac:dyDescent="0.2">
      <c r="D39" s="138">
        <f>+D38*D37</f>
        <v>-1618.24</v>
      </c>
    </row>
    <row r="40" spans="1:4" x14ac:dyDescent="0.2">
      <c r="A40" s="57">
        <v>37287</v>
      </c>
      <c r="C40" s="15"/>
      <c r="D40" s="590">
        <v>174593.14</v>
      </c>
    </row>
    <row r="41" spans="1:4" x14ac:dyDescent="0.2">
      <c r="A41" s="57">
        <v>37306</v>
      </c>
      <c r="C41" s="48"/>
      <c r="D41" s="138">
        <f>+D40+D39</f>
        <v>172974.90000000002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76390</v>
      </c>
    </row>
    <row r="47" spans="1:4" x14ac:dyDescent="0.2">
      <c r="A47" s="49">
        <f>+A41</f>
        <v>37306</v>
      </c>
      <c r="B47" s="32"/>
      <c r="C47" s="32"/>
      <c r="D47" s="349">
        <f>+D37</f>
        <v>-778</v>
      </c>
    </row>
    <row r="48" spans="1:4" x14ac:dyDescent="0.2">
      <c r="A48" s="32"/>
      <c r="B48" s="32"/>
      <c r="C48" s="32"/>
      <c r="D48" s="14">
        <f>+D47+D46</f>
        <v>75612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207</v>
      </c>
      <c r="C3" s="87"/>
      <c r="D3" s="87"/>
    </row>
    <row r="4" spans="1:4" x14ac:dyDescent="0.2">
      <c r="A4" s="3"/>
      <c r="B4" s="328" t="s">
        <v>208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">
      <c r="A12" s="10">
        <v>7</v>
      </c>
      <c r="B12" s="129">
        <v>56</v>
      </c>
      <c r="C12" s="11">
        <v>180</v>
      </c>
      <c r="D12" s="25">
        <f t="shared" si="0"/>
        <v>124</v>
      </c>
    </row>
    <row r="13" spans="1:4" x14ac:dyDescent="0.2">
      <c r="A13" s="10">
        <v>8</v>
      </c>
      <c r="B13" s="11">
        <v>251</v>
      </c>
      <c r="C13" s="11">
        <v>180</v>
      </c>
      <c r="D13" s="25">
        <f t="shared" si="0"/>
        <v>-71</v>
      </c>
    </row>
    <row r="14" spans="1:4" x14ac:dyDescent="0.2">
      <c r="A14" s="10">
        <v>9</v>
      </c>
      <c r="B14" s="11">
        <v>28</v>
      </c>
      <c r="C14" s="11">
        <v>180</v>
      </c>
      <c r="D14" s="25">
        <f t="shared" si="0"/>
        <v>152</v>
      </c>
    </row>
    <row r="15" spans="1:4" x14ac:dyDescent="0.2">
      <c r="A15" s="10">
        <v>10</v>
      </c>
      <c r="B15" s="11">
        <v>61</v>
      </c>
      <c r="C15" s="11">
        <v>180</v>
      </c>
      <c r="D15" s="25">
        <f t="shared" si="0"/>
        <v>119</v>
      </c>
    </row>
    <row r="16" spans="1:4" x14ac:dyDescent="0.2">
      <c r="A16" s="10">
        <v>11</v>
      </c>
      <c r="B16" s="11"/>
      <c r="C16" s="11">
        <v>180</v>
      </c>
      <c r="D16" s="25">
        <f t="shared" si="0"/>
        <v>180</v>
      </c>
    </row>
    <row r="17" spans="1:4" x14ac:dyDescent="0.2">
      <c r="A17" s="10">
        <v>12</v>
      </c>
      <c r="B17" s="11">
        <v>56</v>
      </c>
      <c r="C17" s="11">
        <v>180</v>
      </c>
      <c r="D17" s="25">
        <f t="shared" si="0"/>
        <v>124</v>
      </c>
    </row>
    <row r="18" spans="1:4" x14ac:dyDescent="0.2">
      <c r="A18" s="10">
        <v>13</v>
      </c>
      <c r="B18" s="11">
        <v>2</v>
      </c>
      <c r="C18" s="11">
        <v>180</v>
      </c>
      <c r="D18" s="25">
        <f t="shared" si="0"/>
        <v>178</v>
      </c>
    </row>
    <row r="19" spans="1:4" x14ac:dyDescent="0.2">
      <c r="A19" s="10">
        <v>14</v>
      </c>
      <c r="B19" s="11"/>
      <c r="C19" s="11">
        <v>180</v>
      </c>
      <c r="D19" s="25">
        <f t="shared" si="0"/>
        <v>180</v>
      </c>
    </row>
    <row r="20" spans="1:4" x14ac:dyDescent="0.2">
      <c r="A20" s="10">
        <v>15</v>
      </c>
      <c r="B20" s="11">
        <v>47</v>
      </c>
      <c r="C20" s="11">
        <v>482</v>
      </c>
      <c r="D20" s="25">
        <f t="shared" si="0"/>
        <v>435</v>
      </c>
    </row>
    <row r="21" spans="1:4" x14ac:dyDescent="0.2">
      <c r="A21" s="10">
        <v>16</v>
      </c>
      <c r="B21" s="11"/>
      <c r="C21" s="11">
        <v>482</v>
      </c>
      <c r="D21" s="25">
        <f t="shared" si="0"/>
        <v>482</v>
      </c>
    </row>
    <row r="22" spans="1:4" x14ac:dyDescent="0.2">
      <c r="A22" s="10">
        <v>17</v>
      </c>
      <c r="B22" s="11"/>
      <c r="C22" s="11">
        <v>482</v>
      </c>
      <c r="D22" s="25">
        <f t="shared" si="0"/>
        <v>482</v>
      </c>
    </row>
    <row r="23" spans="1:4" x14ac:dyDescent="0.2">
      <c r="A23" s="10">
        <v>18</v>
      </c>
      <c r="B23" s="11"/>
      <c r="C23" s="11">
        <v>482</v>
      </c>
      <c r="D23" s="25">
        <f t="shared" si="0"/>
        <v>482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8747</v>
      </c>
      <c r="C37" s="11">
        <f>SUM(C6:C36)</f>
        <v>4448</v>
      </c>
      <c r="D37" s="25">
        <f>SUM(D6:D36)</f>
        <v>-4299</v>
      </c>
    </row>
    <row r="38" spans="1:4" x14ac:dyDescent="0.2">
      <c r="A38" s="26"/>
      <c r="C38" s="14"/>
      <c r="D38" s="326">
        <f>+summary!G5</f>
        <v>2.08</v>
      </c>
    </row>
    <row r="39" spans="1:4" x14ac:dyDescent="0.2">
      <c r="D39" s="138">
        <f>+D38*D37</f>
        <v>-8941.92</v>
      </c>
    </row>
    <row r="40" spans="1:4" x14ac:dyDescent="0.2">
      <c r="A40" s="57">
        <v>37287</v>
      </c>
      <c r="C40" s="15"/>
      <c r="D40" s="590">
        <v>0</v>
      </c>
    </row>
    <row r="41" spans="1:4" x14ac:dyDescent="0.2">
      <c r="A41" s="57">
        <v>37305</v>
      </c>
      <c r="C41" s="48"/>
      <c r="D41" s="138">
        <f>+D40+D39</f>
        <v>-8941.92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0</v>
      </c>
    </row>
    <row r="47" spans="1:4" x14ac:dyDescent="0.2">
      <c r="A47" s="49">
        <f>+A41</f>
        <v>37305</v>
      </c>
      <c r="B47" s="32"/>
      <c r="C47" s="32"/>
      <c r="D47" s="349">
        <f>+D37</f>
        <v>-4299</v>
      </c>
    </row>
    <row r="48" spans="1:4" x14ac:dyDescent="0.2">
      <c r="A48" s="32"/>
      <c r="B48" s="32"/>
      <c r="C48" s="32"/>
      <c r="D48" s="14">
        <f>+D47+D46</f>
        <v>-4299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7" workbookViewId="0">
      <selection activeCell="C46" sqref="C46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308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0" t="s">
        <v>49</v>
      </c>
      <c r="P9" s="56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307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>
        <v>-10815</v>
      </c>
      <c r="C11" s="11">
        <v>-10000</v>
      </c>
      <c r="D11" s="129">
        <v>-37521</v>
      </c>
      <c r="E11" s="11">
        <v>-37520</v>
      </c>
      <c r="F11" s="11">
        <f t="shared" si="0"/>
        <v>816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>
        <v>-12723</v>
      </c>
      <c r="C12" s="11">
        <v>-10000</v>
      </c>
      <c r="D12" s="129">
        <v>-34718</v>
      </c>
      <c r="E12" s="11">
        <v>-35326</v>
      </c>
      <c r="F12" s="11">
        <f t="shared" si="0"/>
        <v>2115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>
        <v>-10791</v>
      </c>
      <c r="C13" s="11">
        <v>-10000</v>
      </c>
      <c r="D13" s="129">
        <v>-56402</v>
      </c>
      <c r="E13" s="11">
        <v>-56224</v>
      </c>
      <c r="F13" s="11">
        <f t="shared" si="0"/>
        <v>969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>
        <v>-9867</v>
      </c>
      <c r="C14" s="11">
        <v>-10000</v>
      </c>
      <c r="D14" s="129">
        <v>-55769</v>
      </c>
      <c r="E14" s="11">
        <v>-56224</v>
      </c>
      <c r="F14" s="11">
        <f t="shared" si="0"/>
        <v>-588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>
        <v>-9990</v>
      </c>
      <c r="C15" s="11">
        <v>-10000</v>
      </c>
      <c r="D15" s="11">
        <v>-60296</v>
      </c>
      <c r="E15" s="11">
        <v>-60215</v>
      </c>
      <c r="F15" s="11">
        <f t="shared" si="0"/>
        <v>71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>
        <v>-36347</v>
      </c>
      <c r="E16" s="11">
        <v>-35020</v>
      </c>
      <c r="F16" s="11">
        <f t="shared" si="0"/>
        <v>1327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>
        <v>-10000</v>
      </c>
      <c r="D17" s="11">
        <v>-91575</v>
      </c>
      <c r="E17" s="11">
        <v>-94020</v>
      </c>
      <c r="F17" s="11">
        <f t="shared" si="0"/>
        <v>-12445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>
        <v>-29326</v>
      </c>
      <c r="C18" s="11">
        <v>-20000</v>
      </c>
      <c r="D18" s="11">
        <v>-70014</v>
      </c>
      <c r="E18" s="11">
        <v>-70020</v>
      </c>
      <c r="F18" s="11">
        <f t="shared" si="0"/>
        <v>9320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>
        <v>-9961</v>
      </c>
      <c r="C19" s="11">
        <v>-10000</v>
      </c>
      <c r="D19" s="11">
        <v>-51748</v>
      </c>
      <c r="E19" s="11">
        <v>-52020</v>
      </c>
      <c r="F19" s="11">
        <f t="shared" si="0"/>
        <v>-311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>
        <v>-10005</v>
      </c>
      <c r="C20" s="11">
        <v>-10000</v>
      </c>
      <c r="D20" s="11">
        <v>-22475</v>
      </c>
      <c r="E20" s="11">
        <v>-22428</v>
      </c>
      <c r="F20" s="11">
        <f t="shared" si="0"/>
        <v>52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>
        <v>-10110</v>
      </c>
      <c r="C21" s="11">
        <v>-10000</v>
      </c>
      <c r="D21" s="11">
        <v>-22158</v>
      </c>
      <c r="E21" s="11">
        <v>-22428</v>
      </c>
      <c r="F21" s="11">
        <f t="shared" si="0"/>
        <v>-160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>
        <v>-10370</v>
      </c>
      <c r="C22" s="11">
        <v>-10000</v>
      </c>
      <c r="D22" s="11">
        <v>-22832</v>
      </c>
      <c r="E22" s="11">
        <v>-22428</v>
      </c>
      <c r="F22" s="11">
        <f t="shared" si="0"/>
        <v>774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309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-176759</v>
      </c>
      <c r="C36" s="44">
        <f>SUM(C5:C35)</f>
        <v>-170000</v>
      </c>
      <c r="D36" s="43">
        <f>SUM(D5:D35)</f>
        <v>-853899</v>
      </c>
      <c r="E36" s="43">
        <f>SUM(E5:E35)</f>
        <v>-853273</v>
      </c>
      <c r="F36" s="11">
        <f>SUM(F5:F35)</f>
        <v>7385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89">
        <f>+summary!G5</f>
        <v>2.08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15360.800000000001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37287</v>
      </c>
      <c r="B42" s="32"/>
      <c r="C42" s="460"/>
      <c r="D42" s="111"/>
      <c r="E42" s="460"/>
      <c r="F42" s="565">
        <f>9676+25004</f>
        <v>34680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37305</v>
      </c>
      <c r="B43" s="32"/>
      <c r="C43" s="106"/>
      <c r="D43" s="106"/>
      <c r="E43" s="106"/>
      <c r="F43" s="24">
        <f>+F42+F36</f>
        <v>42065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291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37287</v>
      </c>
      <c r="B48" s="32"/>
      <c r="C48" s="32"/>
      <c r="D48" s="566">
        <v>71928.960000000006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37305</v>
      </c>
      <c r="B49" s="32"/>
      <c r="C49" s="32"/>
      <c r="D49" s="76">
        <f>+F36</f>
        <v>7385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79313.960000000006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3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212</v>
      </c>
      <c r="C3" s="208"/>
      <c r="D3" s="444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-2381</v>
      </c>
      <c r="C12" s="24">
        <v>-1736</v>
      </c>
      <c r="D12" s="51">
        <v>-2459</v>
      </c>
      <c r="E12" s="24">
        <v>-2000</v>
      </c>
      <c r="F12" s="24">
        <f t="shared" si="0"/>
        <v>1104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-2271</v>
      </c>
      <c r="C13" s="24">
        <v>-1736</v>
      </c>
      <c r="D13" s="24">
        <v>-1917</v>
      </c>
      <c r="E13" s="24">
        <v>-2000</v>
      </c>
      <c r="F13" s="24">
        <f t="shared" si="0"/>
        <v>452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-2359</v>
      </c>
      <c r="C14" s="24">
        <v>-1736</v>
      </c>
      <c r="D14" s="24">
        <v>-95</v>
      </c>
      <c r="E14" s="24">
        <v>-2000</v>
      </c>
      <c r="F14" s="24">
        <f t="shared" si="0"/>
        <v>-1282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-2250</v>
      </c>
      <c r="C15" s="24">
        <v>-1736</v>
      </c>
      <c r="D15" s="24">
        <v>-689</v>
      </c>
      <c r="E15" s="24">
        <v>-2000</v>
      </c>
      <c r="F15" s="24">
        <f t="shared" si="0"/>
        <v>-797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-2565</v>
      </c>
      <c r="C16" s="24">
        <v>-1736</v>
      </c>
      <c r="D16" s="24">
        <v>-2590</v>
      </c>
      <c r="E16" s="24">
        <v>-2000</v>
      </c>
      <c r="F16" s="24">
        <f t="shared" si="0"/>
        <v>1419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-2181</v>
      </c>
      <c r="C17" s="24">
        <v>-1736</v>
      </c>
      <c r="D17" s="24">
        <v>-2504</v>
      </c>
      <c r="E17" s="24">
        <v>-2000</v>
      </c>
      <c r="F17" s="24">
        <f t="shared" si="0"/>
        <v>949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-2440</v>
      </c>
      <c r="C18" s="24">
        <v>-1736</v>
      </c>
      <c r="D18" s="24">
        <v>-2510</v>
      </c>
      <c r="E18" s="24">
        <v>-2000</v>
      </c>
      <c r="F18" s="24">
        <f t="shared" si="0"/>
        <v>1214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-2055</v>
      </c>
      <c r="C19" s="24">
        <v>-1736</v>
      </c>
      <c r="D19" s="24">
        <v>-2466</v>
      </c>
      <c r="E19" s="24">
        <v>-2000</v>
      </c>
      <c r="F19" s="24">
        <f t="shared" si="0"/>
        <v>785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-2305</v>
      </c>
      <c r="C20" s="24">
        <v>-1736</v>
      </c>
      <c r="D20" s="24">
        <v>-2095</v>
      </c>
      <c r="E20" s="24">
        <v>-2000</v>
      </c>
      <c r="F20" s="24">
        <f t="shared" si="0"/>
        <v>664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-695</v>
      </c>
      <c r="C21" s="24">
        <v>-1736</v>
      </c>
      <c r="D21" s="24">
        <v>-222</v>
      </c>
      <c r="E21" s="24">
        <v>-2000</v>
      </c>
      <c r="F21" s="24">
        <f t="shared" si="0"/>
        <v>-2819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-1962</v>
      </c>
      <c r="C22" s="24">
        <v>-1736</v>
      </c>
      <c r="D22" s="24">
        <v>-566</v>
      </c>
      <c r="E22" s="24">
        <v>-2000</v>
      </c>
      <c r="F22" s="24">
        <f t="shared" si="0"/>
        <v>-1208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-36064</v>
      </c>
      <c r="C37" s="24">
        <f>SUM(C6:C36)</f>
        <v>-39327</v>
      </c>
      <c r="D37" s="24">
        <f>SUM(D6:D36)</f>
        <v>-28793</v>
      </c>
      <c r="E37" s="24">
        <f>SUM(E6:E36)</f>
        <v>-34000</v>
      </c>
      <c r="F37" s="24">
        <f>SUM(F6:F36)</f>
        <v>-8470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-17617.600000000002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C40" s="319"/>
      <c r="D40" s="262"/>
      <c r="E40" s="262"/>
      <c r="F40" s="568">
        <f>-125437.16+8640.37</f>
        <v>-116796.79000000001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37304</v>
      </c>
      <c r="C41" s="319"/>
      <c r="D41" s="262"/>
      <c r="E41" s="262"/>
      <c r="F41" s="104">
        <f>+F40+F39</f>
        <v>-134414.39000000001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f>6619-39586</f>
        <v>-32967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37304</v>
      </c>
      <c r="B47" s="32"/>
      <c r="C47" s="32"/>
      <c r="D47" s="349">
        <f>+F37</f>
        <v>-8470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-41437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220</v>
      </c>
      <c r="C3" s="208"/>
      <c r="D3" s="444" t="s">
        <v>222</v>
      </c>
      <c r="E3" s="207"/>
      <c r="F3" s="444" t="s">
        <v>224</v>
      </c>
      <c r="G3" s="207"/>
      <c r="H3" s="444" t="s">
        <v>226</v>
      </c>
      <c r="I3" s="207"/>
      <c r="J3" s="444" t="s">
        <v>228</v>
      </c>
      <c r="K3" s="207"/>
      <c r="L3" s="444" t="s">
        <v>230</v>
      </c>
      <c r="M3" s="207"/>
      <c r="N3" s="444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-2010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-115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-2194</v>
      </c>
      <c r="C12" s="24">
        <v>-2100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69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-2100</v>
      </c>
      <c r="D13" s="24">
        <v>-1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38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-2326</v>
      </c>
      <c r="C14" s="24">
        <v>-2100</v>
      </c>
      <c r="D14" s="24"/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201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-2395</v>
      </c>
      <c r="C15" s="24">
        <v>-2100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270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-1176</v>
      </c>
      <c r="C16" s="24">
        <v>-2100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-949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-2617</v>
      </c>
      <c r="C17" s="24">
        <v>-2100</v>
      </c>
      <c r="D17" s="24">
        <v>-9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501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-2916</v>
      </c>
      <c r="C18" s="24">
        <v>-2100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791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-3112</v>
      </c>
      <c r="C19" s="24">
        <v>-2100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987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-3375</v>
      </c>
      <c r="C20" s="24">
        <v>-2100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1250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-3331</v>
      </c>
      <c r="C21" s="24">
        <v>-2100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1206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-3263</v>
      </c>
      <c r="C22" s="24">
        <v>-2100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1138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-42330</v>
      </c>
      <c r="C37" s="24">
        <f t="shared" si="1"/>
        <v>-35700</v>
      </c>
      <c r="D37" s="24">
        <f t="shared" si="1"/>
        <v>-10</v>
      </c>
      <c r="E37" s="24">
        <f t="shared" si="1"/>
        <v>-425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6215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1"/>
      <c r="P39" s="104">
        <f>+P38*P37</f>
        <v>12927.2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1">
        <v>37287</v>
      </c>
      <c r="E40" s="14"/>
      <c r="O40" s="441"/>
      <c r="P40" s="568">
        <v>89767.28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1">
        <v>37304</v>
      </c>
      <c r="E41" s="14"/>
      <c r="O41" s="441"/>
      <c r="P41" s="104">
        <f>+P40+P39</f>
        <v>102694.48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67">
        <v>37041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37304</v>
      </c>
      <c r="B47" s="32"/>
      <c r="C47" s="32"/>
      <c r="D47" s="349">
        <f>+P37</f>
        <v>6215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43256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4" workbookViewId="0">
      <selection activeCell="C24" sqref="C24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276</v>
      </c>
      <c r="C3" s="87"/>
      <c r="D3" s="87"/>
    </row>
    <row r="4" spans="1:4" x14ac:dyDescent="0.2">
      <c r="A4" s="3"/>
      <c r="B4" s="328" t="s">
        <v>275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">
      <c r="A9" s="10">
        <v>4</v>
      </c>
      <c r="B9" s="129">
        <v>-29235</v>
      </c>
      <c r="C9" s="11">
        <v>-29000</v>
      </c>
      <c r="D9" s="25">
        <f t="shared" si="0"/>
        <v>235</v>
      </c>
    </row>
    <row r="10" spans="1:4" x14ac:dyDescent="0.2">
      <c r="A10" s="10">
        <v>5</v>
      </c>
      <c r="B10" s="129">
        <v>-13842</v>
      </c>
      <c r="C10" s="11">
        <v>-14000</v>
      </c>
      <c r="D10" s="25">
        <f t="shared" si="0"/>
        <v>-158</v>
      </c>
    </row>
    <row r="11" spans="1:4" x14ac:dyDescent="0.2">
      <c r="A11" s="10">
        <v>6</v>
      </c>
      <c r="B11" s="129">
        <v>-13715</v>
      </c>
      <c r="C11" s="11">
        <v>-14000</v>
      </c>
      <c r="D11" s="25">
        <f t="shared" si="0"/>
        <v>-285</v>
      </c>
    </row>
    <row r="12" spans="1:4" x14ac:dyDescent="0.2">
      <c r="A12" s="10">
        <v>7</v>
      </c>
      <c r="B12" s="129">
        <v>-14374</v>
      </c>
      <c r="C12" s="11">
        <v>-14000</v>
      </c>
      <c r="D12" s="25">
        <f t="shared" si="0"/>
        <v>374</v>
      </c>
    </row>
    <row r="13" spans="1:4" x14ac:dyDescent="0.2">
      <c r="A13" s="10">
        <v>8</v>
      </c>
      <c r="B13" s="11">
        <v>-14059</v>
      </c>
      <c r="C13" s="11">
        <v>-14000</v>
      </c>
      <c r="D13" s="25">
        <f t="shared" si="0"/>
        <v>59</v>
      </c>
    </row>
    <row r="14" spans="1:4" x14ac:dyDescent="0.2">
      <c r="A14" s="10">
        <v>9</v>
      </c>
      <c r="B14" s="11">
        <v>-14018</v>
      </c>
      <c r="C14" s="11">
        <v>-14000</v>
      </c>
      <c r="D14" s="25">
        <f t="shared" si="0"/>
        <v>18</v>
      </c>
    </row>
    <row r="15" spans="1:4" x14ac:dyDescent="0.2">
      <c r="A15" s="10">
        <v>10</v>
      </c>
      <c r="B15" s="11">
        <v>-13988</v>
      </c>
      <c r="C15" s="11">
        <v>-14000</v>
      </c>
      <c r="D15" s="25">
        <f t="shared" si="0"/>
        <v>-12</v>
      </c>
    </row>
    <row r="16" spans="1:4" x14ac:dyDescent="0.2">
      <c r="A16" s="10">
        <v>11</v>
      </c>
      <c r="B16" s="11">
        <v>-14090</v>
      </c>
      <c r="C16" s="11">
        <v>-14000</v>
      </c>
      <c r="D16" s="25">
        <f t="shared" si="0"/>
        <v>90</v>
      </c>
    </row>
    <row r="17" spans="1:4" x14ac:dyDescent="0.2">
      <c r="A17" s="10">
        <v>12</v>
      </c>
      <c r="B17" s="11">
        <v>-14023</v>
      </c>
      <c r="C17" s="11">
        <v>-14000</v>
      </c>
      <c r="D17" s="25">
        <f t="shared" si="0"/>
        <v>23</v>
      </c>
    </row>
    <row r="18" spans="1:4" x14ac:dyDescent="0.2">
      <c r="A18" s="10">
        <v>13</v>
      </c>
      <c r="B18" s="11">
        <v>-14061</v>
      </c>
      <c r="C18" s="11">
        <v>-14000</v>
      </c>
      <c r="D18" s="25">
        <f t="shared" si="0"/>
        <v>61</v>
      </c>
    </row>
    <row r="19" spans="1:4" x14ac:dyDescent="0.2">
      <c r="A19" s="10">
        <v>14</v>
      </c>
      <c r="B19" s="11">
        <v>-13994</v>
      </c>
      <c r="C19" s="11">
        <v>-14000</v>
      </c>
      <c r="D19" s="25">
        <f t="shared" si="0"/>
        <v>-6</v>
      </c>
    </row>
    <row r="20" spans="1:4" x14ac:dyDescent="0.2">
      <c r="A20" s="10">
        <v>15</v>
      </c>
      <c r="B20" s="11">
        <v>-13261</v>
      </c>
      <c r="C20" s="11">
        <v>-14000</v>
      </c>
      <c r="D20" s="25">
        <f t="shared" si="0"/>
        <v>-739</v>
      </c>
    </row>
    <row r="21" spans="1:4" x14ac:dyDescent="0.2">
      <c r="A21" s="10">
        <v>16</v>
      </c>
      <c r="B21" s="11">
        <v>-28987</v>
      </c>
      <c r="C21" s="11">
        <v>-28999</v>
      </c>
      <c r="D21" s="25">
        <f t="shared" si="0"/>
        <v>-12</v>
      </c>
    </row>
    <row r="22" spans="1:4" x14ac:dyDescent="0.2">
      <c r="A22" s="10">
        <v>17</v>
      </c>
      <c r="B22" s="11">
        <v>-28996</v>
      </c>
      <c r="C22" s="11">
        <v>-28999</v>
      </c>
      <c r="D22" s="25">
        <f t="shared" si="0"/>
        <v>-3</v>
      </c>
    </row>
    <row r="23" spans="1:4" x14ac:dyDescent="0.2">
      <c r="A23" s="10">
        <v>18</v>
      </c>
      <c r="B23" s="11">
        <v>-28948</v>
      </c>
      <c r="C23" s="11">
        <v>-28999</v>
      </c>
      <c r="D23" s="25">
        <f t="shared" si="0"/>
        <v>-51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-341648</v>
      </c>
      <c r="C37" s="11">
        <f>SUM(C6:C36)</f>
        <v>-341960</v>
      </c>
      <c r="D37" s="25">
        <f>SUM(D6:D36)</f>
        <v>-312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-648.96</v>
      </c>
    </row>
    <row r="40" spans="1:4" x14ac:dyDescent="0.2">
      <c r="A40" s="57">
        <v>37287</v>
      </c>
      <c r="C40" s="15"/>
      <c r="D40" s="590">
        <v>-27179.17</v>
      </c>
    </row>
    <row r="41" spans="1:4" x14ac:dyDescent="0.2">
      <c r="A41" s="57">
        <v>37305</v>
      </c>
      <c r="C41" s="48"/>
      <c r="D41" s="138">
        <f>+D40+D39</f>
        <v>-27828.129999999997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-12</v>
      </c>
    </row>
    <row r="47" spans="1:4" x14ac:dyDescent="0.2">
      <c r="A47" s="49">
        <f>+A41</f>
        <v>37305</v>
      </c>
      <c r="B47" s="32"/>
      <c r="C47" s="32"/>
      <c r="D47" s="349">
        <f>+D37</f>
        <v>-312</v>
      </c>
    </row>
    <row r="48" spans="1:4" x14ac:dyDescent="0.2">
      <c r="A48" s="32"/>
      <c r="B48" s="32"/>
      <c r="C48" s="32"/>
      <c r="D48" s="14">
        <f>+D47+D46</f>
        <v>-324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4" workbookViewId="0">
      <selection activeCell="B3" sqref="B3:I1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295</v>
      </c>
      <c r="C3" s="87"/>
      <c r="D3" s="87"/>
    </row>
    <row r="4" spans="1:4" x14ac:dyDescent="0.2">
      <c r="A4" s="3"/>
      <c r="B4" s="328" t="s">
        <v>296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2.08</v>
      </c>
    </row>
    <row r="39" spans="1:5" x14ac:dyDescent="0.2">
      <c r="D39" s="138">
        <f>+D38*D37</f>
        <v>0</v>
      </c>
    </row>
    <row r="40" spans="1:5" x14ac:dyDescent="0.2">
      <c r="A40" s="57">
        <v>37287</v>
      </c>
      <c r="C40" s="15"/>
      <c r="D40" s="590">
        <v>48490.31</v>
      </c>
    </row>
    <row r="41" spans="1:5" x14ac:dyDescent="0.2">
      <c r="A41" s="57">
        <v>37287</v>
      </c>
      <c r="C41" s="48"/>
      <c r="D41" s="138">
        <f>+D40+D39</f>
        <v>48490.31</v>
      </c>
    </row>
    <row r="42" spans="1:5" x14ac:dyDescent="0.2">
      <c r="D42" s="24"/>
    </row>
    <row r="45" spans="1:5" x14ac:dyDescent="0.2">
      <c r="A45" s="32" t="s">
        <v>148</v>
      </c>
      <c r="B45" s="32"/>
      <c r="C45" s="32"/>
      <c r="D45" s="32"/>
    </row>
    <row r="46" spans="1:5" x14ac:dyDescent="0.2">
      <c r="A46" s="49">
        <f>+A40</f>
        <v>37287</v>
      </c>
      <c r="B46" s="32"/>
      <c r="C46" s="32"/>
      <c r="D46" s="591">
        <v>17403</v>
      </c>
      <c r="E46" s="592"/>
    </row>
    <row r="47" spans="1:5" x14ac:dyDescent="0.2">
      <c r="A47" s="49">
        <f>+A41</f>
        <v>37287</v>
      </c>
      <c r="B47" s="32"/>
      <c r="C47" s="32"/>
      <c r="D47" s="349">
        <f>+D37</f>
        <v>0</v>
      </c>
    </row>
    <row r="48" spans="1:5" x14ac:dyDescent="0.2">
      <c r="A48" s="32"/>
      <c r="B48" s="32"/>
      <c r="C48" s="32"/>
      <c r="D48" s="14">
        <f>+D47+D46</f>
        <v>17403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N41" sqref="N41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19" t="s">
        <v>279</v>
      </c>
    </row>
    <row r="3" spans="1:37" x14ac:dyDescent="0.2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">
      <c r="B4" s="520" t="s">
        <v>281</v>
      </c>
      <c r="C4" s="521"/>
      <c r="D4" s="522" t="s">
        <v>282</v>
      </c>
      <c r="E4" s="521"/>
      <c r="F4" s="522" t="s">
        <v>283</v>
      </c>
      <c r="G4" s="521"/>
      <c r="H4" s="522" t="s">
        <v>284</v>
      </c>
      <c r="I4" s="521"/>
      <c r="J4" s="522" t="s">
        <v>285</v>
      </c>
      <c r="K4" s="521"/>
      <c r="L4" s="522" t="s">
        <v>286</v>
      </c>
      <c r="M4" s="521"/>
      <c r="N4" s="521"/>
    </row>
    <row r="5" spans="1:37" x14ac:dyDescent="0.2">
      <c r="A5" s="523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4"/>
      <c r="Q5" s="524"/>
      <c r="R5" s="524"/>
      <c r="S5" s="524"/>
      <c r="T5" s="524"/>
      <c r="V5" s="525"/>
      <c r="AA5" s="526"/>
      <c r="AB5" s="524"/>
      <c r="AC5" s="524"/>
      <c r="AD5" s="524"/>
      <c r="AE5" s="524"/>
      <c r="AF5" s="524"/>
      <c r="AH5" s="525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4"/>
      <c r="Q6" s="524"/>
      <c r="R6" s="524"/>
      <c r="S6" s="524"/>
      <c r="T6" s="524"/>
      <c r="U6" s="527"/>
      <c r="V6" s="525"/>
      <c r="Y6" s="528"/>
      <c r="AA6" s="526"/>
      <c r="AB6" s="524"/>
      <c r="AC6" s="524"/>
      <c r="AD6" s="524"/>
      <c r="AE6" s="524"/>
      <c r="AF6" s="524"/>
      <c r="AG6" s="527"/>
      <c r="AH6" s="525"/>
      <c r="AK6" s="528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9"/>
      <c r="AB7" s="530"/>
      <c r="AC7" s="530"/>
      <c r="AD7" s="530"/>
      <c r="AE7" s="530"/>
      <c r="AF7" s="530"/>
      <c r="AG7" s="19"/>
      <c r="AH7" s="531"/>
      <c r="AI7" s="252"/>
      <c r="AJ7" s="264"/>
      <c r="AK7" s="528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0"/>
      <c r="Q8" s="530"/>
      <c r="R8" s="530"/>
      <c r="S8" s="530"/>
      <c r="T8" s="530"/>
      <c r="U8" s="19"/>
      <c r="V8" s="531"/>
      <c r="W8" s="252"/>
      <c r="X8" s="264"/>
      <c r="Y8" s="528"/>
      <c r="AA8" s="529"/>
      <c r="AB8" s="530"/>
      <c r="AC8" s="530"/>
      <c r="AD8" s="530"/>
      <c r="AE8" s="530"/>
      <c r="AF8" s="530"/>
      <c r="AG8" s="19"/>
      <c r="AH8" s="531"/>
      <c r="AI8" s="252"/>
      <c r="AJ8" s="264"/>
      <c r="AK8" s="528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0"/>
      <c r="S9" s="28"/>
      <c r="T9" s="530"/>
      <c r="U9" s="19"/>
      <c r="V9" s="531"/>
      <c r="W9" s="252"/>
      <c r="X9" s="264"/>
      <c r="Y9" s="528"/>
      <c r="AA9" s="529"/>
      <c r="AB9" s="530"/>
      <c r="AC9" s="530"/>
      <c r="AD9" s="530"/>
      <c r="AE9" s="530"/>
      <c r="AF9" s="530"/>
      <c r="AG9" s="19"/>
      <c r="AH9" s="531"/>
      <c r="AI9" s="252"/>
      <c r="AJ9" s="264"/>
      <c r="AK9" s="528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0"/>
      <c r="S10" s="28"/>
      <c r="T10" s="530"/>
      <c r="U10" s="19"/>
      <c r="V10" s="531"/>
      <c r="W10" s="252"/>
      <c r="X10" s="264"/>
      <c r="Y10" s="528"/>
      <c r="AA10" s="529"/>
      <c r="AB10" s="530"/>
      <c r="AC10" s="530"/>
      <c r="AD10" s="530"/>
      <c r="AE10" s="530"/>
      <c r="AF10" s="530"/>
      <c r="AG10" s="19"/>
      <c r="AH10" s="531"/>
      <c r="AI10" s="252"/>
      <c r="AJ10" s="264"/>
      <c r="AK10" s="528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0"/>
      <c r="S11" s="28"/>
      <c r="T11" s="530"/>
      <c r="U11" s="19"/>
      <c r="V11" s="531"/>
      <c r="W11" s="252"/>
      <c r="X11" s="264"/>
      <c r="Y11" s="528"/>
      <c r="AA11" s="529"/>
      <c r="AB11" s="530"/>
      <c r="AC11" s="530"/>
      <c r="AD11" s="530"/>
      <c r="AE11" s="530"/>
      <c r="AF11" s="530"/>
      <c r="AG11" s="19"/>
      <c r="AH11" s="531"/>
      <c r="AI11" s="252"/>
      <c r="AJ11" s="264"/>
      <c r="AK11" s="528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0"/>
      <c r="S12" s="28"/>
      <c r="T12" s="530"/>
      <c r="U12" s="19"/>
      <c r="V12" s="531"/>
      <c r="W12" s="252"/>
      <c r="X12" s="264"/>
      <c r="Y12" s="528"/>
      <c r="AA12" s="529"/>
      <c r="AB12" s="530"/>
      <c r="AC12" s="530"/>
      <c r="AD12" s="530"/>
      <c r="AE12" s="530"/>
      <c r="AF12" s="530"/>
      <c r="AG12" s="19"/>
      <c r="AH12" s="531"/>
      <c r="AI12" s="252"/>
      <c r="AJ12" s="264"/>
      <c r="AK12" s="528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0"/>
      <c r="S13" s="532"/>
      <c r="T13" s="530"/>
      <c r="U13" s="19"/>
      <c r="V13" s="531"/>
      <c r="W13" s="252"/>
      <c r="X13" s="264"/>
      <c r="Y13" s="528"/>
      <c r="AA13" s="529"/>
      <c r="AB13" s="530"/>
      <c r="AC13" s="530"/>
      <c r="AD13" s="530"/>
      <c r="AE13" s="530"/>
      <c r="AF13" s="530"/>
      <c r="AG13" s="19"/>
      <c r="AH13" s="531"/>
      <c r="AI13" s="252"/>
      <c r="AJ13" s="264"/>
      <c r="AK13" s="528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0"/>
      <c r="S14" s="532"/>
      <c r="T14" s="530"/>
      <c r="U14" s="19"/>
      <c r="V14" s="531"/>
      <c r="W14" s="252"/>
      <c r="X14" s="264"/>
      <c r="Y14" s="528"/>
      <c r="AA14" s="529"/>
      <c r="AB14" s="530"/>
      <c r="AC14" s="530"/>
      <c r="AD14" s="530"/>
      <c r="AE14" s="530"/>
      <c r="AF14" s="530"/>
      <c r="AG14" s="19"/>
      <c r="AH14" s="531"/>
      <c r="AI14" s="252"/>
      <c r="AJ14" s="264"/>
      <c r="AK14" s="528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0"/>
      <c r="S15" s="532"/>
      <c r="T15" s="530"/>
      <c r="U15" s="19"/>
      <c r="V15" s="531"/>
      <c r="W15" s="252"/>
      <c r="X15" s="264"/>
      <c r="Y15" s="528"/>
      <c r="AA15" s="529"/>
      <c r="AB15" s="530"/>
      <c r="AC15" s="530"/>
      <c r="AD15" s="530"/>
      <c r="AE15" s="530"/>
      <c r="AF15" s="530"/>
      <c r="AG15" s="19"/>
      <c r="AH15" s="531"/>
      <c r="AI15" s="252"/>
      <c r="AJ15" s="264"/>
      <c r="AK15" s="528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0"/>
      <c r="S16" s="532"/>
      <c r="T16" s="530"/>
      <c r="U16" s="19"/>
      <c r="V16" s="531"/>
      <c r="W16" s="252"/>
      <c r="X16" s="264"/>
      <c r="Y16" s="528"/>
      <c r="AA16" s="529"/>
      <c r="AB16" s="530"/>
      <c r="AC16" s="530"/>
      <c r="AD16" s="530"/>
      <c r="AE16" s="530"/>
      <c r="AF16" s="530"/>
      <c r="AG16" s="19"/>
      <c r="AH16" s="531"/>
      <c r="AI16" s="252"/>
      <c r="AJ16" s="264"/>
      <c r="AK16" s="528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0"/>
      <c r="S17" s="532"/>
      <c r="T17" s="530"/>
      <c r="U17" s="19"/>
      <c r="V17" s="531"/>
      <c r="W17" s="252"/>
      <c r="X17" s="264"/>
      <c r="Y17" s="528"/>
      <c r="AA17" s="529"/>
      <c r="AB17" s="530"/>
      <c r="AC17" s="530"/>
      <c r="AD17" s="530"/>
      <c r="AE17" s="530"/>
      <c r="AF17" s="530"/>
      <c r="AG17" s="19"/>
      <c r="AH17" s="531"/>
      <c r="AI17" s="252"/>
      <c r="AJ17" s="264"/>
      <c r="AK17" s="528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0"/>
      <c r="S18" s="532"/>
      <c r="T18" s="530"/>
      <c r="U18" s="19"/>
      <c r="V18" s="531"/>
      <c r="W18" s="252"/>
      <c r="X18" s="264"/>
      <c r="Y18" s="528"/>
      <c r="AA18" s="529"/>
      <c r="AB18" s="530"/>
      <c r="AF18" s="530"/>
      <c r="AG18" s="19"/>
      <c r="AH18" s="531"/>
      <c r="AI18" s="252"/>
      <c r="AJ18" s="264"/>
      <c r="AK18" s="528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0"/>
      <c r="T19" s="530"/>
      <c r="U19" s="19"/>
      <c r="V19" s="531"/>
      <c r="W19" s="252"/>
      <c r="X19" s="264"/>
      <c r="Y19" s="528"/>
      <c r="AA19" s="529"/>
      <c r="AB19" s="530"/>
      <c r="AF19" s="530"/>
      <c r="AG19" s="19"/>
      <c r="AH19" s="531"/>
      <c r="AI19" s="252"/>
      <c r="AJ19" s="264"/>
      <c r="AK19" s="528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0"/>
      <c r="T20" s="530"/>
      <c r="U20" s="19"/>
      <c r="V20" s="531"/>
      <c r="W20" s="252"/>
      <c r="X20" s="264"/>
      <c r="Y20" s="528"/>
      <c r="AA20" s="529"/>
      <c r="AB20" s="530"/>
      <c r="AF20" s="530"/>
      <c r="AG20" s="19"/>
      <c r="AH20" s="531"/>
      <c r="AI20" s="252"/>
      <c r="AJ20" s="264"/>
      <c r="AK20" s="528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9"/>
      <c r="AB21" s="530"/>
      <c r="AF21" s="530"/>
      <c r="AG21" s="19"/>
      <c r="AH21" s="531"/>
      <c r="AI21" s="252"/>
      <c r="AJ21" s="264"/>
      <c r="AK21" s="528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9"/>
      <c r="AB22" s="51"/>
      <c r="AF22" s="530"/>
      <c r="AG22" s="19"/>
      <c r="AH22" s="531"/>
      <c r="AI22" s="252"/>
      <c r="AJ22" s="264"/>
      <c r="AK22" s="528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0"/>
      <c r="Q23" s="530"/>
      <c r="R23" s="530"/>
      <c r="S23" s="530"/>
      <c r="T23" s="530"/>
      <c r="U23" s="19"/>
      <c r="V23" s="531"/>
      <c r="W23" s="252"/>
      <c r="X23" s="264"/>
      <c r="Y23" s="528"/>
      <c r="AA23" s="529"/>
      <c r="AB23" s="51"/>
      <c r="AF23" s="530"/>
      <c r="AG23" s="19"/>
      <c r="AH23" s="531"/>
      <c r="AI23" s="252"/>
      <c r="AJ23" s="264"/>
      <c r="AK23" s="528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0"/>
      <c r="Q24" s="530"/>
      <c r="R24" s="530"/>
      <c r="S24" s="530"/>
      <c r="T24" s="530"/>
      <c r="U24" s="19"/>
      <c r="V24" s="531"/>
      <c r="W24" s="252"/>
      <c r="X24" s="264"/>
      <c r="Y24" s="528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0"/>
      <c r="Q25" s="530"/>
      <c r="R25" s="530"/>
      <c r="S25" s="530"/>
      <c r="T25" s="530"/>
      <c r="U25" s="19"/>
      <c r="V25" s="531"/>
      <c r="W25" s="252"/>
      <c r="X25" s="264"/>
      <c r="Y25" s="528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0"/>
      <c r="Q26" s="530"/>
      <c r="R26" s="530"/>
      <c r="S26" s="530"/>
      <c r="T26" s="530"/>
      <c r="U26" s="19"/>
      <c r="V26" s="531"/>
      <c r="W26" s="252"/>
      <c r="X26" s="264"/>
      <c r="Y26" s="528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0"/>
      <c r="Q27" s="530"/>
      <c r="R27" s="530"/>
      <c r="S27" s="530"/>
      <c r="T27" s="530"/>
      <c r="U27" s="19"/>
      <c r="V27" s="531"/>
      <c r="W27" s="252"/>
      <c r="X27" s="264"/>
      <c r="Y27" s="528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0"/>
      <c r="Q28" s="530"/>
      <c r="R28" s="530"/>
      <c r="S28" s="530"/>
      <c r="T28" s="530"/>
      <c r="U28" s="19"/>
      <c r="V28" s="531"/>
      <c r="W28" s="252"/>
      <c r="X28" s="264"/>
      <c r="Y28" s="528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0"/>
      <c r="Q29" s="530"/>
      <c r="R29" s="530"/>
      <c r="S29" s="530"/>
      <c r="T29" s="530"/>
      <c r="U29" s="19"/>
      <c r="V29" s="531"/>
      <c r="W29" s="252"/>
      <c r="X29" s="264"/>
      <c r="Y29" s="528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0"/>
      <c r="Q30" s="530"/>
      <c r="R30" s="530"/>
      <c r="S30" s="530"/>
      <c r="T30" s="530"/>
      <c r="U30" s="19"/>
      <c r="V30" s="531"/>
      <c r="W30" s="252"/>
      <c r="X30" s="264"/>
      <c r="Y30" s="528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0"/>
      <c r="Q31" s="530"/>
      <c r="R31" s="530"/>
      <c r="S31" s="530"/>
      <c r="T31" s="530"/>
      <c r="U31" s="19"/>
      <c r="V31" s="531"/>
      <c r="W31" s="252"/>
      <c r="X31" s="264"/>
      <c r="Y31" s="528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0"/>
      <c r="Q32" s="530"/>
      <c r="R32" s="530"/>
      <c r="S32" s="530"/>
      <c r="T32" s="530"/>
      <c r="U32" s="19"/>
      <c r="V32" s="531"/>
      <c r="W32" s="252"/>
      <c r="X32" s="264"/>
      <c r="Y32" s="528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0"/>
      <c r="Q33" s="530"/>
      <c r="R33" s="530"/>
      <c r="S33" s="530"/>
      <c r="T33" s="530"/>
      <c r="U33" s="19"/>
      <c r="V33" s="531"/>
      <c r="W33" s="252"/>
      <c r="X33" s="264"/>
      <c r="Y33" s="528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0"/>
      <c r="T34" s="530"/>
      <c r="U34" s="19"/>
      <c r="V34" s="531"/>
      <c r="W34" s="252"/>
      <c r="X34" s="264"/>
      <c r="Y34" s="528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0"/>
      <c r="T35" s="530"/>
      <c r="U35" s="19"/>
      <c r="V35" s="531"/>
      <c r="W35" s="252"/>
      <c r="X35" s="264"/>
      <c r="Y35" s="528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0"/>
      <c r="T36" s="530"/>
      <c r="U36" s="19"/>
      <c r="V36" s="531"/>
      <c r="W36" s="252"/>
      <c r="X36" s="264"/>
      <c r="Y36" s="528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0"/>
      <c r="T37" s="530"/>
      <c r="U37" s="19"/>
      <c r="V37" s="531"/>
      <c r="W37" s="252"/>
      <c r="X37" s="264"/>
      <c r="Y37" s="528"/>
    </row>
    <row r="38" spans="1:25" x14ac:dyDescent="0.2">
      <c r="N38" s="264">
        <f>+summary!G4</f>
        <v>2.08</v>
      </c>
      <c r="P38" s="51"/>
      <c r="T38" s="530"/>
      <c r="U38" s="19"/>
      <c r="V38" s="531"/>
      <c r="W38" s="252"/>
      <c r="X38" s="264"/>
      <c r="Y38" s="528"/>
    </row>
    <row r="39" spans="1:25" x14ac:dyDescent="0.2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0"/>
      <c r="U39" s="19"/>
      <c r="V39" s="531"/>
      <c r="W39" s="252"/>
      <c r="X39" s="264"/>
      <c r="Y39" s="528"/>
    </row>
    <row r="40" spans="1:25" x14ac:dyDescent="0.2">
      <c r="N40" s="329"/>
      <c r="P40" s="530"/>
      <c r="T40" s="530"/>
      <c r="U40" s="19"/>
      <c r="V40" s="531"/>
      <c r="W40" s="252"/>
      <c r="X40" s="264"/>
      <c r="Y40" s="528"/>
    </row>
    <row r="41" spans="1:25" x14ac:dyDescent="0.2">
      <c r="A41" s="263">
        <v>37287</v>
      </c>
      <c r="C41" s="131"/>
      <c r="E41" s="131"/>
      <c r="G41" s="131"/>
      <c r="I41" s="131"/>
      <c r="K41" s="131"/>
      <c r="M41" s="131"/>
      <c r="N41" s="573">
        <f>121241.56-58000</f>
        <v>63241.56</v>
      </c>
      <c r="P41" s="530"/>
      <c r="T41" s="530"/>
      <c r="U41" s="19"/>
      <c r="V41" s="531"/>
      <c r="W41" s="252"/>
      <c r="X41" s="264"/>
      <c r="Y41" s="528"/>
    </row>
    <row r="42" spans="1:25" x14ac:dyDescent="0.2">
      <c r="N42" s="319"/>
      <c r="P42" s="530"/>
      <c r="T42" s="530"/>
      <c r="U42" s="19"/>
      <c r="V42" s="531"/>
      <c r="W42" s="252"/>
      <c r="X42" s="264"/>
      <c r="Y42" s="528"/>
    </row>
    <row r="43" spans="1:25" x14ac:dyDescent="0.2">
      <c r="A43" s="263">
        <v>37287</v>
      </c>
      <c r="N43" s="319">
        <f>+N41+N39</f>
        <v>63241.56</v>
      </c>
      <c r="P43" s="530"/>
      <c r="T43" s="530"/>
      <c r="U43" s="19"/>
      <c r="V43" s="531"/>
      <c r="W43" s="252"/>
      <c r="X43" s="264"/>
      <c r="Y43" s="528"/>
    </row>
    <row r="44" spans="1:25" x14ac:dyDescent="0.2">
      <c r="N44" s="329"/>
      <c r="P44" s="530"/>
      <c r="T44" s="530"/>
      <c r="U44" s="19"/>
      <c r="V44" s="531"/>
      <c r="W44" s="252"/>
      <c r="X44" s="264"/>
      <c r="Y44" s="528"/>
    </row>
    <row r="45" spans="1:25" x14ac:dyDescent="0.2">
      <c r="P45" s="530"/>
      <c r="T45" s="530"/>
      <c r="U45" s="19"/>
      <c r="V45" s="531"/>
      <c r="W45" s="252"/>
      <c r="X45" s="264"/>
      <c r="Y45" s="528"/>
    </row>
    <row r="46" spans="1:25" x14ac:dyDescent="0.2">
      <c r="B46" s="463"/>
      <c r="D46" s="463"/>
      <c r="F46" s="463"/>
      <c r="H46" s="463"/>
      <c r="J46" s="463"/>
      <c r="L46" s="463"/>
      <c r="O46" s="529"/>
      <c r="P46" s="51"/>
      <c r="T46" s="530"/>
      <c r="U46" s="19"/>
      <c r="V46" s="531"/>
      <c r="W46" s="252"/>
      <c r="X46" s="264"/>
      <c r="Y46" s="528"/>
    </row>
    <row r="47" spans="1:25" x14ac:dyDescent="0.2">
      <c r="A47" s="249" t="s">
        <v>148</v>
      </c>
      <c r="B47" s="249"/>
      <c r="C47" s="249"/>
      <c r="D47" s="249"/>
      <c r="E47" s="521"/>
      <c r="F47" s="521"/>
      <c r="G47" s="521"/>
      <c r="H47" s="521"/>
      <c r="I47" s="521"/>
      <c r="J47" s="521"/>
      <c r="K47" s="521"/>
      <c r="L47" s="521"/>
      <c r="M47" s="521"/>
      <c r="N47" s="521"/>
      <c r="O47" s="529"/>
      <c r="P47" s="51"/>
      <c r="T47" s="530"/>
      <c r="U47" s="19"/>
      <c r="V47" s="531"/>
      <c r="W47" s="252"/>
      <c r="X47" s="264"/>
      <c r="Y47" s="528"/>
    </row>
    <row r="48" spans="1:25" x14ac:dyDescent="0.2">
      <c r="A48" s="533">
        <f>+A41</f>
        <v>37287</v>
      </c>
      <c r="B48" s="249"/>
      <c r="C48" s="249"/>
      <c r="D48" s="567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29"/>
      <c r="T48" s="530"/>
      <c r="U48" s="19"/>
      <c r="V48" s="531"/>
      <c r="W48" s="252"/>
      <c r="X48" s="264"/>
      <c r="Y48" s="528"/>
    </row>
    <row r="49" spans="1:25" x14ac:dyDescent="0.2">
      <c r="A49" s="533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9"/>
      <c r="T49" s="530"/>
      <c r="U49" s="19"/>
      <c r="V49" s="531"/>
      <c r="W49" s="252"/>
      <c r="X49" s="264"/>
      <c r="Y49" s="528"/>
    </row>
    <row r="50" spans="1:25" x14ac:dyDescent="0.2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9"/>
      <c r="U50" s="19"/>
    </row>
    <row r="51" spans="1:25" x14ac:dyDescent="0.2">
      <c r="A51" s="534"/>
      <c r="B51" s="535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9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9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9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9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9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9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9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9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9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9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9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9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9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9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9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9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9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9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9"/>
      <c r="P70" s="530"/>
      <c r="Q70" s="530"/>
      <c r="R70" s="530"/>
      <c r="S70" s="530"/>
      <c r="T70" s="530"/>
      <c r="U70" s="28"/>
      <c r="V70" s="536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9"/>
      <c r="P71" s="530"/>
      <c r="Q71" s="530"/>
      <c r="R71" s="530"/>
      <c r="S71" s="530"/>
      <c r="T71" s="530"/>
      <c r="U71" s="28"/>
      <c r="V71" s="536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9"/>
      <c r="P72" s="530"/>
      <c r="Q72" s="530"/>
      <c r="R72" s="530"/>
      <c r="S72" s="530"/>
      <c r="T72" s="530"/>
      <c r="U72" s="28"/>
      <c r="V72" s="536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9"/>
      <c r="P73" s="530"/>
      <c r="Q73" s="530"/>
      <c r="R73" s="530"/>
      <c r="S73" s="530"/>
      <c r="T73" s="530"/>
      <c r="U73" s="28"/>
      <c r="V73" s="536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9"/>
      <c r="P74" s="530"/>
      <c r="Q74" s="530"/>
      <c r="R74" s="530"/>
      <c r="S74" s="530"/>
      <c r="T74" s="530"/>
      <c r="U74" s="28"/>
      <c r="V74" s="536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9"/>
      <c r="P75" s="530"/>
      <c r="Q75" s="530"/>
      <c r="R75" s="530"/>
      <c r="S75" s="530"/>
      <c r="T75" s="530"/>
      <c r="U75" s="28"/>
      <c r="V75" s="536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9"/>
      <c r="P76" s="530"/>
      <c r="Q76" s="530"/>
      <c r="R76" s="530"/>
      <c r="S76" s="530"/>
      <c r="T76" s="530"/>
      <c r="U76" s="28"/>
      <c r="V76" s="536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9"/>
      <c r="P77" s="530"/>
      <c r="Q77" s="530"/>
      <c r="R77" s="530"/>
      <c r="S77" s="530"/>
      <c r="T77" s="530"/>
      <c r="U77" s="28"/>
      <c r="V77" s="536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9"/>
      <c r="P78" s="530"/>
      <c r="Q78" s="530"/>
      <c r="R78" s="530"/>
      <c r="S78" s="530"/>
      <c r="T78" s="530"/>
      <c r="U78" s="28"/>
      <c r="V78" s="536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9"/>
      <c r="P79" s="530"/>
      <c r="Q79" s="530"/>
      <c r="R79" s="530"/>
      <c r="S79" s="530"/>
      <c r="T79" s="530"/>
      <c r="U79" s="28"/>
      <c r="V79" s="536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9"/>
      <c r="P80" s="530"/>
      <c r="Q80" s="530"/>
      <c r="R80" s="530"/>
      <c r="S80" s="530"/>
      <c r="T80" s="530"/>
      <c r="U80" s="28"/>
      <c r="V80" s="536"/>
    </row>
    <row r="81" spans="1:22" x14ac:dyDescent="0.2">
      <c r="A81" s="261"/>
      <c r="C81" s="131"/>
      <c r="E81" s="131"/>
      <c r="G81" s="131"/>
      <c r="I81" s="131"/>
      <c r="K81" s="131"/>
      <c r="M81" s="131"/>
      <c r="O81" s="529"/>
      <c r="P81" s="530"/>
      <c r="Q81" s="530"/>
      <c r="R81" s="530"/>
      <c r="S81" s="530"/>
      <c r="T81" s="530"/>
      <c r="U81" s="28"/>
      <c r="V81" s="536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9"/>
      <c r="P82" s="530"/>
      <c r="Q82" s="530"/>
      <c r="R82" s="530"/>
      <c r="S82" s="530"/>
      <c r="T82" s="530"/>
      <c r="U82" s="28"/>
      <c r="V82" s="536"/>
    </row>
    <row r="83" spans="1:22" x14ac:dyDescent="0.2">
      <c r="A83" s="261"/>
      <c r="C83" s="131"/>
      <c r="E83" s="131"/>
      <c r="H83" s="537"/>
      <c r="I83" s="537"/>
      <c r="J83" s="537"/>
      <c r="K83" s="537"/>
      <c r="L83" s="537"/>
      <c r="M83" s="537"/>
      <c r="N83" s="131"/>
      <c r="O83" s="529"/>
      <c r="P83" s="530"/>
      <c r="Q83" s="530"/>
      <c r="R83" s="530"/>
      <c r="S83" s="530"/>
      <c r="T83" s="530"/>
      <c r="V83" s="536"/>
    </row>
    <row r="84" spans="1:22" x14ac:dyDescent="0.2">
      <c r="A84" s="261"/>
      <c r="O84" s="529"/>
      <c r="P84" s="530"/>
      <c r="Q84" s="530"/>
      <c r="R84" s="530"/>
      <c r="S84" s="530"/>
      <c r="T84" s="530"/>
      <c r="V84" s="536"/>
    </row>
    <row r="85" spans="1:22" x14ac:dyDescent="0.2">
      <c r="A85" s="261"/>
      <c r="O85" s="529"/>
      <c r="P85" s="530"/>
      <c r="Q85" s="530"/>
      <c r="R85" s="530"/>
      <c r="S85" s="530"/>
      <c r="T85" s="530"/>
      <c r="V85" s="536"/>
    </row>
    <row r="86" spans="1:22" x14ac:dyDescent="0.2">
      <c r="A86" s="261"/>
      <c r="O86" s="529"/>
      <c r="P86" s="530"/>
      <c r="Q86" s="530"/>
      <c r="R86" s="530"/>
      <c r="S86" s="530"/>
      <c r="T86" s="530"/>
      <c r="V86" s="536"/>
    </row>
    <row r="87" spans="1:22" x14ac:dyDescent="0.2">
      <c r="A87" s="261"/>
      <c r="O87" s="529"/>
      <c r="P87" s="530"/>
      <c r="Q87" s="530"/>
      <c r="R87" s="530"/>
      <c r="S87" s="530"/>
      <c r="T87" s="530"/>
      <c r="V87" s="536"/>
    </row>
    <row r="88" spans="1:22" x14ac:dyDescent="0.2">
      <c r="A88" s="261"/>
      <c r="O88" s="529"/>
      <c r="P88" s="530"/>
      <c r="Q88" s="530"/>
      <c r="R88" s="530"/>
      <c r="S88" s="530"/>
      <c r="T88" s="530"/>
      <c r="V88" s="536"/>
    </row>
    <row r="89" spans="1:22" x14ac:dyDescent="0.2">
      <c r="A89" s="261"/>
      <c r="O89" s="529"/>
      <c r="P89" s="530"/>
      <c r="Q89" s="530"/>
      <c r="R89" s="530"/>
      <c r="S89" s="530"/>
      <c r="T89" s="530"/>
      <c r="V89" s="536"/>
    </row>
    <row r="90" spans="1:22" x14ac:dyDescent="0.2">
      <c r="B90" s="463"/>
      <c r="D90" s="463"/>
      <c r="F90" s="463"/>
      <c r="H90" s="463"/>
      <c r="J90" s="463"/>
      <c r="L90" s="463"/>
      <c r="O90" s="529"/>
      <c r="P90" s="530"/>
      <c r="Q90" s="530"/>
      <c r="R90" s="530"/>
      <c r="S90" s="530"/>
      <c r="T90" s="530"/>
      <c r="V90" s="536"/>
    </row>
    <row r="91" spans="1:22" x14ac:dyDescent="0.2">
      <c r="A91" s="538"/>
      <c r="B91" s="521"/>
      <c r="C91" s="521"/>
      <c r="D91" s="521"/>
      <c r="E91" s="521"/>
      <c r="F91" s="521"/>
      <c r="G91" s="521"/>
      <c r="H91" s="521"/>
      <c r="I91" s="521"/>
      <c r="J91" s="521"/>
      <c r="K91" s="521"/>
      <c r="L91" s="521"/>
      <c r="M91" s="521"/>
      <c r="N91" s="521"/>
      <c r="O91" s="529"/>
      <c r="P91" s="530"/>
      <c r="Q91" s="530"/>
      <c r="R91" s="530"/>
      <c r="S91" s="530"/>
      <c r="T91" s="530"/>
      <c r="V91" s="536"/>
    </row>
    <row r="92" spans="1:22" x14ac:dyDescent="0.2">
      <c r="A92" s="523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29"/>
      <c r="P92" s="537"/>
      <c r="Q92" s="537"/>
      <c r="R92" s="537"/>
      <c r="S92" s="537"/>
      <c r="T92" s="537"/>
      <c r="V92" s="524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7"/>
      <c r="I127" s="537"/>
      <c r="J127" s="537"/>
      <c r="K127" s="537"/>
      <c r="L127" s="537"/>
      <c r="M127" s="537"/>
      <c r="N127" s="131"/>
    </row>
    <row r="128" spans="1:14" x14ac:dyDescent="0.2">
      <c r="A128" s="261"/>
    </row>
    <row r="129" spans="1:14" x14ac:dyDescent="0.2">
      <c r="B129" s="463"/>
      <c r="D129" s="463"/>
      <c r="F129" s="463"/>
      <c r="H129" s="463"/>
      <c r="J129" s="463"/>
      <c r="L129" s="463"/>
    </row>
    <row r="130" spans="1:14" x14ac:dyDescent="0.2">
      <c r="B130" s="520"/>
      <c r="C130" s="521"/>
      <c r="D130" s="521"/>
      <c r="E130" s="521"/>
      <c r="F130" s="521"/>
      <c r="G130" s="521"/>
      <c r="H130" s="521"/>
      <c r="I130" s="521"/>
      <c r="J130" s="521"/>
      <c r="K130" s="521"/>
      <c r="L130" s="521"/>
      <c r="M130" s="521"/>
      <c r="N130" s="521"/>
    </row>
    <row r="131" spans="1:14" x14ac:dyDescent="0.2">
      <c r="A131" s="523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39"/>
      <c r="K166" s="539"/>
      <c r="M166" s="539"/>
      <c r="N166" s="51"/>
    </row>
    <row r="167" spans="1:14" x14ac:dyDescent="0.2">
      <c r="N167" s="51"/>
    </row>
    <row r="171" spans="1:14" x14ac:dyDescent="0.2">
      <c r="B171" s="463"/>
      <c r="D171" s="463"/>
      <c r="F171" s="463"/>
      <c r="H171" s="463"/>
      <c r="J171" s="463"/>
      <c r="L171" s="463"/>
    </row>
    <row r="172" spans="1:14" x14ac:dyDescent="0.2">
      <c r="B172" s="520"/>
      <c r="C172" s="521"/>
      <c r="D172" s="521"/>
      <c r="E172" s="521"/>
      <c r="F172" s="521"/>
      <c r="G172" s="521"/>
      <c r="H172" s="521"/>
      <c r="I172" s="521"/>
      <c r="J172" s="521"/>
      <c r="K172" s="521"/>
      <c r="L172" s="521"/>
      <c r="M172" s="521"/>
    </row>
    <row r="173" spans="1:14" x14ac:dyDescent="0.2">
      <c r="A173" s="523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39"/>
      <c r="K208" s="539"/>
      <c r="M208" s="539"/>
    </row>
    <row r="214" spans="1:13" x14ac:dyDescent="0.2">
      <c r="B214" s="463"/>
      <c r="D214" s="463"/>
      <c r="F214" s="463"/>
      <c r="H214" s="463"/>
      <c r="J214" s="463"/>
      <c r="L214" s="463"/>
    </row>
    <row r="215" spans="1:13" x14ac:dyDescent="0.2">
      <c r="B215" s="520"/>
      <c r="C215" s="521"/>
      <c r="D215" s="521"/>
      <c r="E215" s="521"/>
      <c r="F215" s="521"/>
      <c r="G215" s="521"/>
      <c r="H215" s="521"/>
      <c r="I215" s="521"/>
      <c r="J215" s="521"/>
      <c r="K215" s="521"/>
      <c r="L215" s="521"/>
      <c r="M215" s="521"/>
    </row>
    <row r="216" spans="1:13" x14ac:dyDescent="0.2">
      <c r="A216" s="523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39"/>
      <c r="K251" s="539"/>
      <c r="M251" s="539"/>
    </row>
    <row r="256" spans="1:21" x14ac:dyDescent="0.2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">
      <c r="B257" s="520"/>
      <c r="C257" s="521"/>
      <c r="D257" s="521"/>
      <c r="E257" s="521"/>
      <c r="F257" s="521"/>
      <c r="G257" s="521"/>
      <c r="H257" s="521"/>
      <c r="I257" s="521"/>
      <c r="J257" s="521"/>
      <c r="K257" s="521"/>
      <c r="L257" s="521"/>
      <c r="M257" s="521"/>
      <c r="O257" s="520"/>
      <c r="P257" s="521"/>
      <c r="Q257" s="521"/>
      <c r="R257" s="521"/>
      <c r="S257" s="521"/>
      <c r="T257" s="521"/>
      <c r="U257" s="521"/>
      <c r="V257" s="521"/>
      <c r="W257" s="521"/>
    </row>
    <row r="258" spans="1:23" x14ac:dyDescent="0.2">
      <c r="A258" s="523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3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39"/>
      <c r="K293" s="539"/>
      <c r="M293" s="539"/>
      <c r="V293" s="539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3"/>
      <c r="Q297" s="463"/>
      <c r="S297" s="463"/>
      <c r="U297" s="463"/>
    </row>
    <row r="298" spans="1:23" x14ac:dyDescent="0.2">
      <c r="O298" s="520"/>
      <c r="P298" s="521"/>
      <c r="Q298" s="521"/>
      <c r="R298" s="521"/>
      <c r="S298" s="521"/>
      <c r="T298" s="521"/>
      <c r="U298" s="521"/>
      <c r="V298" s="521"/>
      <c r="W298" s="521"/>
    </row>
    <row r="299" spans="1:23" x14ac:dyDescent="0.2">
      <c r="N299" s="523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40"/>
      <c r="W336" s="51"/>
    </row>
    <row r="339" spans="14:23" x14ac:dyDescent="0.2">
      <c r="O339" s="463"/>
      <c r="Q339" s="463"/>
      <c r="S339" s="463"/>
      <c r="U339" s="463"/>
    </row>
    <row r="340" spans="14:23" x14ac:dyDescent="0.2">
      <c r="O340" s="520"/>
      <c r="P340" s="521"/>
      <c r="Q340" s="521"/>
      <c r="R340" s="521"/>
      <c r="S340" s="521"/>
      <c r="T340" s="521"/>
      <c r="U340" s="521"/>
      <c r="V340" s="521"/>
      <c r="W340" s="521"/>
    </row>
    <row r="341" spans="14:23" x14ac:dyDescent="0.2">
      <c r="N341" s="523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19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40"/>
      <c r="W378" s="541"/>
    </row>
    <row r="381" spans="14:23" x14ac:dyDescent="0.2">
      <c r="O381" s="463"/>
      <c r="Q381" s="463"/>
      <c r="S381" s="463"/>
      <c r="U381" s="463"/>
    </row>
    <row r="382" spans="14:23" x14ac:dyDescent="0.2">
      <c r="O382" s="520"/>
      <c r="P382" s="521"/>
      <c r="Q382" s="521"/>
      <c r="R382" s="521"/>
      <c r="S382" s="521"/>
      <c r="T382" s="521"/>
      <c r="U382" s="521"/>
      <c r="V382" s="521"/>
      <c r="W382" s="521"/>
    </row>
    <row r="383" spans="14:23" x14ac:dyDescent="0.2">
      <c r="N383" s="523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19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40"/>
      <c r="W420" s="541"/>
    </row>
    <row r="425" spans="14:23" x14ac:dyDescent="0.2">
      <c r="O425" s="463"/>
      <c r="Q425" s="463"/>
      <c r="S425" s="463"/>
      <c r="U425" s="463"/>
    </row>
    <row r="426" spans="14:23" x14ac:dyDescent="0.2">
      <c r="O426" s="520"/>
      <c r="P426" s="521"/>
      <c r="Q426" s="521"/>
      <c r="R426" s="521"/>
      <c r="S426" s="521"/>
      <c r="T426" s="521"/>
      <c r="U426" s="521"/>
      <c r="V426" s="521"/>
      <c r="W426" s="521"/>
    </row>
    <row r="427" spans="14:23" x14ac:dyDescent="0.2">
      <c r="N427" s="523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19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40"/>
      <c r="W464" s="51"/>
    </row>
    <row r="467" spans="14:33" x14ac:dyDescent="0.2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">
      <c r="O468" s="520"/>
      <c r="P468" s="521"/>
      <c r="Q468" s="521"/>
      <c r="R468" s="521"/>
      <c r="S468" s="521"/>
      <c r="T468" s="521"/>
      <c r="U468" s="521"/>
      <c r="V468" s="521"/>
      <c r="W468" s="521"/>
      <c r="Y468" s="520"/>
      <c r="Z468" s="521"/>
      <c r="AA468" s="521"/>
      <c r="AB468" s="521"/>
      <c r="AC468" s="521"/>
      <c r="AD468" s="521"/>
      <c r="AE468" s="521"/>
      <c r="AF468" s="521"/>
      <c r="AG468" s="521"/>
    </row>
    <row r="469" spans="14:33" x14ac:dyDescent="0.2">
      <c r="N469" s="523"/>
      <c r="O469" s="464"/>
      <c r="P469" s="464"/>
      <c r="Q469" s="464"/>
      <c r="R469" s="464"/>
      <c r="S469" s="464"/>
      <c r="T469" s="464"/>
      <c r="U469" s="464"/>
      <c r="V469" s="464"/>
      <c r="W469" s="464"/>
      <c r="X469" s="523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19"/>
      <c r="P504" s="131"/>
      <c r="R504" s="131"/>
      <c r="T504" s="131"/>
      <c r="V504" s="131"/>
      <c r="W504" s="51"/>
      <c r="X504" s="519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40"/>
      <c r="W506" s="51"/>
      <c r="X506" s="540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8" workbookViewId="0">
      <selection activeCell="C48" sqref="C48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">
      <c r="A9" s="10">
        <v>3</v>
      </c>
      <c r="B9" s="11">
        <v>142966</v>
      </c>
      <c r="C9" s="11">
        <v>142375</v>
      </c>
      <c r="D9" s="25">
        <f t="shared" ref="D9:D37" si="0">+C9-B9</f>
        <v>-591</v>
      </c>
    </row>
    <row r="10" spans="1:4" x14ac:dyDescent="0.2">
      <c r="A10" s="10">
        <v>4</v>
      </c>
      <c r="B10" s="11">
        <v>136982</v>
      </c>
      <c r="C10" s="11">
        <v>136328</v>
      </c>
      <c r="D10" s="25">
        <f t="shared" si="0"/>
        <v>-654</v>
      </c>
    </row>
    <row r="11" spans="1:4" x14ac:dyDescent="0.2">
      <c r="A11" s="10">
        <v>5</v>
      </c>
      <c r="B11" s="129">
        <v>129996</v>
      </c>
      <c r="C11" s="11">
        <v>129960</v>
      </c>
      <c r="D11" s="25">
        <f t="shared" si="0"/>
        <v>-36</v>
      </c>
    </row>
    <row r="12" spans="1:4" x14ac:dyDescent="0.2">
      <c r="A12" s="10">
        <v>6</v>
      </c>
      <c r="B12" s="11">
        <v>145458</v>
      </c>
      <c r="C12" s="11">
        <v>145113</v>
      </c>
      <c r="D12" s="25">
        <f t="shared" si="0"/>
        <v>-345</v>
      </c>
    </row>
    <row r="13" spans="1:4" x14ac:dyDescent="0.2">
      <c r="A13" s="10">
        <v>7</v>
      </c>
      <c r="B13" s="129">
        <v>140099</v>
      </c>
      <c r="C13" s="11">
        <v>139463</v>
      </c>
      <c r="D13" s="25">
        <f t="shared" si="0"/>
        <v>-636</v>
      </c>
    </row>
    <row r="14" spans="1:4" x14ac:dyDescent="0.2">
      <c r="A14" s="10">
        <v>8</v>
      </c>
      <c r="B14" s="11">
        <v>162210</v>
      </c>
      <c r="C14" s="11">
        <v>160263</v>
      </c>
      <c r="D14" s="25">
        <f t="shared" si="0"/>
        <v>-1947</v>
      </c>
    </row>
    <row r="15" spans="1:4" x14ac:dyDescent="0.2">
      <c r="A15" s="10">
        <v>9</v>
      </c>
      <c r="B15" s="11">
        <v>148158</v>
      </c>
      <c r="C15" s="11">
        <v>147714</v>
      </c>
      <c r="D15" s="25">
        <f t="shared" si="0"/>
        <v>-444</v>
      </c>
    </row>
    <row r="16" spans="1:4" x14ac:dyDescent="0.2">
      <c r="A16" s="10">
        <v>10</v>
      </c>
      <c r="B16" s="11">
        <v>147931</v>
      </c>
      <c r="C16" s="11">
        <v>147714</v>
      </c>
      <c r="D16" s="25">
        <f t="shared" si="0"/>
        <v>-217</v>
      </c>
    </row>
    <row r="17" spans="1:4" x14ac:dyDescent="0.2">
      <c r="A17" s="10">
        <v>11</v>
      </c>
      <c r="B17" s="11">
        <v>133006</v>
      </c>
      <c r="C17" s="11">
        <v>132704</v>
      </c>
      <c r="D17" s="25">
        <f t="shared" si="0"/>
        <v>-302</v>
      </c>
    </row>
    <row r="18" spans="1:4" x14ac:dyDescent="0.2">
      <c r="A18" s="10">
        <v>12</v>
      </c>
      <c r="B18" s="11">
        <v>154943</v>
      </c>
      <c r="C18" s="11">
        <v>155214</v>
      </c>
      <c r="D18" s="25">
        <f t="shared" si="0"/>
        <v>271</v>
      </c>
    </row>
    <row r="19" spans="1:4" x14ac:dyDescent="0.2">
      <c r="A19" s="10">
        <v>13</v>
      </c>
      <c r="B19" s="11">
        <v>112317</v>
      </c>
      <c r="C19" s="11">
        <v>111466</v>
      </c>
      <c r="D19" s="25">
        <f t="shared" si="0"/>
        <v>-851</v>
      </c>
    </row>
    <row r="20" spans="1:4" x14ac:dyDescent="0.2">
      <c r="A20" s="10">
        <v>14</v>
      </c>
      <c r="B20" s="11">
        <v>150744</v>
      </c>
      <c r="C20" s="11">
        <v>150756</v>
      </c>
      <c r="D20" s="25">
        <f t="shared" si="0"/>
        <v>12</v>
      </c>
    </row>
    <row r="21" spans="1:4" x14ac:dyDescent="0.2">
      <c r="A21" s="10">
        <v>15</v>
      </c>
      <c r="B21" s="11">
        <v>155104</v>
      </c>
      <c r="C21" s="11">
        <v>155263</v>
      </c>
      <c r="D21" s="25">
        <f t="shared" si="0"/>
        <v>159</v>
      </c>
    </row>
    <row r="22" spans="1:4" x14ac:dyDescent="0.2">
      <c r="A22" s="10">
        <v>16</v>
      </c>
      <c r="B22" s="11">
        <v>155250</v>
      </c>
      <c r="C22" s="11">
        <v>155262</v>
      </c>
      <c r="D22" s="25">
        <f t="shared" si="0"/>
        <v>12</v>
      </c>
    </row>
    <row r="23" spans="1:4" x14ac:dyDescent="0.2">
      <c r="A23" s="10">
        <v>17</v>
      </c>
      <c r="B23" s="11">
        <v>169771</v>
      </c>
      <c r="C23" s="11">
        <v>171441</v>
      </c>
      <c r="D23" s="25">
        <f t="shared" si="0"/>
        <v>1670</v>
      </c>
    </row>
    <row r="24" spans="1:4" x14ac:dyDescent="0.2">
      <c r="A24" s="10">
        <v>18</v>
      </c>
      <c r="B24" s="11">
        <v>165548</v>
      </c>
      <c r="C24" s="11">
        <v>172019</v>
      </c>
      <c r="D24" s="25">
        <f t="shared" si="0"/>
        <v>6471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2628291</v>
      </c>
      <c r="C38" s="11">
        <f>SUM(C7:C37)</f>
        <v>2630537</v>
      </c>
      <c r="D38" s="11">
        <f>SUM(D7:D37)</f>
        <v>2246</v>
      </c>
    </row>
    <row r="39" spans="1:8" x14ac:dyDescent="0.2">
      <c r="A39" s="26"/>
      <c r="C39" s="14"/>
      <c r="D39" s="106">
        <f>+summary!G3</f>
        <v>2.09</v>
      </c>
    </row>
    <row r="40" spans="1:8" x14ac:dyDescent="0.2">
      <c r="D40" s="138">
        <f>+D39*D38</f>
        <v>4694.1399999999994</v>
      </c>
      <c r="H40">
        <v>20</v>
      </c>
    </row>
    <row r="41" spans="1:8" x14ac:dyDescent="0.2">
      <c r="A41" s="57">
        <v>37287</v>
      </c>
      <c r="C41" s="15"/>
      <c r="D41" s="597">
        <v>-61603.360000000001</v>
      </c>
      <c r="H41">
        <v>530</v>
      </c>
    </row>
    <row r="42" spans="1:8" x14ac:dyDescent="0.2">
      <c r="A42" s="57">
        <v>37305</v>
      </c>
      <c r="D42" s="319">
        <f>+D41+D40</f>
        <v>-56909.22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148</v>
      </c>
      <c r="B46" s="32"/>
      <c r="C46" s="32"/>
      <c r="D46" s="32"/>
    </row>
    <row r="47" spans="1:8" x14ac:dyDescent="0.2">
      <c r="A47" s="49">
        <f>+A41</f>
        <v>37287</v>
      </c>
      <c r="B47" s="32"/>
      <c r="C47" s="32"/>
      <c r="D47" s="567">
        <v>-29617</v>
      </c>
    </row>
    <row r="48" spans="1:8" x14ac:dyDescent="0.2">
      <c r="A48" s="49">
        <f>+A42</f>
        <v>37305</v>
      </c>
      <c r="B48" s="32"/>
      <c r="C48" s="32"/>
      <c r="D48" s="349">
        <f>+D38</f>
        <v>2246</v>
      </c>
    </row>
    <row r="49" spans="1:4" x14ac:dyDescent="0.2">
      <c r="A49" s="32"/>
      <c r="B49" s="32"/>
      <c r="C49" s="32"/>
      <c r="D49" s="14">
        <f>+D48+D47</f>
        <v>-27371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31" workbookViewId="0">
      <selection activeCell="C46" sqref="C46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">
      <c r="A10" s="10">
        <v>7</v>
      </c>
      <c r="B10" s="129">
        <v>-248856</v>
      </c>
      <c r="C10" s="11">
        <v>-248311</v>
      </c>
      <c r="D10" s="25">
        <f t="shared" si="0"/>
        <v>545</v>
      </c>
    </row>
    <row r="11" spans="1:4" x14ac:dyDescent="0.2">
      <c r="A11" s="10">
        <v>8</v>
      </c>
      <c r="B11" s="11">
        <v>-264991</v>
      </c>
      <c r="C11" s="11">
        <v>-264300</v>
      </c>
      <c r="D11" s="25">
        <f t="shared" si="0"/>
        <v>691</v>
      </c>
    </row>
    <row r="12" spans="1:4" x14ac:dyDescent="0.2">
      <c r="A12" s="10">
        <v>9</v>
      </c>
      <c r="B12" s="11">
        <v>-253917</v>
      </c>
      <c r="C12" s="11">
        <v>-251967</v>
      </c>
      <c r="D12" s="25">
        <f t="shared" si="0"/>
        <v>1950</v>
      </c>
    </row>
    <row r="13" spans="1:4" x14ac:dyDescent="0.2">
      <c r="A13" s="10">
        <v>10</v>
      </c>
      <c r="B13" s="11">
        <v>-244921</v>
      </c>
      <c r="C13" s="11">
        <v>-244417</v>
      </c>
      <c r="D13" s="25">
        <f t="shared" si="0"/>
        <v>504</v>
      </c>
    </row>
    <row r="14" spans="1:4" x14ac:dyDescent="0.2">
      <c r="A14" s="10">
        <v>11</v>
      </c>
      <c r="B14" s="11">
        <v>-228979</v>
      </c>
      <c r="C14" s="11">
        <v>-229000</v>
      </c>
      <c r="D14" s="25">
        <f t="shared" si="0"/>
        <v>-21</v>
      </c>
    </row>
    <row r="15" spans="1:4" x14ac:dyDescent="0.2">
      <c r="A15" s="10">
        <v>12</v>
      </c>
      <c r="B15" s="11">
        <v>-229532</v>
      </c>
      <c r="C15" s="11">
        <v>-228999</v>
      </c>
      <c r="D15" s="25">
        <f t="shared" si="0"/>
        <v>533</v>
      </c>
    </row>
    <row r="16" spans="1:4" x14ac:dyDescent="0.2">
      <c r="A16" s="10">
        <v>13</v>
      </c>
      <c r="B16" s="11">
        <v>-227809</v>
      </c>
      <c r="C16" s="11">
        <v>-226276</v>
      </c>
      <c r="D16" s="25">
        <f t="shared" si="0"/>
        <v>1533</v>
      </c>
    </row>
    <row r="17" spans="1:4" x14ac:dyDescent="0.2">
      <c r="A17" s="10">
        <v>14</v>
      </c>
      <c r="B17" s="11">
        <v>-224634</v>
      </c>
      <c r="C17" s="11">
        <v>-224000</v>
      </c>
      <c r="D17" s="25">
        <f t="shared" si="0"/>
        <v>634</v>
      </c>
    </row>
    <row r="18" spans="1:4" x14ac:dyDescent="0.2">
      <c r="A18" s="10">
        <v>15</v>
      </c>
      <c r="B18" s="11">
        <v>-229328</v>
      </c>
      <c r="C18" s="11">
        <v>-229000</v>
      </c>
      <c r="D18" s="25">
        <f t="shared" si="0"/>
        <v>328</v>
      </c>
    </row>
    <row r="19" spans="1:4" x14ac:dyDescent="0.2">
      <c r="A19" s="10">
        <v>16</v>
      </c>
      <c r="B19" s="11">
        <v>-254408</v>
      </c>
      <c r="C19" s="11">
        <v>-254408</v>
      </c>
      <c r="D19" s="25">
        <f t="shared" si="0"/>
        <v>0</v>
      </c>
    </row>
    <row r="20" spans="1:4" x14ac:dyDescent="0.2">
      <c r="A20" s="10">
        <v>17</v>
      </c>
      <c r="B20" s="11">
        <v>-254405</v>
      </c>
      <c r="C20" s="11">
        <v>-254408</v>
      </c>
      <c r="D20" s="25">
        <f t="shared" si="0"/>
        <v>-3</v>
      </c>
    </row>
    <row r="21" spans="1:4" x14ac:dyDescent="0.2">
      <c r="A21" s="10">
        <v>18</v>
      </c>
      <c r="B21" s="129">
        <v>-254411</v>
      </c>
      <c r="C21" s="11">
        <v>-254408</v>
      </c>
      <c r="D21" s="25">
        <f t="shared" si="0"/>
        <v>3</v>
      </c>
    </row>
    <row r="22" spans="1:4" x14ac:dyDescent="0.2">
      <c r="A22" s="10">
        <v>19</v>
      </c>
      <c r="B22" s="129">
        <v>-254111</v>
      </c>
      <c r="C22" s="11">
        <v>-254408</v>
      </c>
      <c r="D22" s="25">
        <f t="shared" si="0"/>
        <v>-297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-4646022</v>
      </c>
      <c r="C35" s="11">
        <f>SUM(C4:C34)</f>
        <v>-4632717</v>
      </c>
      <c r="D35" s="11">
        <f>SUM(D4:D34)</f>
        <v>13305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37287</v>
      </c>
      <c r="D38" s="575">
        <v>28722</v>
      </c>
    </row>
    <row r="39" spans="1:30" x14ac:dyDescent="0.2">
      <c r="A39" s="12"/>
      <c r="D39" s="51"/>
    </row>
    <row r="40" spans="1:30" x14ac:dyDescent="0.2">
      <c r="A40" s="245">
        <v>37306</v>
      </c>
      <c r="D40" s="51">
        <f>+D38+D35</f>
        <v>42027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149</v>
      </c>
      <c r="B44" s="32"/>
      <c r="C44" s="32"/>
      <c r="D44" s="471"/>
      <c r="K44"/>
    </row>
    <row r="45" spans="1:30" x14ac:dyDescent="0.2">
      <c r="A45" s="49">
        <f>+A38</f>
        <v>37287</v>
      </c>
      <c r="B45" s="32"/>
      <c r="C45" s="32"/>
      <c r="D45" s="574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37306</v>
      </c>
      <c r="B46" s="32"/>
      <c r="C46" s="32"/>
      <c r="D46" s="374">
        <f>+D35*'by type_area'!G4</f>
        <v>27674.400000000001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-115994.6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31" workbookViewId="0">
      <selection activeCell="D47" sqref="D47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">
      <c r="A10" s="10">
        <v>7</v>
      </c>
      <c r="B10" s="129">
        <v>-669282</v>
      </c>
      <c r="C10" s="11">
        <v>-667521</v>
      </c>
      <c r="D10" s="129"/>
      <c r="E10" s="11"/>
      <c r="F10" s="25">
        <f t="shared" si="0"/>
        <v>1761</v>
      </c>
      <c r="H10" s="10"/>
      <c r="I10" s="11"/>
    </row>
    <row r="11" spans="1:11" x14ac:dyDescent="0.2">
      <c r="A11" s="10">
        <v>8</v>
      </c>
      <c r="B11" s="11">
        <v>-671065</v>
      </c>
      <c r="C11" s="11">
        <v>-664800</v>
      </c>
      <c r="D11" s="11"/>
      <c r="E11" s="11"/>
      <c r="F11" s="25">
        <f t="shared" si="0"/>
        <v>6265</v>
      </c>
      <c r="H11" s="10"/>
      <c r="I11" s="11"/>
    </row>
    <row r="12" spans="1:11" x14ac:dyDescent="0.2">
      <c r="A12" s="10">
        <v>9</v>
      </c>
      <c r="B12" s="11">
        <v>-571431</v>
      </c>
      <c r="C12" s="11">
        <v>-572711</v>
      </c>
      <c r="D12" s="11"/>
      <c r="E12" s="11"/>
      <c r="F12" s="25">
        <f t="shared" si="0"/>
        <v>-1280</v>
      </c>
      <c r="H12" s="10"/>
      <c r="I12" s="11"/>
    </row>
    <row r="13" spans="1:11" x14ac:dyDescent="0.2">
      <c r="A13" s="10">
        <v>10</v>
      </c>
      <c r="B13" s="11">
        <v>-571738</v>
      </c>
      <c r="C13" s="11">
        <v>-572576</v>
      </c>
      <c r="D13" s="129"/>
      <c r="E13" s="11"/>
      <c r="F13" s="25">
        <f t="shared" si="0"/>
        <v>-838</v>
      </c>
      <c r="H13" s="10"/>
      <c r="I13" s="11"/>
    </row>
    <row r="14" spans="1:11" x14ac:dyDescent="0.2">
      <c r="A14" s="10">
        <v>11</v>
      </c>
      <c r="B14" s="11">
        <v>-563485</v>
      </c>
      <c r="C14" s="11">
        <v>-560934</v>
      </c>
      <c r="D14" s="11"/>
      <c r="E14" s="11"/>
      <c r="F14" s="25">
        <f t="shared" si="0"/>
        <v>2551</v>
      </c>
      <c r="H14" s="10"/>
      <c r="I14" s="11"/>
    </row>
    <row r="15" spans="1:11" x14ac:dyDescent="0.2">
      <c r="A15" s="10">
        <v>12</v>
      </c>
      <c r="B15" s="11">
        <v>-581906</v>
      </c>
      <c r="C15" s="11">
        <v>-589362</v>
      </c>
      <c r="D15" s="11"/>
      <c r="E15" s="11"/>
      <c r="F15" s="25">
        <f t="shared" si="0"/>
        <v>-7456</v>
      </c>
      <c r="H15" s="10"/>
      <c r="I15" s="11"/>
    </row>
    <row r="16" spans="1:11" x14ac:dyDescent="0.2">
      <c r="A16" s="10">
        <v>13</v>
      </c>
      <c r="B16" s="11">
        <v>-571728</v>
      </c>
      <c r="C16" s="11">
        <v>-541916</v>
      </c>
      <c r="D16" s="11"/>
      <c r="E16" s="11"/>
      <c r="F16" s="25">
        <f t="shared" si="0"/>
        <v>29812</v>
      </c>
      <c r="H16" s="10"/>
      <c r="I16" s="11"/>
      <c r="K16" s="25"/>
    </row>
    <row r="17" spans="1:11" x14ac:dyDescent="0.2">
      <c r="A17" s="10">
        <v>14</v>
      </c>
      <c r="B17" s="11">
        <v>-592118</v>
      </c>
      <c r="C17" s="11">
        <v>-607600</v>
      </c>
      <c r="D17" s="11"/>
      <c r="E17" s="11"/>
      <c r="F17" s="25">
        <f t="shared" si="0"/>
        <v>-15482</v>
      </c>
      <c r="H17" s="10"/>
      <c r="I17" s="11"/>
    </row>
    <row r="18" spans="1:11" x14ac:dyDescent="0.2">
      <c r="A18" s="10">
        <v>15</v>
      </c>
      <c r="B18" s="11">
        <v>-631385</v>
      </c>
      <c r="C18" s="11">
        <v>-629596</v>
      </c>
      <c r="D18" s="11"/>
      <c r="E18" s="11"/>
      <c r="F18" s="25">
        <f t="shared" si="0"/>
        <v>1789</v>
      </c>
      <c r="H18" s="10"/>
      <c r="I18" s="11"/>
    </row>
    <row r="19" spans="1:11" x14ac:dyDescent="0.2">
      <c r="A19" s="10">
        <v>16</v>
      </c>
      <c r="B19" s="11">
        <v>-650691</v>
      </c>
      <c r="C19" s="11">
        <v>-642137</v>
      </c>
      <c r="D19" s="11"/>
      <c r="E19" s="11"/>
      <c r="F19" s="25">
        <f t="shared" si="0"/>
        <v>8554</v>
      </c>
      <c r="H19" s="10"/>
      <c r="I19" s="11"/>
    </row>
    <row r="20" spans="1:11" x14ac:dyDescent="0.2">
      <c r="A20" s="10">
        <v>17</v>
      </c>
      <c r="B20" s="11">
        <v>-643787</v>
      </c>
      <c r="C20" s="11">
        <v>-645105</v>
      </c>
      <c r="D20" s="11"/>
      <c r="E20" s="11"/>
      <c r="F20" s="25">
        <f t="shared" si="0"/>
        <v>-1318</v>
      </c>
      <c r="H20" s="10"/>
      <c r="I20" s="11"/>
    </row>
    <row r="21" spans="1:11" x14ac:dyDescent="0.2">
      <c r="A21" s="10">
        <v>18</v>
      </c>
      <c r="B21" s="11">
        <v>-627703</v>
      </c>
      <c r="C21" s="11">
        <v>-630123</v>
      </c>
      <c r="D21" s="11"/>
      <c r="E21" s="11"/>
      <c r="F21" s="25">
        <f t="shared" si="0"/>
        <v>-2420</v>
      </c>
      <c r="H21" s="10"/>
      <c r="I21" s="11"/>
    </row>
    <row r="22" spans="1:11" x14ac:dyDescent="0.2">
      <c r="A22" s="10">
        <v>19</v>
      </c>
      <c r="B22" s="129">
        <v>-614723</v>
      </c>
      <c r="C22" s="11">
        <v>-633922</v>
      </c>
      <c r="D22" s="11"/>
      <c r="E22" s="11"/>
      <c r="F22" s="25">
        <f t="shared" si="0"/>
        <v>-19199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-11550534</v>
      </c>
      <c r="C35" s="11">
        <f>SUM(C4:C34)</f>
        <v>-11564731</v>
      </c>
      <c r="D35" s="11">
        <f>SUM(D4:D34)</f>
        <v>0</v>
      </c>
      <c r="E35" s="11">
        <f>SUM(E4:E34)</f>
        <v>0</v>
      </c>
      <c r="F35" s="11">
        <f>SUM(F4:F34)</f>
        <v>-14197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37287</v>
      </c>
      <c r="D38" s="246"/>
      <c r="E38" s="246"/>
      <c r="F38" s="576">
        <v>94012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37306</v>
      </c>
      <c r="D40" s="246"/>
      <c r="E40" s="246"/>
      <c r="F40" s="51">
        <f>+F38+F35</f>
        <v>79815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149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37287</v>
      </c>
      <c r="B45" s="32"/>
      <c r="C45" s="32"/>
      <c r="D45" s="574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37306</v>
      </c>
      <c r="B46" s="32"/>
      <c r="C46" s="32"/>
      <c r="D46" s="472">
        <f>+F35*'by type_area'!G4</f>
        <v>-29529.760000000002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0">
        <f>+D46+D45</f>
        <v>280738.24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1" workbookViewId="0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0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1" t="s">
        <v>49</v>
      </c>
      <c r="Q3" s="512" t="s">
        <v>15</v>
      </c>
      <c r="R3" s="513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-41922</v>
      </c>
      <c r="C10" s="11">
        <v>-5885</v>
      </c>
      <c r="D10" s="11"/>
      <c r="E10" s="11">
        <v>-34934</v>
      </c>
      <c r="F10" s="11"/>
      <c r="G10" s="11"/>
      <c r="H10" s="11">
        <f t="shared" si="0"/>
        <v>1103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-54425</v>
      </c>
      <c r="C11" s="11">
        <v>217</v>
      </c>
      <c r="D11" s="129"/>
      <c r="E11" s="11">
        <v>-54667</v>
      </c>
      <c r="F11" s="11"/>
      <c r="G11" s="11"/>
      <c r="H11" s="11">
        <f t="shared" si="0"/>
        <v>-25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-59844</v>
      </c>
      <c r="C12" s="11">
        <v>-9648</v>
      </c>
      <c r="D12" s="11"/>
      <c r="E12" s="11">
        <v>-49867</v>
      </c>
      <c r="F12" s="11"/>
      <c r="G12" s="11"/>
      <c r="H12" s="11">
        <f t="shared" si="0"/>
        <v>329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-59937</v>
      </c>
      <c r="C13" s="11">
        <v>-9648</v>
      </c>
      <c r="D13" s="11"/>
      <c r="E13" s="129">
        <v>-49867</v>
      </c>
      <c r="F13" s="11"/>
      <c r="G13" s="11"/>
      <c r="H13" s="11">
        <f t="shared" si="0"/>
        <v>422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-60137</v>
      </c>
      <c r="C14" s="11">
        <v>-9648</v>
      </c>
      <c r="D14" s="11"/>
      <c r="E14" s="11">
        <v>-49867</v>
      </c>
      <c r="F14" s="11"/>
      <c r="G14" s="11"/>
      <c r="H14" s="11">
        <f t="shared" si="0"/>
        <v>622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-64767</v>
      </c>
      <c r="C15" s="11">
        <v>-33560</v>
      </c>
      <c r="D15" s="11"/>
      <c r="E15" s="11">
        <v>-29867</v>
      </c>
      <c r="F15" s="11"/>
      <c r="G15" s="11"/>
      <c r="H15" s="11">
        <f t="shared" si="0"/>
        <v>1340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-84784</v>
      </c>
      <c r="C16" s="11">
        <v>-54883</v>
      </c>
      <c r="D16" s="11"/>
      <c r="E16" s="11">
        <v>-29867</v>
      </c>
      <c r="F16" s="11"/>
      <c r="G16" s="11"/>
      <c r="H16" s="11">
        <f t="shared" si="0"/>
        <v>34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-66968</v>
      </c>
      <c r="C17" s="11">
        <v>-37416</v>
      </c>
      <c r="D17" s="11"/>
      <c r="E17" s="11">
        <v>-29867</v>
      </c>
      <c r="F17" s="11"/>
      <c r="G17" s="11"/>
      <c r="H17" s="11">
        <f>+G17+E17+C17-F17-D17-B17</f>
        <v>-315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-34062</v>
      </c>
      <c r="C18" s="11">
        <v>-4718</v>
      </c>
      <c r="D18" s="11"/>
      <c r="E18" s="11">
        <v>-29867</v>
      </c>
      <c r="F18" s="11"/>
      <c r="G18" s="11"/>
      <c r="H18" s="11">
        <f>+G18+E18+C18-F18-D18-B18</f>
        <v>-523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-44107</v>
      </c>
      <c r="C19" s="11">
        <v>-6327</v>
      </c>
      <c r="D19" s="11"/>
      <c r="E19" s="11">
        <v>-37867</v>
      </c>
      <c r="F19" s="11"/>
      <c r="G19" s="11"/>
      <c r="H19" s="11">
        <f t="shared" si="0"/>
        <v>-87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>
        <v>-44107</v>
      </c>
      <c r="C20" s="11">
        <v>-6327</v>
      </c>
      <c r="D20" s="11"/>
      <c r="E20" s="11">
        <v>-37867</v>
      </c>
      <c r="F20" s="11"/>
      <c r="G20" s="11"/>
      <c r="H20" s="11">
        <f t="shared" si="0"/>
        <v>-87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-44293</v>
      </c>
      <c r="C21" s="11">
        <v>-6327</v>
      </c>
      <c r="D21" s="11"/>
      <c r="E21" s="11">
        <v>-37867</v>
      </c>
      <c r="F21" s="11"/>
      <c r="G21" s="11"/>
      <c r="H21" s="11">
        <f t="shared" si="0"/>
        <v>99</v>
      </c>
      <c r="I21" s="11"/>
      <c r="J21" s="102"/>
      <c r="K21" s="502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2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2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2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2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2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2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2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2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2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2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2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2"/>
      <c r="L34" s="11"/>
      <c r="M34" s="11"/>
      <c r="N34" s="11"/>
    </row>
    <row r="35" spans="1:14" x14ac:dyDescent="0.2">
      <c r="A35" s="41"/>
      <c r="B35" s="11">
        <f t="shared" ref="B35:H35" si="3">SUM(B4:B34)</f>
        <v>-852647</v>
      </c>
      <c r="C35" s="44">
        <f t="shared" si="3"/>
        <v>-184842</v>
      </c>
      <c r="D35" s="11">
        <f t="shared" si="3"/>
        <v>0</v>
      </c>
      <c r="E35" s="44">
        <f t="shared" si="3"/>
        <v>-664734</v>
      </c>
      <c r="F35" s="11">
        <f t="shared" si="3"/>
        <v>0</v>
      </c>
      <c r="G35" s="11">
        <f t="shared" si="3"/>
        <v>0</v>
      </c>
      <c r="H35" s="11">
        <f t="shared" si="3"/>
        <v>3071</v>
      </c>
      <c r="I35" s="11"/>
      <c r="J35" s="102"/>
      <c r="K35" s="502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2.08</v>
      </c>
      <c r="I36" s="11"/>
      <c r="J36" s="102"/>
      <c r="K36" s="502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6387.68</v>
      </c>
      <c r="I37" s="11"/>
      <c r="J37" s="102"/>
      <c r="K37" s="502"/>
      <c r="L37" s="11"/>
      <c r="M37" s="11"/>
      <c r="N37" s="11"/>
    </row>
    <row r="38" spans="1:14" x14ac:dyDescent="0.2">
      <c r="C38" s="24"/>
      <c r="D38" s="47"/>
      <c r="E38" s="474">
        <v>37287</v>
      </c>
      <c r="F38" s="471"/>
      <c r="G38" s="265"/>
      <c r="H38" s="490">
        <v>9867</v>
      </c>
      <c r="I38" s="262"/>
      <c r="J38" s="102"/>
      <c r="K38" s="503"/>
      <c r="L38" s="14"/>
      <c r="M38" s="14"/>
      <c r="N38" s="16"/>
    </row>
    <row r="39" spans="1:14" x14ac:dyDescent="0.2">
      <c r="C39" s="14"/>
      <c r="D39" s="47"/>
      <c r="E39" s="263">
        <v>37305</v>
      </c>
      <c r="F39" s="471"/>
      <c r="G39" s="471"/>
      <c r="H39" s="319">
        <f>+H38+H37</f>
        <v>16254.68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4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5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5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2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37305</v>
      </c>
      <c r="E47" s="457">
        <f>+H35</f>
        <v>3071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35547</v>
      </c>
      <c r="F48" s="129"/>
      <c r="G48" s="129"/>
      <c r="H48" s="129"/>
      <c r="I48" s="262"/>
      <c r="J48" s="102"/>
      <c r="K48" s="506"/>
      <c r="L48" s="38"/>
      <c r="M48" s="4"/>
    </row>
    <row r="49" spans="1:15" ht="12.75" x14ac:dyDescent="0.2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7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2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2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2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2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2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2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2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2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2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2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2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2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2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2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2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2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2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2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2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2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2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2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2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2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2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2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2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2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2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2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2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2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4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5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5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6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7"/>
      <c r="L91" s="6"/>
      <c r="M91" s="6"/>
    </row>
    <row r="92" spans="1:14" x14ac:dyDescent="0.2">
      <c r="I92" s="11"/>
      <c r="J92" s="11"/>
      <c r="K92" s="502"/>
      <c r="L92" s="11"/>
      <c r="M92" s="11"/>
      <c r="N92" s="11"/>
    </row>
    <row r="93" spans="1:14" x14ac:dyDescent="0.2">
      <c r="G93" s="41"/>
      <c r="H93" s="11"/>
      <c r="I93" s="11"/>
      <c r="J93" s="11"/>
      <c r="K93" s="502"/>
      <c r="L93" s="11"/>
      <c r="M93" s="11"/>
      <c r="N93" s="11"/>
    </row>
    <row r="94" spans="1:14" x14ac:dyDescent="0.2">
      <c r="G94" s="41"/>
      <c r="H94" s="11"/>
      <c r="I94" s="11"/>
      <c r="J94" s="11"/>
      <c r="K94" s="502"/>
      <c r="L94" s="11"/>
      <c r="M94" s="11"/>
      <c r="N94" s="11"/>
    </row>
    <row r="95" spans="1:14" x14ac:dyDescent="0.2">
      <c r="G95" s="41"/>
      <c r="H95" s="11"/>
      <c r="I95" s="11"/>
      <c r="J95" s="11"/>
      <c r="K95" s="502"/>
      <c r="L95" s="11"/>
      <c r="M95" s="11"/>
      <c r="N95" s="11"/>
    </row>
    <row r="96" spans="1:14" x14ac:dyDescent="0.2">
      <c r="G96" s="41"/>
      <c r="H96" s="11"/>
      <c r="I96" s="11"/>
      <c r="J96" s="11"/>
      <c r="K96" s="502"/>
      <c r="L96" s="11"/>
      <c r="M96" s="11"/>
      <c r="N96" s="11"/>
    </row>
    <row r="97" spans="7:14" x14ac:dyDescent="0.2">
      <c r="G97" s="41"/>
      <c r="H97" s="11"/>
      <c r="I97" s="11"/>
      <c r="J97" s="11"/>
      <c r="K97" s="502"/>
      <c r="L97" s="11"/>
      <c r="M97" s="11"/>
      <c r="N97" s="11"/>
    </row>
    <row r="98" spans="7:14" x14ac:dyDescent="0.2">
      <c r="G98" s="41"/>
      <c r="H98" s="11"/>
      <c r="I98" s="11"/>
      <c r="J98" s="11"/>
      <c r="K98" s="502"/>
      <c r="L98" s="11"/>
      <c r="M98" s="11"/>
      <c r="N98" s="11"/>
    </row>
    <row r="99" spans="7:14" x14ac:dyDescent="0.2">
      <c r="G99" s="41"/>
      <c r="H99" s="11"/>
      <c r="I99" s="11"/>
      <c r="J99" s="11"/>
      <c r="K99" s="502"/>
      <c r="L99" s="11"/>
      <c r="M99" s="11"/>
      <c r="N99" s="11"/>
    </row>
    <row r="100" spans="7:14" x14ac:dyDescent="0.2">
      <c r="G100" s="41"/>
      <c r="H100" s="11"/>
      <c r="I100" s="11"/>
      <c r="J100" s="11"/>
      <c r="K100" s="502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2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2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2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2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2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2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2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2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2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2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2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2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2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2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2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2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2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2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2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2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2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2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4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5"/>
      <c r="L127" s="50"/>
      <c r="M127" s="50"/>
      <c r="N127" s="106"/>
    </row>
    <row r="128" spans="7:14" x14ac:dyDescent="0.2">
      <c r="G128" s="57"/>
      <c r="J128" s="50"/>
      <c r="K128" s="505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6"/>
      <c r="L133" s="38"/>
      <c r="M133" s="4"/>
    </row>
    <row r="134" spans="7:14" x14ac:dyDescent="0.2">
      <c r="G134" s="39"/>
      <c r="H134" s="6"/>
      <c r="I134" s="40"/>
      <c r="J134" s="6"/>
      <c r="K134" s="507"/>
      <c r="L134" s="6"/>
      <c r="M134" s="6"/>
    </row>
    <row r="135" spans="7:14" x14ac:dyDescent="0.2">
      <c r="G135" s="41"/>
      <c r="H135" s="11"/>
      <c r="I135" s="11"/>
      <c r="J135" s="11"/>
      <c r="K135" s="502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2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2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2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2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2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2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2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2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2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2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2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2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2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2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2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2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2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2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2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2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2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2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2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2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2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2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2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2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2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8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9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4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5"/>
      <c r="L171" s="57"/>
      <c r="M171" s="50"/>
      <c r="N171" s="106"/>
    </row>
    <row r="172" spans="7:14" x14ac:dyDescent="0.2">
      <c r="J172" s="50"/>
      <c r="K172" s="505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6"/>
      <c r="L177" s="38"/>
      <c r="M177" s="4"/>
    </row>
    <row r="178" spans="7:14" x14ac:dyDescent="0.2">
      <c r="G178" s="39"/>
      <c r="H178" s="6"/>
      <c r="I178" s="40"/>
      <c r="J178" s="6"/>
      <c r="K178" s="507"/>
      <c r="L178" s="6"/>
      <c r="M178" s="6"/>
    </row>
    <row r="179" spans="7:14" x14ac:dyDescent="0.2">
      <c r="G179" s="41"/>
      <c r="H179" s="11"/>
      <c r="I179" s="11"/>
      <c r="J179" s="11"/>
      <c r="K179" s="502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2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2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2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2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2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2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2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2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2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2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2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2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2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2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2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2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2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2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2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2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2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2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2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2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2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2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2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2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2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8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9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4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5"/>
      <c r="L215" s="57"/>
      <c r="M215" s="50"/>
      <c r="N215" s="106"/>
    </row>
    <row r="216" spans="7:14" x14ac:dyDescent="0.2">
      <c r="J216" s="50"/>
      <c r="K216" s="505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6"/>
      <c r="L220" s="38"/>
      <c r="M220" s="4"/>
    </row>
    <row r="221" spans="7:14" x14ac:dyDescent="0.2">
      <c r="G221" s="39"/>
      <c r="H221" s="6"/>
      <c r="I221" s="40"/>
      <c r="J221" s="6"/>
      <c r="K221" s="507"/>
      <c r="L221" s="6"/>
      <c r="M221" s="6"/>
    </row>
    <row r="222" spans="7:14" x14ac:dyDescent="0.2">
      <c r="G222" s="41"/>
      <c r="H222" s="11"/>
      <c r="I222" s="11"/>
      <c r="J222" s="11"/>
      <c r="K222" s="502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2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2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2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2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2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2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2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2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2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2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2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2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2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2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2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2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2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2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2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2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2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2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2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2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2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2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2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2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2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8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9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4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5"/>
      <c r="L258" s="57"/>
      <c r="M258" s="50"/>
      <c r="N258" s="106"/>
    </row>
    <row r="259" spans="10:14" x14ac:dyDescent="0.2">
      <c r="J259" s="50"/>
      <c r="K259" s="505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8" workbookViewId="0">
      <selection activeCell="E47" sqref="E47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-324993</v>
      </c>
      <c r="E8" s="129">
        <v>-325040</v>
      </c>
      <c r="F8" s="11"/>
      <c r="G8" s="11"/>
      <c r="H8" s="24">
        <f t="shared" si="0"/>
        <v>-47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-340841</v>
      </c>
      <c r="E11" s="11">
        <v>-341414</v>
      </c>
      <c r="F11" s="11"/>
      <c r="G11" s="11"/>
      <c r="H11" s="24">
        <f t="shared" si="0"/>
        <v>-573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-336715</v>
      </c>
      <c r="E12" s="11">
        <v>-339882</v>
      </c>
      <c r="F12" s="11"/>
      <c r="G12" s="11"/>
      <c r="H12" s="24">
        <f t="shared" si="0"/>
        <v>-3167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-337635</v>
      </c>
      <c r="E13" s="11">
        <v>-329646</v>
      </c>
      <c r="F13" s="11"/>
      <c r="G13" s="11"/>
      <c r="H13" s="24">
        <f t="shared" si="0"/>
        <v>7989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-339372</v>
      </c>
      <c r="E14" s="11">
        <v>-335419</v>
      </c>
      <c r="F14" s="11"/>
      <c r="G14" s="11"/>
      <c r="H14" s="24">
        <f t="shared" si="0"/>
        <v>3953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-318495</v>
      </c>
      <c r="E15" s="11">
        <v>-326021</v>
      </c>
      <c r="F15" s="11"/>
      <c r="G15" s="11"/>
      <c r="H15" s="24">
        <f t="shared" si="0"/>
        <v>-7526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-341283</v>
      </c>
      <c r="E16" s="11">
        <v>-341889</v>
      </c>
      <c r="F16" s="11"/>
      <c r="G16" s="11"/>
      <c r="H16" s="24">
        <f t="shared" si="0"/>
        <v>-606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-311505</v>
      </c>
      <c r="E17" s="11">
        <v>-322064</v>
      </c>
      <c r="F17" s="11"/>
      <c r="G17" s="11"/>
      <c r="H17" s="24">
        <f t="shared" si="0"/>
        <v>-10559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-310993</v>
      </c>
      <c r="E18" s="11">
        <v>-345240</v>
      </c>
      <c r="F18" s="11"/>
      <c r="G18" s="11"/>
      <c r="H18" s="24">
        <f t="shared" si="0"/>
        <v>-34247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-346485</v>
      </c>
      <c r="E19" s="11">
        <v>-350738</v>
      </c>
      <c r="F19" s="11"/>
      <c r="G19" s="11"/>
      <c r="H19" s="24">
        <f t="shared" si="0"/>
        <v>-4253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-333063</v>
      </c>
      <c r="E20" s="11">
        <v>-339349</v>
      </c>
      <c r="F20" s="11"/>
      <c r="G20" s="11"/>
      <c r="H20" s="24">
        <f t="shared" si="0"/>
        <v>-6286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-337862</v>
      </c>
      <c r="E21" s="11">
        <v>-337779</v>
      </c>
      <c r="F21" s="11"/>
      <c r="G21" s="11"/>
      <c r="H21" s="24">
        <f t="shared" si="0"/>
        <v>83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-345523</v>
      </c>
      <c r="E22" s="11">
        <v>-345262</v>
      </c>
      <c r="F22" s="11"/>
      <c r="G22" s="11"/>
      <c r="H22" s="24">
        <f t="shared" si="0"/>
        <v>261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-309446</v>
      </c>
      <c r="E23" s="11">
        <v>-306107</v>
      </c>
      <c r="F23" s="11"/>
      <c r="G23" s="11"/>
      <c r="H23" s="24">
        <f t="shared" si="0"/>
        <v>3339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-6232148</v>
      </c>
      <c r="E36" s="11">
        <f t="shared" si="15"/>
        <v>-6287682</v>
      </c>
      <c r="F36" s="11">
        <f t="shared" si="15"/>
        <v>0</v>
      </c>
      <c r="G36" s="11">
        <f t="shared" si="15"/>
        <v>0</v>
      </c>
      <c r="H36" s="11">
        <f t="shared" si="15"/>
        <v>-55534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-55534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37287</v>
      </c>
      <c r="B38" s="2" t="s">
        <v>45</v>
      </c>
      <c r="C38" s="578">
        <v>64269</v>
      </c>
      <c r="D38" s="320"/>
      <c r="E38" s="579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37306</v>
      </c>
      <c r="B39" s="2" t="s">
        <v>45</v>
      </c>
      <c r="C39" s="131">
        <f>+C38+C37</f>
        <v>64269</v>
      </c>
      <c r="D39" s="252"/>
      <c r="E39" s="131">
        <f>+E38+E37</f>
        <v>-40926</v>
      </c>
      <c r="F39" s="252"/>
      <c r="G39" s="131"/>
      <c r="H39" s="131">
        <f>+H38+H36</f>
        <v>23343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37287</v>
      </c>
      <c r="B44" s="32"/>
      <c r="C44" s="577">
        <v>-1582961.01</v>
      </c>
      <c r="D44" s="205"/>
      <c r="E44" s="580">
        <v>1116269.8600000001</v>
      </c>
      <c r="F44" s="47">
        <f>+E44+C44</f>
        <v>-466691.14999999991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37306</v>
      </c>
      <c r="B45" s="32"/>
      <c r="C45" s="47">
        <f>+C37*summary!G4</f>
        <v>0</v>
      </c>
      <c r="D45" s="205"/>
      <c r="E45" s="376">
        <f>+E37*summary!G3</f>
        <v>-116066.06</v>
      </c>
      <c r="F45" s="47">
        <f>+E45+C45</f>
        <v>-116066.06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3" workbookViewId="0">
      <selection activeCell="A45" sqref="A45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187267</v>
      </c>
      <c r="C12" s="11">
        <v>187334</v>
      </c>
      <c r="D12" s="11">
        <v>12093</v>
      </c>
      <c r="E12" s="11">
        <v>13033</v>
      </c>
      <c r="F12" s="11">
        <f t="shared" si="5"/>
        <v>1007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187870</v>
      </c>
      <c r="C13" s="11">
        <v>185482</v>
      </c>
      <c r="D13" s="11">
        <v>13082</v>
      </c>
      <c r="E13" s="11">
        <v>13033</v>
      </c>
      <c r="F13" s="11">
        <f t="shared" si="5"/>
        <v>-2437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182947</v>
      </c>
      <c r="C14" s="11">
        <v>187318</v>
      </c>
      <c r="D14" s="11">
        <v>13131</v>
      </c>
      <c r="E14" s="11">
        <v>13033</v>
      </c>
      <c r="F14" s="11">
        <f t="shared" si="5"/>
        <v>4273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187161</v>
      </c>
      <c r="C15" s="11">
        <v>186818</v>
      </c>
      <c r="D15" s="129">
        <v>13087</v>
      </c>
      <c r="E15" s="11">
        <v>13033</v>
      </c>
      <c r="F15" s="11">
        <f t="shared" si="5"/>
        <v>-397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188757</v>
      </c>
      <c r="C16" s="11">
        <v>187342</v>
      </c>
      <c r="D16" s="129">
        <v>14004</v>
      </c>
      <c r="E16" s="11">
        <v>13033</v>
      </c>
      <c r="F16" s="11">
        <f t="shared" si="5"/>
        <v>-2386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181055</v>
      </c>
      <c r="C17" s="11">
        <v>187342</v>
      </c>
      <c r="D17" s="11">
        <v>13711</v>
      </c>
      <c r="E17" s="11">
        <v>13033</v>
      </c>
      <c r="F17" s="11">
        <f t="shared" si="5"/>
        <v>5609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188433</v>
      </c>
      <c r="C18" s="11">
        <v>187342</v>
      </c>
      <c r="D18" s="11">
        <v>13604</v>
      </c>
      <c r="E18" s="11">
        <v>13033</v>
      </c>
      <c r="F18" s="11">
        <f t="shared" si="5"/>
        <v>-1662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184947</v>
      </c>
      <c r="C19" s="11">
        <v>187342</v>
      </c>
      <c r="D19" s="11">
        <v>12931</v>
      </c>
      <c r="E19" s="11">
        <v>13033</v>
      </c>
      <c r="F19" s="11">
        <f t="shared" si="5"/>
        <v>2497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186942</v>
      </c>
      <c r="C20" s="11">
        <v>187342</v>
      </c>
      <c r="D20" s="11">
        <v>12884</v>
      </c>
      <c r="E20" s="11">
        <v>13033</v>
      </c>
      <c r="F20" s="11">
        <f t="shared" si="5"/>
        <v>549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187619</v>
      </c>
      <c r="C21" s="11">
        <v>187342</v>
      </c>
      <c r="D21" s="11">
        <v>12419</v>
      </c>
      <c r="E21" s="11">
        <v>13033</v>
      </c>
      <c r="F21" s="11">
        <f t="shared" si="5"/>
        <v>337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186357</v>
      </c>
      <c r="C22" s="11">
        <v>186109</v>
      </c>
      <c r="D22" s="11">
        <v>12900</v>
      </c>
      <c r="E22" s="11">
        <v>13033</v>
      </c>
      <c r="F22" s="11">
        <f t="shared" si="5"/>
        <v>-115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162032</v>
      </c>
      <c r="C23" s="11">
        <v>189548</v>
      </c>
      <c r="D23" s="11">
        <v>20229</v>
      </c>
      <c r="E23" s="11">
        <v>19349</v>
      </c>
      <c r="F23" s="11">
        <f t="shared" si="5"/>
        <v>26636</v>
      </c>
      <c r="G23" s="142"/>
      <c r="H23" s="494">
        <f>+A45</f>
        <v>37306</v>
      </c>
      <c r="I23" s="11">
        <f>+B39</f>
        <v>3503384</v>
      </c>
      <c r="J23" s="11">
        <f>+C39</f>
        <v>3535046</v>
      </c>
      <c r="K23" s="11">
        <f>+D39</f>
        <v>274057</v>
      </c>
      <c r="L23" s="11">
        <f>+E39</f>
        <v>274376</v>
      </c>
      <c r="M23" s="42">
        <f>+J23-I23+L23-K23</f>
        <v>31981</v>
      </c>
      <c r="N23" s="102">
        <f>+summary!G3</f>
        <v>2.09</v>
      </c>
      <c r="O23" s="496">
        <f>+N23*M23</f>
        <v>66840.289999999994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188348</v>
      </c>
      <c r="C24" s="11">
        <v>187342</v>
      </c>
      <c r="D24" s="11">
        <v>20184</v>
      </c>
      <c r="E24" s="11">
        <v>21555</v>
      </c>
      <c r="F24" s="11">
        <f t="shared" si="5"/>
        <v>365</v>
      </c>
      <c r="G24" s="268"/>
      <c r="H24" s="168"/>
      <c r="I24" s="11"/>
      <c r="J24" s="11"/>
      <c r="K24" s="11"/>
      <c r="L24" s="142"/>
      <c r="M24" s="495">
        <f>SUM(M9:M23)</f>
        <v>121781</v>
      </c>
      <c r="N24" s="102"/>
      <c r="O24" s="102">
        <f>SUM(O9:O23)</f>
        <v>634956.63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190919</v>
      </c>
      <c r="C25" s="11">
        <v>190349</v>
      </c>
      <c r="D25" s="11">
        <v>18675</v>
      </c>
      <c r="E25" s="11">
        <v>18547</v>
      </c>
      <c r="F25" s="11">
        <f t="shared" si="5"/>
        <v>-698</v>
      </c>
      <c r="G25" s="306"/>
      <c r="H25" s="493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179544</v>
      </c>
      <c r="C26" s="11">
        <v>179000</v>
      </c>
      <c r="D26" s="11">
        <v>20051</v>
      </c>
      <c r="E26" s="11">
        <v>20372</v>
      </c>
      <c r="F26" s="11">
        <f t="shared" si="5"/>
        <v>-223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3503384</v>
      </c>
      <c r="C39" s="150">
        <f>SUM(C8:C38)</f>
        <v>3535046</v>
      </c>
      <c r="D39" s="150">
        <f>SUM(D8:D38)</f>
        <v>274057</v>
      </c>
      <c r="E39" s="150">
        <f>SUM(E8:E38)</f>
        <v>274376</v>
      </c>
      <c r="F39" s="11">
        <f t="shared" si="5"/>
        <v>31981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8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37287</v>
      </c>
      <c r="B44" s="32"/>
      <c r="C44" s="460"/>
      <c r="D44" s="111"/>
      <c r="E44" s="460"/>
      <c r="F44" s="565">
        <v>30072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37306</v>
      </c>
      <c r="B45" s="32"/>
      <c r="C45" s="106"/>
      <c r="D45" s="106"/>
      <c r="E45" s="106"/>
      <c r="F45" s="24">
        <f>+F44+F39</f>
        <v>62053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287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37287</v>
      </c>
      <c r="B50" s="32"/>
      <c r="C50" s="32"/>
      <c r="D50" s="488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37306</v>
      </c>
      <c r="B51" s="32"/>
      <c r="C51" s="32"/>
      <c r="D51" s="349">
        <f>+F39*summary!G3</f>
        <v>66840.289999999994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476094.29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5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2002-02-13T20:45:31Z</cp:lastPrinted>
  <dcterms:created xsi:type="dcterms:W3CDTF">2000-03-28T16:52:23Z</dcterms:created>
  <dcterms:modified xsi:type="dcterms:W3CDTF">2023-09-14T17:12:12Z</dcterms:modified>
</cp:coreProperties>
</file>