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526CA2-8079-4C19-A39E-68A66755F9BE}" xr6:coauthVersionLast="47" xr6:coauthVersionMax="47" xr10:uidLastSave="{00000000-0000-0000-0000-000000000000}"/>
  <bookViews>
    <workbookView xWindow="-120" yWindow="-120" windowWidth="38640" windowHeight="15720" tabRatio="686"/>
  </bookViews>
  <sheets>
    <sheet name="monthly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B10" i="8"/>
  <c r="D10" i="8"/>
  <c r="D11" i="8"/>
  <c r="D12" i="8"/>
  <c r="B13" i="8"/>
  <c r="D13" i="8"/>
  <c r="B14" i="8"/>
  <c r="D14" i="8"/>
  <c r="D15" i="8"/>
  <c r="D16" i="8"/>
  <c r="B17" i="8"/>
  <c r="D17" i="8"/>
  <c r="B18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5" i="94"/>
  <c r="C5" i="94"/>
  <c r="B6" i="94"/>
  <c r="C6" i="94"/>
  <c r="B7" i="94"/>
  <c r="C7" i="94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C15" i="94"/>
  <c r="B16" i="94"/>
  <c r="C16" i="94"/>
  <c r="B17" i="94"/>
  <c r="C17" i="94"/>
  <c r="B18" i="94"/>
  <c r="C18" i="94"/>
  <c r="B19" i="94"/>
  <c r="C19" i="94"/>
  <c r="B20" i="94"/>
  <c r="C20" i="94"/>
  <c r="B21" i="94"/>
  <c r="C21" i="94"/>
  <c r="B22" i="94"/>
  <c r="C22" i="94"/>
  <c r="B23" i="94"/>
  <c r="C23" i="94"/>
  <c r="B24" i="94"/>
  <c r="C24" i="94"/>
  <c r="B25" i="94"/>
  <c r="C25" i="94"/>
  <c r="B26" i="94"/>
  <c r="C26" i="94"/>
  <c r="B27" i="94"/>
  <c r="C27" i="94"/>
  <c r="B28" i="94"/>
  <c r="B29" i="94"/>
  <c r="C29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B37" i="94"/>
  <c r="C37" i="94"/>
  <c r="B38" i="94"/>
  <c r="C38" i="94"/>
  <c r="B39" i="94"/>
  <c r="C39" i="94"/>
  <c r="B40" i="94"/>
  <c r="C40" i="94"/>
  <c r="B41" i="94"/>
  <c r="C41" i="94"/>
  <c r="B42" i="94"/>
  <c r="C42" i="94"/>
  <c r="B43" i="94"/>
  <c r="B44" i="94"/>
  <c r="B45" i="94"/>
  <c r="C45" i="94"/>
  <c r="B47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B6" i="65"/>
  <c r="D6" i="65"/>
  <c r="B7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<sst xmlns="http://schemas.openxmlformats.org/spreadsheetml/2006/main" count="1060" uniqueCount="342">
  <si>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</si>
  <si>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</si>
  <si>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</si>
  <si>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</si>
  <si>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</si>
  <si>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</si>
  <si>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</si>
  <si>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</si>
  <si>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</si>
  <si>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</si>
  <si>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</si>
  <si>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</si>
  <si>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</si>
  <si>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</si>
  <si>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</si>
  <si>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</si>
  <si>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</si>
  <si>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</si>
  <si>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</si>
  <si>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</si>
  <si>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</si>
  <si>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</si>
  <si>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</si>
  <si>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</si>
  <si>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</si>
  <si>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</si>
  <si>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</si>
  <si>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</si>
  <si>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</si>
  <si>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</si>
  <si>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</si>
  <si>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</si>
  <si>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</si>
  <si>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</si>
  <si>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</si>
  <si>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</si>
  <si>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</si>
  <si>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</si>
  <si>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</si>
  <si>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</si>
  <si>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</si>
  <si>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</si>
  <si>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</si>
  <si>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</si>
  <si>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</si>
  <si>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</si>
  <si>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</si>
  <si>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</si>
  <si>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</si>
  <si>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</si>
  <si>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</si>
  <si>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</si>
  <si>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</si>
  <si>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</si>
  <si>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</si>
  <si>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</si>
  <si>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</si>
  <si>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</si>
  <si>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</si>
  <si>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</si>
  <si>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</si>
  <si>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</si>
  <si>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</si>
  <si>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</si>
  <si>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</si>
  <si>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</si>
  <si>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</si>
  <si>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</si>
  <si>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</si>
  <si>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</si>
  <si>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</si>
  <si>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</si>
  <si>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</si>
  <si>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</si>
  <si>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</si>
  <si>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</si>
  <si>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</si>
  <si>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</si>
  <si>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</si>
  <si>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</si>
  <si>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</si>
  <si>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</si>
  <si>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</si>
  <si>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</si>
  <si>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</si>
  <si>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</si>
  <si>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</si>
  <si>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</si>
  <si>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</si>
  <si>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</si>
  <si>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</si>
  <si>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</si>
  <si>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</si>
  <si>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</si>
  <si>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</si>
  <si>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</si>
  <si>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</si>
  <si>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</si>
  <si>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</si>
  <si>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</si>
  <si>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</si>
  <si>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</si>
  <si>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</si>
  <si>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</si>
  <si>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</si>
  <si>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</si>
  <si>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</si>
  <si>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</si>
  <si>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</si>
  <si>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</si>
  <si>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</si>
  <si>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</si>
  <si>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</si>
  <si>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</si>
  <si>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</si>
  <si>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</si>
  <si>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</si>
  <si>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</si>
  <si>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</si>
  <si>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</si>
  <si>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</si>
  <si>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</si>
  <si>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</si>
  <si>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</si>
  <si>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</si>
  <si>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</si>
  <si>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</si>
  <si>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</si>
  <si>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</si>
  <si>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</si>
  <si>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</si>
  <si>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</si>
  <si>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</si>
  <si>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</si>
  <si>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</si>
  <si>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</si>
  <si>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</si>
  <si>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</si>
  <si>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</si>
  <si>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</si>
  <si>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</si>
  <si>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</si>
  <si>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</si>
  <si>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</si>
  <si>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</si>
  <si>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</si>
  <si>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</si>
  <si>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</si>
  <si>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</si>
  <si>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</si>
  <si>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</si>
  <si>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</si>
  <si>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</si>
  <si>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</si>
  <si>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</si>
  <si>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</si>
  <si>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</si>
  <si>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</si>
  <si>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</si>
  <si>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</si>
  <si>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</si>
  <si>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</si>
  <si>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</si>
  <si>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</si>
  <si>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</si>
  <si>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</si>
  <si>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</si>
  <si>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</si>
  <si>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</si>
  <si>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</si>
  <si>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</si>
  <si>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</si>
  <si>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</si>
  <si>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</si>
  <si>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</si>
  <si>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</si>
  <si>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</si>
  <si>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</si>
  <si>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</si>
  <si>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</si>
  <si>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</si>
  <si>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</si>
  <si>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</si>
  <si>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</si>
  <si>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</si>
  <si>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</si>
  <si>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</si>
  <si>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</si>
  <si>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</si>
  <si>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</si>
  <si>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</si>
  <si>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</si>
  <si>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</si>
  <si>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</si>
  <si>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</si>
  <si>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</si>
  <si>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</si>
  <si>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</si>
  <si>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</si>
  <si>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</si>
  <si>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</si>
  <si>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</si>
  <si>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</si>
  <si>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</si>
  <si>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</si>
  <si>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</si>
  <si>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</si>
  <si>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</si>
  <si>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</si>
  <si>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</si>
  <si>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</si>
  <si>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</si>
  <si>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</si>
  <si>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</si>
  <si>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</si>
  <si>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</si>
  <si>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</si>
  <si>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</si>
  <si>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</si>
  <si>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</si>
  <si>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</si>
  <si>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</si>
  <si>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</si>
  <si>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</si>
  <si>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</si>
  <si>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</si>
  <si>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</si>
  <si>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</si>
  <si>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</si>
  <si>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</si>
  <si>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</si>
  <si>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</si>
  <si>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</si>
  <si>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</si>
  <si>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</si>
  <si>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</si>
  <si>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</si>
  <si>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</si>
  <si>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</si>
  <si>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</si>
  <si>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</si>
  <si>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</si>
  <si>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</si>
  <si>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</si>
  <si>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</si>
  <si>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</si>
  <si>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</si>
  <si>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</si>
  <si>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</si>
  <si>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</si>
  <si>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</si>
  <si>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</si>
  <si>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</si>
  <si>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</si>
  <si>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</si>
  <si>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</si>
  <si>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</si>
  <si>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</si>
  <si>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</si>
  <si>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</si>
  <si>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</si>
  <si>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</si>
  <si>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</si>
  <si>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</si>
  <si>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</si>
  <si>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</si>
  <si>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</si>
  <si>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</si>
  <si>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</si>
  <si>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</si>
  <si>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</si>
  <si>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</si>
  <si>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</si>
  <si>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</si>
  <si>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</si>
  <si>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</si>
  <si>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</si>
  <si>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</si>
  <si>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</si>
  <si>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</si>
  <si>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</si>
  <si>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</si>
  <si>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</si>
  <si>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</si>
  <si>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</si>
  <si>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</si>
  <si>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</si>
  <si>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</si>
  <si>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</si>
  <si>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</si>
  <si>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</si>
  <si>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</si>
  <si>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</si>
  <si>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</si>
  <si>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</si>
  <si>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</si>
  <si>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</si>
  <si>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</si>
  <si>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</si>
  <si>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</si>
  <si>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</si>
  <si>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</si>
  <si>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</si>
  <si>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</si>
  <si>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</si>
  <si>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</si>
  <si>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</si>
  <si>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</si>
  <si>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</si>
  <si>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</si>
  <si>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</si>
  <si>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</si>
  <si>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</si>
  <si>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</si>
  <si>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</si>
  <si>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</si>
  <si>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</si>
  <si>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</si>
  <si>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</si>
  <si>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</si>
  <si>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</si>
  <si>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</si>
  <si>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</si>
  <si>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</si>
  <si>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</si>
  <si>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</si>
  <si>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</si>
  <si>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</si>
  <si>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</si>
  <si>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</si>
  <si>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</si>
  <si>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Citizens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</si>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</sst>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9" fillId="3" borderId="1" xfId="1" applyNumberFormat="1" applyFont="1" applyFill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2.4900000000000002</v>
          </cell>
          <cell r="K39">
            <v>2.48</v>
          </cell>
          <cell r="M39">
            <v>2.48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workbookViewId="0">
      <selection activeCell="B47" sqref="B47"/>
    </sheetView>
  </sheetViews>
  <sheetFormatPr defaultRowHeight="12.75" x14ac:dyDescent="0.2"/>
  <cols>
    <col min="1" max="1" width="15.42578125" bestFit="1" customWidth="1"/>
    <col min="2" max="2" width="15.42578125" style="251" bestFit="1" customWidth="1"/>
  </cols>
  <sheetData>
    <row r="2" spans="1:3" x14ac:dyDescent="0.2">
      <c r="B2" s="140" t="s">
        <v>340</v>
      </c>
    </row>
    <row r="3" spans="1:3" x14ac:dyDescent="0.2">
      <c r="B3" s="140" t="s">
        <v>341</v>
      </c>
    </row>
    <row r="5" spans="1:3" x14ac:dyDescent="0.2">
      <c r="A5" t="s">
        <v>28</v>
      </c>
      <c r="B5" s="251">
        <f>+williams!J35</f>
        <v>20367</v>
      </c>
      <c r="C5" s="65">
        <f>+williams!A40</f>
        <v>37326</v>
      </c>
    </row>
    <row r="6" spans="1:3" x14ac:dyDescent="0.2">
      <c r="A6" t="s">
        <v>31</v>
      </c>
      <c r="B6" s="251">
        <f>+Lonestar!F36</f>
        <v>-21529</v>
      </c>
      <c r="C6" s="65">
        <f>+Lonestar!A43</f>
        <v>37325</v>
      </c>
    </row>
    <row r="7" spans="1:3" x14ac:dyDescent="0.2">
      <c r="A7" t="s">
        <v>326</v>
      </c>
      <c r="B7" s="251">
        <f>+'PG&amp;E'!D35</f>
        <v>-1260</v>
      </c>
      <c r="C7" s="65">
        <f>+'PG&amp;E'!A40</f>
        <v>37326</v>
      </c>
    </row>
    <row r="8" spans="1:3" x14ac:dyDescent="0.2">
      <c r="A8" t="s">
        <v>32</v>
      </c>
      <c r="B8" s="251">
        <f>+SoCal!F35</f>
        <v>-136418</v>
      </c>
      <c r="C8" s="65">
        <f>+SoCal!A40</f>
        <v>37326</v>
      </c>
    </row>
    <row r="9" spans="1:3" x14ac:dyDescent="0.2">
      <c r="A9" t="s">
        <v>327</v>
      </c>
      <c r="B9" s="251">
        <f>+PGETX!H35</f>
        <v>6835</v>
      </c>
      <c r="C9" s="65">
        <f>+PGETX!E39</f>
        <v>37325</v>
      </c>
    </row>
    <row r="10" spans="1:3" x14ac:dyDescent="0.2">
      <c r="A10" t="s">
        <v>33</v>
      </c>
      <c r="B10" s="251">
        <f>+'El Paso'!H36</f>
        <v>-38282</v>
      </c>
      <c r="C10" s="65">
        <f>+'El Paso'!A39</f>
        <v>37326</v>
      </c>
    </row>
    <row r="11" spans="1:3" x14ac:dyDescent="0.2">
      <c r="A11" t="s">
        <v>23</v>
      </c>
      <c r="B11" s="251">
        <f>+'Red C'!F39</f>
        <v>-29140</v>
      </c>
      <c r="C11" s="65">
        <f>+'Red C'!A45</f>
        <v>37326</v>
      </c>
    </row>
    <row r="12" spans="1:3" x14ac:dyDescent="0.2">
      <c r="A12" t="s">
        <v>287</v>
      </c>
      <c r="B12" s="251">
        <f>+Amoco!D37</f>
        <v>-2822</v>
      </c>
      <c r="C12" s="65">
        <f>+Amoco!A40</f>
        <v>37325</v>
      </c>
    </row>
    <row r="13" spans="1:3" x14ac:dyDescent="0.2">
      <c r="A13" t="s">
        <v>6</v>
      </c>
      <c r="B13" s="251">
        <f>+Oasis!D36</f>
        <v>3102</v>
      </c>
      <c r="C13" s="65">
        <f>+Oasis!A40</f>
        <v>37325</v>
      </c>
    </row>
    <row r="14" spans="1:3" x14ac:dyDescent="0.2">
      <c r="A14" t="s">
        <v>79</v>
      </c>
      <c r="B14" s="251">
        <f>+Agave!D19</f>
        <v>38069</v>
      </c>
      <c r="C14" s="65">
        <f>+Agave!A25</f>
        <v>37326</v>
      </c>
    </row>
    <row r="15" spans="1:3" x14ac:dyDescent="0.2">
      <c r="A15" t="s">
        <v>80</v>
      </c>
      <c r="B15" s="251">
        <f>+Conoco!F35</f>
        <v>-33191</v>
      </c>
      <c r="C15" s="65">
        <f>+Conoco!A41</f>
        <v>37326</v>
      </c>
    </row>
    <row r="16" spans="1:3" x14ac:dyDescent="0.2">
      <c r="A16" t="s">
        <v>1</v>
      </c>
      <c r="B16" s="251">
        <f>+NW!F36</f>
        <v>2516</v>
      </c>
      <c r="C16" s="65">
        <f>+NW!B41</f>
        <v>37325</v>
      </c>
    </row>
    <row r="17" spans="1:3" x14ac:dyDescent="0.2">
      <c r="A17" t="s">
        <v>71</v>
      </c>
      <c r="B17" s="251">
        <f>+transcol!D39</f>
        <v>-2478</v>
      </c>
      <c r="C17" s="65">
        <f>+transcol!A43</f>
        <v>37325</v>
      </c>
    </row>
    <row r="18" spans="1:3" x14ac:dyDescent="0.2">
      <c r="A18" t="s">
        <v>138</v>
      </c>
      <c r="B18" s="251">
        <f>+Duke!B18+Duke!B31+Duke!B46+DEFS!C36+DEFS!E36</f>
        <v>16426</v>
      </c>
      <c r="C18" s="65">
        <f>+Duke!A7</f>
        <v>37323</v>
      </c>
    </row>
    <row r="19" spans="1:3" x14ac:dyDescent="0.2">
      <c r="A19" t="s">
        <v>2</v>
      </c>
      <c r="B19" s="251">
        <f>+mewborne!J39</f>
        <v>-4124</v>
      </c>
      <c r="C19" s="65">
        <f>+mewborne!A43</f>
        <v>37326</v>
      </c>
    </row>
    <row r="20" spans="1:3" x14ac:dyDescent="0.2">
      <c r="A20" t="s">
        <v>3</v>
      </c>
      <c r="B20" s="251">
        <f>+'Amoco Abo'!F39</f>
        <v>23760</v>
      </c>
      <c r="C20" s="65">
        <f>+'Amoco Abo'!A43</f>
        <v>37326</v>
      </c>
    </row>
    <row r="21" spans="1:3" x14ac:dyDescent="0.2">
      <c r="A21" t="s">
        <v>87</v>
      </c>
      <c r="B21" s="251">
        <f>+NNG!D18</f>
        <v>3200</v>
      </c>
      <c r="C21" s="65">
        <f>+NNG!A24</f>
        <v>37326</v>
      </c>
    </row>
    <row r="22" spans="1:3" x14ac:dyDescent="0.2">
      <c r="A22" t="s">
        <v>82</v>
      </c>
      <c r="B22" s="251">
        <f>+PNM!D17</f>
        <v>-53954</v>
      </c>
      <c r="C22" s="65">
        <f>+PNM!A23</f>
        <v>37326</v>
      </c>
    </row>
    <row r="23" spans="1:3" x14ac:dyDescent="0.2">
      <c r="A23" t="s">
        <v>88</v>
      </c>
      <c r="B23" s="251">
        <f>+NGPL!H34</f>
        <v>-27410</v>
      </c>
      <c r="C23" s="65">
        <f>+NGPL!A38</f>
        <v>37324</v>
      </c>
    </row>
    <row r="24" spans="1:3" x14ac:dyDescent="0.2">
      <c r="A24" t="s">
        <v>314</v>
      </c>
      <c r="B24" s="251">
        <f>+Mojave!D35</f>
        <v>823</v>
      </c>
      <c r="C24" s="65">
        <f>+Mojave!A40</f>
        <v>37325</v>
      </c>
    </row>
    <row r="25" spans="1:3" x14ac:dyDescent="0.2">
      <c r="A25" t="s">
        <v>103</v>
      </c>
      <c r="B25" s="251">
        <f>+EOG!J35</f>
        <v>-24804</v>
      </c>
      <c r="C25" s="65">
        <f>+EOG!A41</f>
        <v>37325</v>
      </c>
    </row>
    <row r="26" spans="1:3" x14ac:dyDescent="0.2">
      <c r="A26" t="s">
        <v>328</v>
      </c>
      <c r="B26" s="251">
        <f>+KN_Westar!F37</f>
        <v>5700</v>
      </c>
      <c r="C26" s="65">
        <f>+KN_Westar!A41</f>
        <v>37317</v>
      </c>
    </row>
    <row r="27" spans="1:3" x14ac:dyDescent="0.2">
      <c r="A27" t="s">
        <v>109</v>
      </c>
      <c r="B27" s="251">
        <f>+Continental!F39</f>
        <v>812</v>
      </c>
      <c r="C27" s="65">
        <f>+Continental!A43</f>
        <v>37324</v>
      </c>
    </row>
    <row r="28" spans="1:3" x14ac:dyDescent="0.2">
      <c r="A28" t="s">
        <v>110</v>
      </c>
      <c r="B28" s="251">
        <f>+CIG!D39</f>
        <v>0</v>
      </c>
    </row>
    <row r="29" spans="1:3" x14ac:dyDescent="0.2">
      <c r="A29" t="s">
        <v>127</v>
      </c>
      <c r="B29" s="251">
        <f>+Calpine!D37</f>
        <v>-2286</v>
      </c>
      <c r="C29" s="65">
        <f>+Calpine!A41</f>
        <v>37325</v>
      </c>
    </row>
    <row r="30" spans="1:3" x14ac:dyDescent="0.2">
      <c r="A30" t="s">
        <v>329</v>
      </c>
      <c r="B30" s="251">
        <f>+EPFS!D37</f>
        <v>-9600</v>
      </c>
      <c r="C30" s="65">
        <f>+EPFS!A41</f>
        <v>37326</v>
      </c>
    </row>
    <row r="31" spans="1:3" x14ac:dyDescent="0.2">
      <c r="A31" t="s">
        <v>131</v>
      </c>
      <c r="B31" s="251">
        <f>+SidR!D39</f>
        <v>-2898.36</v>
      </c>
      <c r="C31" s="65">
        <f>+SidR!A41</f>
        <v>37326</v>
      </c>
    </row>
    <row r="32" spans="1:3" x14ac:dyDescent="0.2">
      <c r="A32" t="s">
        <v>330</v>
      </c>
      <c r="B32" s="251">
        <f>+'NS Steel'!D37</f>
        <v>1814</v>
      </c>
      <c r="C32" s="65">
        <f>+'NS Steel'!A41</f>
        <v>37326</v>
      </c>
    </row>
    <row r="33" spans="1:3" x14ac:dyDescent="0.2">
      <c r="A33" t="s">
        <v>139</v>
      </c>
      <c r="B33" s="251">
        <f>+'Citizens-Griffith'!D37</f>
        <v>-8224</v>
      </c>
      <c r="C33" s="65">
        <f>+'Citizens-Griffith'!A41</f>
        <v>37325</v>
      </c>
    </row>
    <row r="34" spans="1:3" x14ac:dyDescent="0.2">
      <c r="A34" t="s">
        <v>331</v>
      </c>
      <c r="B34" s="251">
        <f>+Citizens!D14</f>
        <v>-10547.44</v>
      </c>
      <c r="C34" s="65">
        <f>+Citizens!A18</f>
        <v>37325</v>
      </c>
    </row>
    <row r="35" spans="1:3" x14ac:dyDescent="0.2">
      <c r="A35" t="s">
        <v>257</v>
      </c>
      <c r="B35" s="251">
        <f>+PEPL!D37</f>
        <v>10301</v>
      </c>
      <c r="C35" s="65">
        <f>+PEPL!A41</f>
        <v>37325</v>
      </c>
    </row>
    <row r="36" spans="1:3" x14ac:dyDescent="0.2">
      <c r="A36" t="s">
        <v>332</v>
      </c>
      <c r="B36" s="251">
        <f>+MiVida_Rich!D39</f>
        <v>0</v>
      </c>
    </row>
    <row r="37" spans="1:3" x14ac:dyDescent="0.2">
      <c r="A37" t="s">
        <v>333</v>
      </c>
      <c r="B37" s="251">
        <f>+WTGmktg!J37</f>
        <v>3230</v>
      </c>
      <c r="C37" s="65">
        <f>+WTGmktg!A43</f>
        <v>37323</v>
      </c>
    </row>
    <row r="38" spans="1:3" x14ac:dyDescent="0.2">
      <c r="A38" t="s">
        <v>334</v>
      </c>
      <c r="B38" s="251">
        <f>+'WTG inc'!N37</f>
        <v>-1058</v>
      </c>
      <c r="C38" s="65">
        <f>+'WTG inc'!A43</f>
        <v>37323</v>
      </c>
    </row>
    <row r="39" spans="1:3" x14ac:dyDescent="0.2">
      <c r="A39" t="s">
        <v>335</v>
      </c>
      <c r="B39" s="251">
        <f>+Dominion!D37</f>
        <v>-438</v>
      </c>
      <c r="C39" s="65">
        <f>+Dominion!A41</f>
        <v>37325</v>
      </c>
    </row>
    <row r="40" spans="1:3" x14ac:dyDescent="0.2">
      <c r="A40" t="s">
        <v>209</v>
      </c>
      <c r="B40" s="251">
        <f>+Devon!D37</f>
        <v>3869</v>
      </c>
      <c r="C40" s="65">
        <f>+Devon!A41</f>
        <v>37325</v>
      </c>
    </row>
    <row r="41" spans="1:3" x14ac:dyDescent="0.2">
      <c r="A41" t="s">
        <v>336</v>
      </c>
      <c r="B41" s="251">
        <f>+Amarillo!P37</f>
        <v>7997</v>
      </c>
      <c r="C41" s="65">
        <f>+Amarillo!A41</f>
        <v>37324</v>
      </c>
    </row>
    <row r="42" spans="1:3" x14ac:dyDescent="0.2">
      <c r="A42" t="s">
        <v>337</v>
      </c>
      <c r="B42" s="251">
        <f>+SWGasTrans!D37</f>
        <v>1529</v>
      </c>
      <c r="C42" s="65">
        <f>+SWGasTrans!A41</f>
        <v>37325</v>
      </c>
    </row>
    <row r="43" spans="1:3" x14ac:dyDescent="0.2">
      <c r="A43" t="s">
        <v>338</v>
      </c>
      <c r="B43" s="251">
        <f>+Stratland!D39</f>
        <v>0</v>
      </c>
    </row>
    <row r="44" spans="1:3" x14ac:dyDescent="0.2">
      <c r="A44" t="s">
        <v>339</v>
      </c>
      <c r="B44" s="251">
        <f>+Plains!N37</f>
        <v>0</v>
      </c>
    </row>
    <row r="45" spans="1:3" x14ac:dyDescent="0.2">
      <c r="A45" t="s">
        <v>95</v>
      </c>
      <c r="B45" s="251">
        <f>+burlington!D38</f>
        <v>2689</v>
      </c>
      <c r="C45" s="65">
        <f>+burlington!A42</f>
        <v>37325</v>
      </c>
    </row>
    <row r="47" spans="1:3" x14ac:dyDescent="0.2">
      <c r="B47" s="251">
        <f>SUM(B5:B46)</f>
        <v>-257424.8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6" workbookViewId="0">
      <selection activeCell="B17" sqref="B1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2">
        <f>+A45</f>
        <v>37326</v>
      </c>
      <c r="I23" s="11">
        <f>+B39</f>
        <v>1560080</v>
      </c>
      <c r="J23" s="11">
        <f>+C39</f>
        <v>1539540</v>
      </c>
      <c r="K23" s="11">
        <f>+D39</f>
        <v>206393</v>
      </c>
      <c r="L23" s="11">
        <f>+E39</f>
        <v>197793</v>
      </c>
      <c r="M23" s="42">
        <f>+J23-I23+L23-K23</f>
        <v>-29140</v>
      </c>
      <c r="N23" s="102">
        <f>+summary!G3</f>
        <v>2.48</v>
      </c>
      <c r="O23" s="494">
        <f>+N23*M23</f>
        <v>-72267.199999999997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3">
        <f>SUM(M9:M23)</f>
        <v>60660</v>
      </c>
      <c r="N24" s="102"/>
      <c r="O24" s="102">
        <f>SUM(O9:O23)</f>
        <v>495849.13999999996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1560080</v>
      </c>
      <c r="C39" s="150">
        <f>SUM(C8:C38)</f>
        <v>1539540</v>
      </c>
      <c r="D39" s="150">
        <f>SUM(D8:D38)</f>
        <v>206393</v>
      </c>
      <c r="E39" s="150">
        <f>SUM(E8:E38)</f>
        <v>197793</v>
      </c>
      <c r="F39" s="11">
        <f t="shared" si="5"/>
        <v>-29140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20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37326</v>
      </c>
      <c r="B45" s="32"/>
      <c r="C45" s="106"/>
      <c r="D45" s="106"/>
      <c r="E45" s="106"/>
      <c r="F45" s="24">
        <f>+F44+F39</f>
        <v>35049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37326</v>
      </c>
      <c r="B51" s="32"/>
      <c r="C51" s="32"/>
      <c r="D51" s="348">
        <f>+F39*summary!G3</f>
        <v>-72267.199999999997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409118.8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11.6727666980513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/>
      <c r="C16" s="409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/>
      <c r="C17" s="409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/>
      <c r="C18" s="409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/>
      <c r="C19" s="409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/>
      <c r="C20" s="409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/>
      <c r="C21" s="409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/>
      <c r="C22" s="409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1567474</v>
      </c>
      <c r="C37" s="409">
        <f>SUM(C6:C36)</f>
        <v>1564652</v>
      </c>
      <c r="D37" s="409">
        <f>SUM(D6:D36)</f>
        <v>-2822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5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37325</v>
      </c>
      <c r="B40" s="285"/>
      <c r="C40" s="434"/>
      <c r="D40" s="307">
        <f>+D39+D37</f>
        <v>-4273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37325</v>
      </c>
      <c r="B46" s="32"/>
      <c r="C46" s="32"/>
      <c r="D46" s="373">
        <f>+D37*'by type_area'!G3</f>
        <v>-6998.56</v>
      </c>
    </row>
    <row r="47" spans="1:16" x14ac:dyDescent="0.2">
      <c r="A47" s="32"/>
      <c r="B47" s="32"/>
      <c r="C47" s="32"/>
      <c r="D47" s="200">
        <f>+D46+D45</f>
        <v>329912.44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C15" sqref="C1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-294122</v>
      </c>
      <c r="C36" s="24">
        <f>SUM(C5:C35)</f>
        <v>-291020</v>
      </c>
      <c r="D36" s="24">
        <f t="shared" si="0"/>
        <v>3102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2.4900000000000002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7723.9800000000005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3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37325</v>
      </c>
      <c r="B40"/>
      <c r="C40" s="48"/>
      <c r="D40" s="138">
        <f>+D39+D38</f>
        <v>93925.53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8">
        <v>39515</v>
      </c>
    </row>
    <row r="46" spans="1:65" x14ac:dyDescent="0.2">
      <c r="A46" s="49">
        <f>+A40</f>
        <v>37325</v>
      </c>
      <c r="B46" s="32"/>
      <c r="C46" s="32"/>
      <c r="D46" s="348">
        <f>+D36</f>
        <v>3102</v>
      </c>
    </row>
    <row r="47" spans="1:65" x14ac:dyDescent="0.2">
      <c r="A47" s="32"/>
      <c r="B47" s="32"/>
      <c r="C47" s="32"/>
      <c r="D47" s="14">
        <f>+D46+D45</f>
        <v>42617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2.203945139263674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A26" sqref="A2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314276+31240</f>
        <v>345516</v>
      </c>
      <c r="C5" s="90">
        <v>375632</v>
      </c>
      <c r="D5" s="90">
        <f t="shared" ref="D5:D18" si="0">+C5-B5</f>
        <v>30116</v>
      </c>
      <c r="E5" s="275"/>
      <c r="F5" s="273"/>
    </row>
    <row r="6" spans="1:13" x14ac:dyDescent="0.2">
      <c r="A6" s="87">
        <v>78311</v>
      </c>
      <c r="B6" s="90">
        <f>218175+17249</f>
        <v>235424</v>
      </c>
      <c r="C6" s="90">
        <v>253999</v>
      </c>
      <c r="D6" s="90">
        <f t="shared" si="0"/>
        <v>18575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f>4834+98</f>
        <v>4932</v>
      </c>
      <c r="C7" s="90"/>
      <c r="D7" s="90">
        <f t="shared" si="0"/>
        <v>-4932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f>305190+29677</f>
        <v>334867</v>
      </c>
      <c r="C8" s="90">
        <v>344882</v>
      </c>
      <c r="D8" s="90">
        <f t="shared" si="0"/>
        <v>10015</v>
      </c>
      <c r="E8" s="454"/>
      <c r="F8" s="273"/>
    </row>
    <row r="9" spans="1:13" x14ac:dyDescent="0.2">
      <c r="A9" s="87">
        <v>500239</v>
      </c>
      <c r="B9" s="90">
        <f>371015+39983</f>
        <v>410998</v>
      </c>
      <c r="C9" s="90">
        <v>371796</v>
      </c>
      <c r="D9" s="90">
        <f t="shared" si="0"/>
        <v>-39202</v>
      </c>
      <c r="E9" s="275"/>
      <c r="F9" s="273"/>
    </row>
    <row r="10" spans="1:13" x14ac:dyDescent="0.2">
      <c r="A10" s="87">
        <v>500293</v>
      </c>
      <c r="B10" s="90">
        <f>154284+14793</f>
        <v>169077</v>
      </c>
      <c r="C10" s="90">
        <v>222915</v>
      </c>
      <c r="D10" s="90">
        <f t="shared" si="0"/>
        <v>53838</v>
      </c>
      <c r="E10" s="275"/>
      <c r="F10" s="273"/>
    </row>
    <row r="11" spans="1:13" x14ac:dyDescent="0.2">
      <c r="A11" s="87">
        <v>500302</v>
      </c>
      <c r="B11" s="90"/>
      <c r="C11" s="305">
        <v>2806</v>
      </c>
      <c r="D11" s="90">
        <f t="shared" si="0"/>
        <v>2806</v>
      </c>
      <c r="E11" s="275"/>
      <c r="F11" s="273"/>
    </row>
    <row r="12" spans="1:13" x14ac:dyDescent="0.2">
      <c r="A12" s="87">
        <v>500303</v>
      </c>
      <c r="B12" s="90"/>
      <c r="C12" s="305">
        <v>14390</v>
      </c>
      <c r="D12" s="90">
        <f t="shared" si="0"/>
        <v>14390</v>
      </c>
      <c r="E12" s="276"/>
      <c r="F12" s="464"/>
      <c r="G12" s="90"/>
    </row>
    <row r="13" spans="1:13" x14ac:dyDescent="0.2">
      <c r="A13" s="91">
        <v>500305</v>
      </c>
      <c r="B13" s="90">
        <f>467865+48458</f>
        <v>516323</v>
      </c>
      <c r="C13" s="90">
        <v>579453</v>
      </c>
      <c r="D13" s="90">
        <f t="shared" si="0"/>
        <v>63130</v>
      </c>
      <c r="E13" s="275"/>
      <c r="F13" s="273"/>
    </row>
    <row r="14" spans="1:13" x14ac:dyDescent="0.2">
      <c r="A14" s="87">
        <v>500307</v>
      </c>
      <c r="B14" s="90">
        <f>27670+2991</f>
        <v>30661</v>
      </c>
      <c r="C14" s="90">
        <v>23408</v>
      </c>
      <c r="D14" s="90">
        <f t="shared" si="0"/>
        <v>-7253</v>
      </c>
      <c r="E14" s="275"/>
      <c r="F14" s="273"/>
    </row>
    <row r="15" spans="1:13" x14ac:dyDescent="0.2">
      <c r="A15" s="87">
        <v>500313</v>
      </c>
      <c r="B15" s="90"/>
      <c r="C15" s="90">
        <v>1111</v>
      </c>
      <c r="D15" s="90">
        <f t="shared" si="0"/>
        <v>1111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f>77877+8000</f>
        <v>85877</v>
      </c>
      <c r="C17" s="90"/>
      <c r="D17" s="90">
        <f t="shared" si="0"/>
        <v>-85877</v>
      </c>
      <c r="E17" s="275"/>
      <c r="F17" s="273"/>
      <c r="G17" s="554"/>
    </row>
    <row r="18" spans="1:7" x14ac:dyDescent="0.2">
      <c r="A18" s="87">
        <v>500657</v>
      </c>
      <c r="B18" s="88">
        <f>40448+3700</f>
        <v>44148</v>
      </c>
      <c r="C18" s="88">
        <v>25500</v>
      </c>
      <c r="D18" s="94">
        <f t="shared" si="0"/>
        <v>-18648</v>
      </c>
      <c r="E18" s="275"/>
      <c r="F18" s="464"/>
    </row>
    <row r="19" spans="1:7" x14ac:dyDescent="0.2">
      <c r="A19" s="87"/>
      <c r="B19" s="88"/>
      <c r="C19" s="88"/>
      <c r="D19" s="88">
        <f>SUM(D5:D18)</f>
        <v>38069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2.4900000000000002</v>
      </c>
      <c r="E20" s="207"/>
      <c r="F20" s="464"/>
    </row>
    <row r="21" spans="1:7" x14ac:dyDescent="0.2">
      <c r="A21" s="87"/>
      <c r="B21" s="88"/>
      <c r="C21" s="88"/>
      <c r="D21" s="96">
        <f>+D20*D19</f>
        <v>94791.810000000012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9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37326</v>
      </c>
      <c r="B25" s="88"/>
      <c r="C25" s="88"/>
      <c r="D25" s="318">
        <f>+D23+D21</f>
        <v>133281.11000000002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37326</v>
      </c>
      <c r="B30" s="32"/>
      <c r="C30" s="32"/>
      <c r="D30" s="348">
        <f>+D19</f>
        <v>38069</v>
      </c>
    </row>
    <row r="31" spans="1:7" x14ac:dyDescent="0.2">
      <c r="A31" s="32"/>
      <c r="B31" s="32"/>
      <c r="C31" s="32"/>
      <c r="D31" s="14">
        <f>+D30+D29</f>
        <v>69303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1.923165086648486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1" sqref="A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26038</v>
      </c>
      <c r="E11" s="11">
        <v>26690</v>
      </c>
      <c r="F11" s="25">
        <f>+E11+C11-D11-B11</f>
        <v>-3918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24746</v>
      </c>
      <c r="E12" s="11">
        <v>26414</v>
      </c>
      <c r="F12" s="25">
        <f>+E12+C12-D12-B12</f>
        <v>-1310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302763</v>
      </c>
      <c r="C35" s="11">
        <f>SUM(C4:C34)</f>
        <v>267489</v>
      </c>
      <c r="D35" s="11">
        <f>SUM(D4:D34)</f>
        <v>284857</v>
      </c>
      <c r="E35" s="11">
        <f>SUM(E4:E34)</f>
        <v>286940</v>
      </c>
      <c r="F35" s="11">
        <f>+E35-D35+C35-B35</f>
        <v>-33191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2.48</v>
      </c>
    </row>
    <row r="38" spans="1:7" x14ac:dyDescent="0.2">
      <c r="C38" s="48"/>
      <c r="D38" s="47"/>
      <c r="E38" s="48"/>
      <c r="F38" s="46">
        <f>+F37*F35</f>
        <v>-82313.679999999993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600">
        <v>494173.81</v>
      </c>
      <c r="G40" s="25"/>
    </row>
    <row r="41" spans="1:7" x14ac:dyDescent="0.2">
      <c r="A41" s="57">
        <v>37326</v>
      </c>
      <c r="C41" s="106"/>
      <c r="D41" s="106"/>
      <c r="E41" s="106"/>
      <c r="F41" s="106">
        <f>+F38+F40</f>
        <v>411860.13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1">
        <v>33900</v>
      </c>
      <c r="E46" s="11"/>
      <c r="F46" s="11"/>
      <c r="G46" s="25"/>
    </row>
    <row r="47" spans="1:7" x14ac:dyDescent="0.2">
      <c r="A47" s="49">
        <f>+A41</f>
        <v>37326</v>
      </c>
      <c r="D47" s="348">
        <f>+F35</f>
        <v>-33191</v>
      </c>
      <c r="E47" s="11"/>
      <c r="F47" s="11"/>
      <c r="G47" s="25"/>
    </row>
    <row r="48" spans="1:7" x14ac:dyDescent="0.2">
      <c r="D48" s="14">
        <f>+D47+D46</f>
        <v>709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38" sqref="E3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1712049</v>
      </c>
      <c r="C36" s="11">
        <f>SUM(C5:C35)</f>
        <v>1788802</v>
      </c>
      <c r="D36" s="11">
        <f>SUM(D5:D35)</f>
        <v>0</v>
      </c>
      <c r="E36" s="11">
        <f>SUM(E5:E35)</f>
        <v>-74237</v>
      </c>
      <c r="F36" s="11">
        <f>SUM(F5:F35)</f>
        <v>2516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6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37325</v>
      </c>
      <c r="F41" s="332">
        <f>+F39+F36</f>
        <v>-13623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37325</v>
      </c>
      <c r="C48" s="32"/>
      <c r="D48" s="32"/>
      <c r="E48" s="373">
        <f>+F36*'by type_area'!G3</f>
        <v>6239.68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-487526.32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B41" sqref="B4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78187</v>
      </c>
      <c r="C16" s="11">
        <v>78221</v>
      </c>
      <c r="D16" s="11">
        <f t="shared" si="0"/>
        <v>34</v>
      </c>
      <c r="E16" s="10"/>
      <c r="F16" s="11"/>
      <c r="G16" s="11"/>
      <c r="H16" s="11"/>
    </row>
    <row r="17" spans="1:8" x14ac:dyDescent="0.2">
      <c r="A17" s="10">
        <v>10</v>
      </c>
      <c r="B17" s="11">
        <v>78995</v>
      </c>
      <c r="C17" s="11">
        <v>78221</v>
      </c>
      <c r="D17" s="11">
        <f t="shared" si="0"/>
        <v>-774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841054</v>
      </c>
      <c r="C39" s="11">
        <f>SUM(C8:C38)</f>
        <v>838576</v>
      </c>
      <c r="D39" s="11">
        <f>SUM(D8:D38)</f>
        <v>-2478</v>
      </c>
      <c r="E39" s="10"/>
      <c r="F39" s="11"/>
      <c r="G39" s="11"/>
      <c r="H39" s="11"/>
    </row>
    <row r="40" spans="1:8" x14ac:dyDescent="0.2">
      <c r="A40" s="26"/>
      <c r="D40" s="75">
        <f>+summary!G4</f>
        <v>2.48</v>
      </c>
      <c r="E40" s="26"/>
      <c r="H40" s="75"/>
    </row>
    <row r="41" spans="1:8" x14ac:dyDescent="0.2">
      <c r="D41" s="195">
        <f>+D40*D39</f>
        <v>-6145.44</v>
      </c>
      <c r="F41" s="247"/>
      <c r="H41" s="195"/>
    </row>
    <row r="42" spans="1:8" x14ac:dyDescent="0.2">
      <c r="A42" s="57">
        <v>37315</v>
      </c>
      <c r="D42" s="622">
        <v>21511.71</v>
      </c>
      <c r="E42" s="57"/>
      <c r="H42" s="195"/>
    </row>
    <row r="43" spans="1:8" x14ac:dyDescent="0.2">
      <c r="A43" s="57">
        <v>37325</v>
      </c>
      <c r="D43" s="196">
        <f>+D42+D41</f>
        <v>15366.27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8">
        <v>-45555</v>
      </c>
    </row>
    <row r="49" spans="1:4" x14ac:dyDescent="0.2">
      <c r="A49" s="49">
        <f>+A43</f>
        <v>37325</v>
      </c>
      <c r="B49" s="32"/>
      <c r="C49" s="32"/>
      <c r="D49" s="348">
        <f>+D39</f>
        <v>-2478</v>
      </c>
    </row>
    <row r="50" spans="1:4" x14ac:dyDescent="0.2">
      <c r="A50" s="32"/>
      <c r="B50" s="32"/>
      <c r="C50" s="32"/>
      <c r="D50" s="14">
        <f>+D49+D48</f>
        <v>-48033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G43" sqref="G43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9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37323</v>
      </c>
      <c r="I7" s="3" t="s">
        <v>254</v>
      </c>
      <c r="J7" s="15"/>
    </row>
    <row r="8" spans="1:14" x14ac:dyDescent="0.2">
      <c r="A8" s="248">
        <v>50895</v>
      </c>
      <c r="B8" s="339">
        <f>1596-1610</f>
        <v>-14</v>
      </c>
      <c r="J8" s="15"/>
    </row>
    <row r="9" spans="1:14" x14ac:dyDescent="0.2">
      <c r="A9" s="248">
        <v>60874</v>
      </c>
      <c r="B9" s="339">
        <v>831</v>
      </c>
      <c r="J9" s="15"/>
    </row>
    <row r="10" spans="1:14" x14ac:dyDescent="0.2">
      <c r="A10" s="248">
        <v>78169</v>
      </c>
      <c r="B10" s="339">
        <f>205492-158037-32519</f>
        <v>14936</v>
      </c>
      <c r="I10" s="87" t="s">
        <v>249</v>
      </c>
      <c r="J10" s="479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3352-3716</f>
        <v>-364</v>
      </c>
      <c r="I13" s="87">
        <v>21665</v>
      </c>
      <c r="J13" s="444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958-223</f>
        <v>735</v>
      </c>
      <c r="I14" s="87">
        <v>22664</v>
      </c>
      <c r="J14" s="447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3990-3927</f>
        <v>63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594">
        <f>286712-276510</f>
        <v>10202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26388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2.4900000000000002</v>
      </c>
      <c r="C19" s="199">
        <f>+B19*B18</f>
        <v>65706.12000000001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1565680.8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9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2.48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8">
        <v>363784</v>
      </c>
      <c r="G38" s="610">
        <v>117857</v>
      </c>
      <c r="H38" s="608">
        <v>197167</v>
      </c>
      <c r="I38" s="14"/>
    </row>
    <row r="39" spans="1:9" x14ac:dyDescent="0.2">
      <c r="E39" s="49">
        <f>+A7</f>
        <v>37323</v>
      </c>
      <c r="F39" s="348">
        <f>+B18</f>
        <v>26388</v>
      </c>
      <c r="G39" s="348">
        <f>+B31</f>
        <v>0</v>
      </c>
      <c r="H39" s="348">
        <f>+B46</f>
        <v>711</v>
      </c>
      <c r="I39" s="14"/>
    </row>
    <row r="40" spans="1:9" x14ac:dyDescent="0.2">
      <c r="A40" s="49">
        <v>37315</v>
      </c>
      <c r="C40" s="609">
        <v>863723.35</v>
      </c>
      <c r="F40" s="14">
        <f>+F39+F38</f>
        <v>390172</v>
      </c>
      <c r="G40" s="14">
        <f>+G39+G38</f>
        <v>117857</v>
      </c>
      <c r="H40" s="14">
        <f>+H39+H38</f>
        <v>197878</v>
      </c>
      <c r="I40" s="14">
        <f>+H40+G40+F40</f>
        <v>705907</v>
      </c>
    </row>
    <row r="41" spans="1:9" x14ac:dyDescent="0.2">
      <c r="G41" s="32"/>
      <c r="H41" s="15"/>
      <c r="I41" s="32"/>
    </row>
    <row r="42" spans="1:9" x14ac:dyDescent="0.2">
      <c r="A42" s="245">
        <v>37323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711</v>
      </c>
      <c r="G45" s="32"/>
      <c r="H45" s="379"/>
      <c r="I45" s="14"/>
    </row>
    <row r="46" spans="1:9" x14ac:dyDescent="0.2">
      <c r="B46" s="14">
        <f>SUM(B43:B45)</f>
        <v>711</v>
      </c>
      <c r="G46" s="32"/>
      <c r="H46" s="379"/>
      <c r="I46" s="14"/>
    </row>
    <row r="47" spans="1:9" x14ac:dyDescent="0.2">
      <c r="B47" s="199">
        <f>+summary!G5</f>
        <v>2.4900000000000002</v>
      </c>
      <c r="C47" s="199">
        <f>+B47*B46</f>
        <v>1770.39</v>
      </c>
      <c r="H47" s="379"/>
      <c r="I47" s="14"/>
    </row>
    <row r="48" spans="1:9" x14ac:dyDescent="0.2">
      <c r="C48" s="321">
        <f>+C47+C40</f>
        <v>865493.74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7">
        <v>23612.35</v>
      </c>
      <c r="D54" s="32" t="s">
        <v>120</v>
      </c>
      <c r="H54" s="379">
        <v>22664</v>
      </c>
      <c r="I54" s="606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2803545.69</v>
      </c>
      <c r="I57" s="14">
        <f>SUM(I40:I54)</f>
        <v>761240</v>
      </c>
    </row>
    <row r="61" spans="1:9" x14ac:dyDescent="0.2">
      <c r="C61" s="15">
        <f>+DEFS!F49</f>
        <v>-2911899.1300000004</v>
      </c>
    </row>
    <row r="62" spans="1:9" x14ac:dyDescent="0.2">
      <c r="C62" s="15">
        <f>+C61+C57</f>
        <v>-108353.44000000041</v>
      </c>
      <c r="I62" s="31">
        <f>+I57+DEFS!K49</f>
        <v>274550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1565680.8</v>
      </c>
      <c r="C72" s="14">
        <f>+F40</f>
        <v>390172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865493.74</v>
      </c>
      <c r="C74" s="14">
        <f>+H40</f>
        <v>197878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-1043873.03</v>
      </c>
      <c r="C77" s="14">
        <f>+DEFS!I36</f>
        <v>-187220</v>
      </c>
      <c r="D77" s="16"/>
    </row>
    <row r="78" spans="1:4" x14ac:dyDescent="0.2">
      <c r="A78" s="32">
        <v>22051</v>
      </c>
      <c r="B78" s="15">
        <f>+DEFS!E40</f>
        <v>-663208.97</v>
      </c>
      <c r="C78" s="14">
        <f>+DEFS!J36</f>
        <v>-170963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-108353.44000000018</v>
      </c>
      <c r="C83" s="16">
        <f>SUM(C72:C82)</f>
        <v>274550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G48" sqref="G48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8">
        <v>-183022</v>
      </c>
      <c r="J34" s="608">
        <v>-164488</v>
      </c>
      <c r="K34" s="14"/>
      <c r="L34" s="14"/>
    </row>
    <row r="35" spans="1:13" x14ac:dyDescent="0.2">
      <c r="A35" s="10"/>
      <c r="B35" s="11">
        <f>SUM(B4:B34)</f>
        <v>4198</v>
      </c>
      <c r="C35" s="11">
        <f>SUM(C4:C34)</f>
        <v>0</v>
      </c>
      <c r="D35" s="11">
        <f>SUM(D4:D34)</f>
        <v>276500</v>
      </c>
      <c r="E35" s="11">
        <f>SUM(E4:E34)</f>
        <v>270025</v>
      </c>
      <c r="F35" s="11">
        <f>SUM(F4:F34)</f>
        <v>-10673</v>
      </c>
      <c r="G35" s="11"/>
      <c r="H35" s="49">
        <f>+A40</f>
        <v>37323</v>
      </c>
      <c r="I35" s="348">
        <f>+C36</f>
        <v>-4198</v>
      </c>
      <c r="J35" s="348">
        <f>+E36</f>
        <v>-6475</v>
      </c>
      <c r="K35" s="206"/>
      <c r="L35" s="14"/>
    </row>
    <row r="36" spans="1:13" x14ac:dyDescent="0.2">
      <c r="C36" s="25">
        <f>+C35-B35</f>
        <v>-4198</v>
      </c>
      <c r="E36" s="25">
        <f>+E35-D35</f>
        <v>-6475</v>
      </c>
      <c r="F36" s="25">
        <f>+E36+C36</f>
        <v>-10673</v>
      </c>
      <c r="H36" s="32"/>
      <c r="I36" s="14">
        <f>+I35+I34</f>
        <v>-187220</v>
      </c>
      <c r="J36" s="14">
        <f>+J35+J34</f>
        <v>-170963</v>
      </c>
      <c r="K36" s="14">
        <f>+J36+I36</f>
        <v>-358183</v>
      </c>
      <c r="L36" s="14"/>
    </row>
    <row r="37" spans="1:13" x14ac:dyDescent="0.2">
      <c r="C37" s="313">
        <f>+summary!G5</f>
        <v>2.4900000000000002</v>
      </c>
      <c r="E37" s="104">
        <f>+C37</f>
        <v>2.4900000000000002</v>
      </c>
      <c r="F37" s="138">
        <f>+F36*E37</f>
        <v>-26575.770000000004</v>
      </c>
    </row>
    <row r="38" spans="1:13" x14ac:dyDescent="0.2">
      <c r="C38" s="138">
        <f>+C37*C36</f>
        <v>-10453.02</v>
      </c>
      <c r="E38" s="136">
        <f>+E37*E36</f>
        <v>-16122.750000000002</v>
      </c>
      <c r="F38" s="138">
        <f>+E38+C38</f>
        <v>-26575.770000000004</v>
      </c>
    </row>
    <row r="39" spans="1:13" x14ac:dyDescent="0.2">
      <c r="A39" s="57">
        <v>37315</v>
      </c>
      <c r="B39" s="2" t="s">
        <v>45</v>
      </c>
      <c r="C39" s="615">
        <v>-1033420.01</v>
      </c>
      <c r="D39" s="320"/>
      <c r="E39" s="614">
        <v>-647086.22</v>
      </c>
      <c r="F39" s="319">
        <f>+E39+C39</f>
        <v>-1680506.23</v>
      </c>
    </row>
    <row r="40" spans="1:13" x14ac:dyDescent="0.2">
      <c r="A40" s="57">
        <v>37323</v>
      </c>
      <c r="B40" s="2" t="s">
        <v>45</v>
      </c>
      <c r="C40" s="314">
        <f>+C39+C38</f>
        <v>-1043873.03</v>
      </c>
      <c r="D40" s="252"/>
      <c r="E40" s="314">
        <f>+E39+E38</f>
        <v>-663208.97</v>
      </c>
      <c r="F40" s="314">
        <f>+E40+C40</f>
        <v>-1707082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9">
        <v>-51695.87</v>
      </c>
      <c r="G45" s="249" t="s">
        <v>122</v>
      </c>
      <c r="J45" s="12">
        <v>20379</v>
      </c>
      <c r="K45" s="610">
        <v>2979</v>
      </c>
      <c r="M45" s="14"/>
    </row>
    <row r="46" spans="1:13" x14ac:dyDescent="0.2">
      <c r="C46" s="246"/>
      <c r="D46" s="246"/>
      <c r="E46" s="12">
        <v>26357</v>
      </c>
      <c r="F46" s="617">
        <f>44144.84-58339.66</f>
        <v>-14194.820000000007</v>
      </c>
      <c r="G46" s="249" t="s">
        <v>123</v>
      </c>
      <c r="J46" s="12">
        <v>26357</v>
      </c>
      <c r="K46" s="610">
        <f>26521-24566</f>
        <v>1955</v>
      </c>
    </row>
    <row r="47" spans="1:13" x14ac:dyDescent="0.2">
      <c r="C47" s="246"/>
      <c r="D47" s="246"/>
      <c r="E47" s="12">
        <v>21544</v>
      </c>
      <c r="F47" s="609">
        <v>61340.160000000003</v>
      </c>
      <c r="G47" s="249" t="s">
        <v>124</v>
      </c>
      <c r="J47" s="12">
        <v>21544</v>
      </c>
      <c r="K47" s="610">
        <v>36108</v>
      </c>
    </row>
    <row r="48" spans="1:13" x14ac:dyDescent="0.2">
      <c r="C48" s="246"/>
      <c r="D48" s="246"/>
      <c r="E48" s="12">
        <v>24532</v>
      </c>
      <c r="F48" s="616">
        <v>-1200266.6000000001</v>
      </c>
      <c r="G48" s="249" t="s">
        <v>121</v>
      </c>
      <c r="J48" s="12">
        <v>24532</v>
      </c>
      <c r="K48" s="608">
        <v>-169549</v>
      </c>
    </row>
    <row r="49" spans="3:13" x14ac:dyDescent="0.2">
      <c r="C49" s="246"/>
      <c r="D49" s="246"/>
      <c r="F49" s="330">
        <f>SUM(F40:F48)</f>
        <v>-2911899.1300000004</v>
      </c>
      <c r="G49" s="246"/>
      <c r="K49" s="14">
        <f>SUM(K36:K48)</f>
        <v>-486690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2803545.69</v>
      </c>
      <c r="M51" s="14">
        <f>+Duke!I57</f>
        <v>761240</v>
      </c>
    </row>
    <row r="53" spans="3:13" x14ac:dyDescent="0.2">
      <c r="F53" s="104">
        <f>+F51+F49</f>
        <v>-108353.44000000041</v>
      </c>
      <c r="M53" s="16">
        <f>+M51+K49</f>
        <v>274550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-187220</v>
      </c>
      <c r="C73" s="247">
        <f>+C40</f>
        <v>-1043873.03</v>
      </c>
    </row>
    <row r="74" spans="1:3" x14ac:dyDescent="0.2">
      <c r="A74">
        <v>22051</v>
      </c>
      <c r="B74" s="31">
        <f>+J36</f>
        <v>-170963</v>
      </c>
      <c r="C74" s="247">
        <f>+E40</f>
        <v>-663208.97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197878</v>
      </c>
      <c r="C77" s="259">
        <f>+Duke!C48</f>
        <v>865493.74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390172</v>
      </c>
      <c r="C79" s="259">
        <f>+Duke!C20</f>
        <v>1565680.8</v>
      </c>
    </row>
    <row r="81" spans="2:3" x14ac:dyDescent="0.2">
      <c r="B81" s="31">
        <f>SUM(B68:B80)</f>
        <v>274550</v>
      </c>
      <c r="C81" s="259">
        <f>SUM(C68:C80)</f>
        <v>-108353.43999999971</v>
      </c>
    </row>
    <row r="82" spans="2:3" x14ac:dyDescent="0.2">
      <c r="C82">
        <f>+C81/B81</f>
        <v>-0.39465831360407833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3" workbookViewId="0">
      <selection activeCell="C43" sqref="C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5484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-1502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5409</v>
      </c>
      <c r="C18" s="11">
        <v>4944</v>
      </c>
      <c r="D18" s="11"/>
      <c r="E18" s="11"/>
      <c r="F18" s="129">
        <v>870</v>
      </c>
      <c r="G18" s="11">
        <v>901</v>
      </c>
      <c r="H18" s="11">
        <v>1372</v>
      </c>
      <c r="I18" s="11">
        <v>1247</v>
      </c>
      <c r="J18" s="25">
        <f t="shared" si="0"/>
        <v>-559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59002</v>
      </c>
      <c r="C39" s="11">
        <f t="shared" si="1"/>
        <v>57464</v>
      </c>
      <c r="D39" s="11">
        <f t="shared" si="1"/>
        <v>2</v>
      </c>
      <c r="E39" s="11">
        <f t="shared" si="1"/>
        <v>0</v>
      </c>
      <c r="F39" s="129">
        <f t="shared" si="1"/>
        <v>9400</v>
      </c>
      <c r="G39" s="11">
        <f t="shared" si="1"/>
        <v>8074</v>
      </c>
      <c r="H39" s="11">
        <f t="shared" si="1"/>
        <v>14975</v>
      </c>
      <c r="I39" s="11">
        <f t="shared" si="1"/>
        <v>13717</v>
      </c>
      <c r="J39" s="25">
        <f t="shared" si="1"/>
        <v>-4124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2.48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-10227.52</v>
      </c>
      <c r="L41"/>
      <c r="R41" s="138"/>
      <c r="X41" s="138"/>
    </row>
    <row r="42" spans="1:24" x14ac:dyDescent="0.2">
      <c r="A42" s="57">
        <v>37315</v>
      </c>
      <c r="C42" s="15"/>
      <c r="J42" s="604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37326</v>
      </c>
      <c r="C43" s="48"/>
      <c r="J43" s="138">
        <f>+J42+J41</f>
        <v>315959.76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9">
        <v>128267</v>
      </c>
      <c r="L47"/>
    </row>
    <row r="48" spans="1:24" x14ac:dyDescent="0.2">
      <c r="A48" s="49">
        <f>+A43</f>
        <v>37326</v>
      </c>
      <c r="B48" s="32"/>
      <c r="C48" s="32"/>
      <c r="D48" s="348">
        <f>+J39</f>
        <v>-4124</v>
      </c>
      <c r="L48"/>
    </row>
    <row r="49" spans="1:12" x14ac:dyDescent="0.2">
      <c r="A49" s="32"/>
      <c r="B49" s="32"/>
      <c r="C49" s="32"/>
      <c r="D49" s="14">
        <f>+D48+D47</f>
        <v>124143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3" workbookViewId="0">
      <selection activeCell="B31" sqref="B3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2.48</v>
      </c>
      <c r="H3" s="400">
        <f ca="1">NOW()</f>
        <v>37327.76403622685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2.48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2.4900000000000002</v>
      </c>
      <c r="H5" s="209" t="s">
        <v>314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9724.8499999999985</v>
      </c>
      <c r="C12" s="367">
        <f>+B12/$G$4</f>
        <v>3921.3104838709673</v>
      </c>
      <c r="D12" s="14">
        <f>+Calpine!D47</f>
        <v>92094</v>
      </c>
      <c r="E12" s="70">
        <f>+C12-D12</f>
        <v>-88172.68951612903</v>
      </c>
      <c r="F12" s="362">
        <f>+Calpine!A41</f>
        <v>37325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41478.14</v>
      </c>
      <c r="C13" s="366">
        <f>+B13/$G$4</f>
        <v>16725.056451612902</v>
      </c>
      <c r="D13" s="14">
        <f>+'Citizens-Griffith'!D48</f>
        <v>24844</v>
      </c>
      <c r="E13" s="70">
        <f>+C13-D13</f>
        <v>-8118.9435483870984</v>
      </c>
      <c r="F13" s="362">
        <f>+'Citizens-Griffith'!A41</f>
        <v>37325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587">
        <f>+SWGasTrans!D41</f>
        <v>-11927.84</v>
      </c>
      <c r="C14" s="366">
        <f>+B14/G4</f>
        <v>-4809.6129032258068</v>
      </c>
      <c r="D14" s="14">
        <f>+SWGasTrans!$D$48</f>
        <v>6948</v>
      </c>
      <c r="E14" s="70">
        <f>+C14-D14</f>
        <v>-11757.612903225807</v>
      </c>
      <c r="F14" s="362">
        <f>+SWGasTrans!A41</f>
        <v>37325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-249702.26</v>
      </c>
      <c r="C15" s="366">
        <f>+B15/$G$4</f>
        <v>-100686.39516129033</v>
      </c>
      <c r="D15" s="14">
        <f>+'NS Steel'!D50</f>
        <v>5777</v>
      </c>
      <c r="E15" s="70">
        <f>+C15-D15</f>
        <v>-106463.39516129033</v>
      </c>
      <c r="F15" s="363">
        <f>+'NS Steel'!A41</f>
        <v>37326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-588382.12999999989</v>
      </c>
      <c r="C16" s="368">
        <f>+B16/$G$4</f>
        <v>-237250.8588709677</v>
      </c>
      <c r="D16" s="348">
        <f>+Citizens!D24</f>
        <v>-60166</v>
      </c>
      <c r="E16" s="72">
        <f>+C16-D16</f>
        <v>-177084.8588709677</v>
      </c>
      <c r="F16" s="362">
        <f>+Citizens!A18</f>
        <v>37325</v>
      </c>
      <c r="G16" s="203" t="s">
        <v>299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-798809.23999999987</v>
      </c>
      <c r="C17" s="391">
        <f>SUBTOTAL(9,C12:C16)</f>
        <v>-322100.5</v>
      </c>
      <c r="D17" s="392">
        <f>SUBTOTAL(9,D12:D16)</f>
        <v>69497</v>
      </c>
      <c r="E17" s="393">
        <f>SUBTOTAL(9,E12:E16)</f>
        <v>-391597.49999999994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15366.27</v>
      </c>
      <c r="C20" s="366">
        <f>+B20/$G$4</f>
        <v>6196.0766129032263</v>
      </c>
      <c r="D20" s="14">
        <f>+transcol!D50</f>
        <v>-48033</v>
      </c>
      <c r="E20" s="70">
        <f>+C20-D20</f>
        <v>54229.076612903227</v>
      </c>
      <c r="F20" s="363">
        <f>+transcol!A43</f>
        <v>37325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288</v>
      </c>
      <c r="B21" s="586">
        <f>+C21*G3</f>
        <v>50510.159999999996</v>
      </c>
      <c r="C21" s="366">
        <f>+williams!J40</f>
        <v>20367</v>
      </c>
      <c r="D21" s="14">
        <f>+C21</f>
        <v>20367</v>
      </c>
      <c r="E21" s="70">
        <f>+C21-D21</f>
        <v>0</v>
      </c>
      <c r="F21" s="363">
        <f>+williams!A40</f>
        <v>37326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-7276.0700000000006</v>
      </c>
      <c r="C22" s="370">
        <f>+B22/$G$3</f>
        <v>-2933.8991935483873</v>
      </c>
      <c r="D22" s="348">
        <f>+burlington!D49</f>
        <v>-4341</v>
      </c>
      <c r="E22" s="72">
        <f>+C22-D22</f>
        <v>1407.1008064516127</v>
      </c>
      <c r="F22" s="362">
        <f>+burlington!A42</f>
        <v>37325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58600.359999999993</v>
      </c>
      <c r="C23" s="387">
        <f>SUBTOTAL(9,C20:C22)</f>
        <v>23629.177419354841</v>
      </c>
      <c r="D23" s="392">
        <f>SUBTOTAL(9,D20:D22)</f>
        <v>-32007</v>
      </c>
      <c r="E23" s="393">
        <f>SUBTOTAL(9,E20:E22)</f>
        <v>55636.177419354841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41456</v>
      </c>
      <c r="C26" s="366">
        <f>+B26/$G$4</f>
        <v>16716.129032258064</v>
      </c>
      <c r="D26" s="14">
        <f>+NNG!D34</f>
        <v>18458</v>
      </c>
      <c r="E26" s="70">
        <f t="shared" ref="E26:E48" si="0">+C26-D26</f>
        <v>-1741.8709677419356</v>
      </c>
      <c r="F26" s="362">
        <f>+NNG!A24</f>
        <v>37326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411860.13</v>
      </c>
      <c r="C27" s="366">
        <f>+B27/$G$4</f>
        <v>166072.63306451612</v>
      </c>
      <c r="D27" s="14">
        <f>+Conoco!D48</f>
        <v>709</v>
      </c>
      <c r="E27" s="70">
        <f t="shared" si="0"/>
        <v>165363.63306451612</v>
      </c>
      <c r="F27" s="362">
        <f>+Conoco!A41</f>
        <v>37326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237281.22999999998</v>
      </c>
      <c r="C28" s="366">
        <f>+B28/$G$4</f>
        <v>95677.915322580637</v>
      </c>
      <c r="D28" s="14">
        <f>+'Amoco Abo'!D49</f>
        <v>-332219</v>
      </c>
      <c r="E28" s="70">
        <f t="shared" si="0"/>
        <v>427896.91532258061</v>
      </c>
      <c r="F28" s="363">
        <f>+'Amoco Abo'!A43</f>
        <v>37326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329320.86</v>
      </c>
      <c r="C29" s="366">
        <f>+B29/$G$4</f>
        <v>132790.6693548387</v>
      </c>
      <c r="D29" s="14">
        <f>+KN_Westar!D48</f>
        <v>-38076</v>
      </c>
      <c r="E29" s="70">
        <f t="shared" si="0"/>
        <v>170866.6693548387</v>
      </c>
      <c r="F29" s="363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246</v>
      </c>
      <c r="B30" s="581">
        <f>+Duke!B83</f>
        <v>-108353.44000000018</v>
      </c>
      <c r="C30" s="367">
        <f>+B30/$G$5</f>
        <v>-43515.437751004087</v>
      </c>
      <c r="D30" s="14">
        <f>+DEFS!$I$36+DEFS!$J$36+DEFS!$K$45+DEFS!$K$46+DEFS!$K$47+DEFS!$K$48+Duke!I53+Duke!I54+Duke!F40+Duke!G40+Duke!H40</f>
        <v>274550</v>
      </c>
      <c r="E30" s="70">
        <f t="shared" si="0"/>
        <v>-318065.43775100406</v>
      </c>
      <c r="F30" s="363">
        <f>+DEFS!A40</f>
        <v>37323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315959.76</v>
      </c>
      <c r="C31" s="366">
        <f>+B31/$G$4</f>
        <v>127403.12903225808</v>
      </c>
      <c r="D31" s="14">
        <f>+mewborne!D49</f>
        <v>124143</v>
      </c>
      <c r="E31" s="70">
        <f t="shared" si="0"/>
        <v>3260.1290322580753</v>
      </c>
      <c r="F31" s="363">
        <f>+mewborne!A43</f>
        <v>37326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52580.800000000003</v>
      </c>
      <c r="C32" s="366">
        <f>+B32/$G$4</f>
        <v>21201.93548387097</v>
      </c>
      <c r="D32" s="14">
        <f>+PGETX!E48</f>
        <v>51521</v>
      </c>
      <c r="E32" s="70">
        <f t="shared" si="0"/>
        <v>-30319.06451612903</v>
      </c>
      <c r="F32" s="363">
        <f>+PGETX!E39</f>
        <v>37325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732808.44</v>
      </c>
      <c r="C33" s="366">
        <f>+B33/$G$4</f>
        <v>295487.27419354836</v>
      </c>
      <c r="D33" s="14">
        <f>+PNM!D30</f>
        <v>301091</v>
      </c>
      <c r="E33" s="70">
        <f t="shared" si="0"/>
        <v>-5603.7258064516354</v>
      </c>
      <c r="F33" s="363">
        <f>+PNM!A23</f>
        <v>37326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-28926.989999999998</v>
      </c>
      <c r="C34" s="366">
        <f>+B34/$G$4</f>
        <v>-11664.108870967741</v>
      </c>
      <c r="D34" s="14">
        <f>+EOG!D48</f>
        <v>-136950</v>
      </c>
      <c r="E34" s="70">
        <f t="shared" si="0"/>
        <v>125285.89112903226</v>
      </c>
      <c r="F34" s="362">
        <f>+EOG!A41</f>
        <v>37325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93925.53</v>
      </c>
      <c r="C35" s="366">
        <f>+B35/G5</f>
        <v>37721.096385542165</v>
      </c>
      <c r="D35" s="14">
        <f>+Oasis!D47</f>
        <v>42617</v>
      </c>
      <c r="E35" s="70">
        <f>+C35-D35</f>
        <v>-4895.9036144578349</v>
      </c>
      <c r="F35" s="362">
        <f>+Oasis!A40</f>
        <v>37325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6104.6399999999994</v>
      </c>
      <c r="C36" s="366">
        <f>+B36/$G$5</f>
        <v>2451.662650602409</v>
      </c>
      <c r="D36" s="14">
        <f>+SidR!D48</f>
        <v>2912</v>
      </c>
      <c r="E36" s="70">
        <f t="shared" si="0"/>
        <v>-460.33734939759097</v>
      </c>
      <c r="F36" s="363">
        <f>+SidR!A41</f>
        <v>37326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256</v>
      </c>
      <c r="B37" s="587">
        <f>+MiVida_Rich!D41</f>
        <v>-191635</v>
      </c>
      <c r="C37" s="366">
        <f>+B37/$G$5</f>
        <v>-76961.847389558228</v>
      </c>
      <c r="D37" s="14">
        <f>+MiVida_Rich!D48</f>
        <v>-45642</v>
      </c>
      <c r="E37" s="70">
        <f>+C37-D37</f>
        <v>-31319.847389558228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170917.77000000002</v>
      </c>
      <c r="C38" s="366">
        <f>+B38/$G$5</f>
        <v>68641.674698795177</v>
      </c>
      <c r="D38" s="14">
        <f>+Dominion!D48</f>
        <v>74727</v>
      </c>
      <c r="E38" s="70">
        <f t="shared" si="0"/>
        <v>-6085.3253012048226</v>
      </c>
      <c r="F38" s="363">
        <f>+Dominion!A41</f>
        <v>37325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-19880.599999999999</v>
      </c>
      <c r="C39" s="366">
        <f>+B39/$G$4</f>
        <v>-8016.3709677419347</v>
      </c>
      <c r="D39" s="14">
        <f>+WTGmktg!D50</f>
        <v>3410</v>
      </c>
      <c r="E39" s="70">
        <f t="shared" si="0"/>
        <v>-11426.370967741936</v>
      </c>
      <c r="F39" s="363">
        <f>+WTGmktg!A43</f>
        <v>37323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4">
        <f>+'WTG inc'!N43</f>
        <v>16899.329999999998</v>
      </c>
      <c r="C40" s="366">
        <f>+B40/G4</f>
        <v>6814.2459677419347</v>
      </c>
      <c r="D40" s="14">
        <f>+'WTG inc'!D50</f>
        <v>4813</v>
      </c>
      <c r="E40" s="70">
        <f>+C40-D40</f>
        <v>2001.2459677419347</v>
      </c>
      <c r="F40" s="363">
        <f>+'WTG inc'!A43</f>
        <v>37323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10665.810000000001</v>
      </c>
      <c r="C41" s="366">
        <f>+B41/$G$5</f>
        <v>4283.4578313253014</v>
      </c>
      <c r="D41" s="14">
        <f>+Devon!D48</f>
        <v>4356</v>
      </c>
      <c r="E41" s="70">
        <f t="shared" si="0"/>
        <v>-72.542168674698587</v>
      </c>
      <c r="F41" s="363">
        <f>+Devon!A41</f>
        <v>37325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-120523.6</v>
      </c>
      <c r="C42" s="366">
        <f>+B42/$G$4</f>
        <v>-48598.225806451614</v>
      </c>
      <c r="D42" s="14">
        <f>+crosstex!D48</f>
        <v>-34765</v>
      </c>
      <c r="E42" s="70">
        <f t="shared" si="0"/>
        <v>-13833.225806451614</v>
      </c>
      <c r="F42" s="363">
        <f>+crosstex!A41</f>
        <v>37323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127498.97</v>
      </c>
      <c r="C43" s="366">
        <f>+B43/$G$4</f>
        <v>51410.875</v>
      </c>
      <c r="D43" s="14">
        <f>+Amarillo!D48</f>
        <v>53521</v>
      </c>
      <c r="E43" s="70">
        <f t="shared" si="0"/>
        <v>-2110.125</v>
      </c>
      <c r="F43" s="363">
        <f>+Amarillo!A41</f>
        <v>37324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581">
        <f>+Stratland!$D$41</f>
        <v>69765.440000000002</v>
      </c>
      <c r="C44" s="367">
        <f>+B44/$G$4</f>
        <v>28131.225806451614</v>
      </c>
      <c r="D44" s="14">
        <f>+Stratland!D48</f>
        <v>27486</v>
      </c>
      <c r="E44" s="70">
        <f>+C44-D44</f>
        <v>645.22580645161361</v>
      </c>
      <c r="F44" s="362">
        <f>+Stratland!A41</f>
        <v>37315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581">
        <f>+Plains!$N$43</f>
        <v>66185.02</v>
      </c>
      <c r="C45" s="584">
        <f>+B45/$G$4</f>
        <v>26687.508064516132</v>
      </c>
      <c r="D45" s="14">
        <f>+Plains!D50</f>
        <v>23662</v>
      </c>
      <c r="E45" s="70">
        <f>+C45-D45</f>
        <v>3025.5080645161324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59434.94</v>
      </c>
      <c r="C46" s="367">
        <f>+B46/$G$4</f>
        <v>23965.701612903227</v>
      </c>
      <c r="D46" s="14">
        <f>+Continental!D50</f>
        <v>8656</v>
      </c>
      <c r="E46" s="70">
        <f t="shared" si="0"/>
        <v>15309.701612903227</v>
      </c>
      <c r="F46" s="363">
        <f>+Continental!A43</f>
        <v>37324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143035.17000000001</v>
      </c>
      <c r="C47" s="367">
        <f>+B47/$G$5</f>
        <v>57443.843373493975</v>
      </c>
      <c r="D47" s="14">
        <f>+EPFS!D47</f>
        <v>83775</v>
      </c>
      <c r="E47" s="70">
        <f t="shared" si="0"/>
        <v>-26331.156626506025</v>
      </c>
      <c r="F47" s="362">
        <f>+EPFS!A41</f>
        <v>37326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133281.11000000002</v>
      </c>
      <c r="C48" s="368">
        <f>+B48/$G$4</f>
        <v>53742.383064516136</v>
      </c>
      <c r="D48" s="348">
        <f>+Agave!D31</f>
        <v>69303</v>
      </c>
      <c r="E48" s="72">
        <f t="shared" si="0"/>
        <v>-15560.616935483864</v>
      </c>
      <c r="F48" s="362">
        <f>+Agave!A25</f>
        <v>37326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2549661.3199999994</v>
      </c>
      <c r="C49" s="391">
        <f>SUBTOTAL(9,C26:C48)</f>
        <v>1027887.3691540355</v>
      </c>
      <c r="D49" s="392">
        <f>SUBTOTAL(9,D26:D48)</f>
        <v>582058</v>
      </c>
      <c r="E49" s="393">
        <f>SUBTOTAL(9,E26:E48)</f>
        <v>445829.36915403535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1809452.4399999997</v>
      </c>
      <c r="C51" s="391">
        <f>SUBTOTAL(9,C12:C48)</f>
        <v>729416.04657339037</v>
      </c>
      <c r="D51" s="392">
        <f>SUBTOTAL(9,D12:D48)</f>
        <v>619548</v>
      </c>
      <c r="E51" s="393">
        <f>SUBTOTAL(9,E12:E48)</f>
        <v>109868.04657339025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2.48</v>
      </c>
      <c r="H57" s="400">
        <f ca="1">NOW()</f>
        <v>37327.76403622685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2.48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2.4900000000000002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823</v>
      </c>
      <c r="C66" s="581">
        <f>+B66*$I$5</f>
        <v>1892.8999999999999</v>
      </c>
      <c r="D66" s="47">
        <f>+Mojave!D47</f>
        <v>2041.04</v>
      </c>
      <c r="E66" s="47">
        <f>+C66-D66</f>
        <v>-148.1400000000001</v>
      </c>
      <c r="F66" s="363">
        <f>+Mojave!A40</f>
        <v>37325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-57931</v>
      </c>
      <c r="C67" s="581">
        <f>+B67*$G$4</f>
        <v>-143668.88</v>
      </c>
      <c r="D67" s="47">
        <f>+SoCal!D47</f>
        <v>-60829.640000000014</v>
      </c>
      <c r="E67" s="47">
        <f>+C67-D67</f>
        <v>-82839.239999999991</v>
      </c>
      <c r="F67" s="363">
        <f>+SoCal!A40</f>
        <v>37326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159387.12</v>
      </c>
      <c r="D68" s="47">
        <f>+'El Paso'!C46</f>
        <v>-1582961.01</v>
      </c>
      <c r="E68" s="47">
        <f>+C68-D68</f>
        <v>1742348.13</v>
      </c>
      <c r="F68" s="363">
        <f>+'El Paso'!A39</f>
        <v>37326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4133</v>
      </c>
      <c r="C69" s="583">
        <f>+B69*$G$4</f>
        <v>10249.84</v>
      </c>
      <c r="D69" s="347">
        <f>+'PG&amp;E'!D47</f>
        <v>-196017.8</v>
      </c>
      <c r="E69" s="347">
        <f>+C69-D69</f>
        <v>206267.63999999998</v>
      </c>
      <c r="F69" s="363">
        <f>+'PG&amp;E'!A40</f>
        <v>37326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11294</v>
      </c>
      <c r="C70" s="386">
        <f>SUBTOTAL(9,C66:C69)</f>
        <v>27860.979999999985</v>
      </c>
      <c r="D70" s="386">
        <f>SUBTOTAL(9,D66:D69)</f>
        <v>-1837767.4100000001</v>
      </c>
      <c r="E70" s="386">
        <f>SUBTOTAL(9,E66:E69)</f>
        <v>1865628.39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35049</v>
      </c>
      <c r="C73" s="582">
        <f>+B73*G57</f>
        <v>86921.52</v>
      </c>
      <c r="D73" s="200">
        <f>+'Red C'!D52</f>
        <v>409118.8</v>
      </c>
      <c r="E73" s="47">
        <f>+C73-D73</f>
        <v>-322197.27999999997</v>
      </c>
      <c r="F73" s="362">
        <f>+'Red C'!A45</f>
        <v>37326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6">
        <f>+Amoco!D40</f>
        <v>-4273</v>
      </c>
      <c r="C74" s="587">
        <f>+B74*$G$3</f>
        <v>-10597.039999999999</v>
      </c>
      <c r="D74" s="47">
        <f>+Amoco!D47</f>
        <v>329912.44</v>
      </c>
      <c r="E74" s="47">
        <f>+C74-D74</f>
        <v>-340509.48</v>
      </c>
      <c r="F74" s="363">
        <f>+Amoco!A40</f>
        <v>37325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-65103</v>
      </c>
      <c r="C75" s="581">
        <f>+B75*$G$3</f>
        <v>-161455.44</v>
      </c>
      <c r="D75" s="47">
        <f>+'El Paso'!F46</f>
        <v>-657254.01</v>
      </c>
      <c r="E75" s="47">
        <f>+C75-D75</f>
        <v>495798.57</v>
      </c>
      <c r="F75" s="363">
        <f>+'El Paso'!A39</f>
        <v>37326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-13623</v>
      </c>
      <c r="C76" s="588">
        <f>+B76*$G$3</f>
        <v>-33785.040000000001</v>
      </c>
      <c r="D76" s="347">
        <f>+NW!E49</f>
        <v>-487526.32</v>
      </c>
      <c r="E76" s="347">
        <f>+C76-D76</f>
        <v>453741.28</v>
      </c>
      <c r="F76" s="362">
        <f>+NW!B41</f>
        <v>37325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-47950</v>
      </c>
      <c r="C77" s="386">
        <f>SUBTOTAL(9,C73:C76)</f>
        <v>-118916</v>
      </c>
      <c r="D77" s="386">
        <f>SUBTOTAL(9,D73:D76)</f>
        <v>-405749.09</v>
      </c>
      <c r="E77" s="386">
        <f>SUBTOTAL(9,E73:E76)</f>
        <v>286833.09000000003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-63110</v>
      </c>
      <c r="C80" s="581">
        <f>+B80*$G$5</f>
        <v>-157143.90000000002</v>
      </c>
      <c r="D80" s="47">
        <f>+NGPL!D45</f>
        <v>78218.2</v>
      </c>
      <c r="E80" s="47">
        <f>+C80-D80</f>
        <v>-235362.10000000003</v>
      </c>
      <c r="F80" s="363">
        <f>+NGPL!A38</f>
        <v>37324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7430</v>
      </c>
      <c r="C81" s="582">
        <f>+B81*$G$4</f>
        <v>18426.400000000001</v>
      </c>
      <c r="D81" s="47">
        <f>+PEPL!D47</f>
        <v>180282.48</v>
      </c>
      <c r="E81" s="47">
        <f>+C81-D81</f>
        <v>-161856.08000000002</v>
      </c>
      <c r="F81" s="363">
        <f>+PEPL!A41</f>
        <v>37325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43615.76</v>
      </c>
      <c r="D82" s="200">
        <f>+CIG!D49</f>
        <v>385897</v>
      </c>
      <c r="E82" s="70">
        <f>+C82-D82</f>
        <v>-342281.24</v>
      </c>
      <c r="F82" s="363">
        <f>+CIG!A42</f>
        <v>37323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40042</v>
      </c>
      <c r="C83" s="583">
        <f>+B83*G59</f>
        <v>99704.58</v>
      </c>
      <c r="D83" s="347">
        <f>+Lonestar!D50</f>
        <v>68764.960000000006</v>
      </c>
      <c r="E83" s="347">
        <f>+C83-D83</f>
        <v>30939.619999999995</v>
      </c>
      <c r="F83" s="362">
        <f>+Lonestar!A43</f>
        <v>37325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1949</v>
      </c>
      <c r="C84" s="386">
        <f>SUBTOTAL(9,C80:C83)</f>
        <v>4602.839999999982</v>
      </c>
      <c r="D84" s="386">
        <f>SUBTOTAL(9,D80:D83)</f>
        <v>713162.6399999999</v>
      </c>
      <c r="E84" s="386">
        <f>SUBTOTAL(9,E80:E83)</f>
        <v>-708559.8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-34707</v>
      </c>
      <c r="C86" s="386">
        <f>SUBTOTAL(9,C66:C83)</f>
        <v>-86452.180000000037</v>
      </c>
      <c r="D86" s="386">
        <f>SUBTOTAL(9,D66:D83)</f>
        <v>-1530353.8599999999</v>
      </c>
      <c r="E86" s="386">
        <f>SUBTOTAL(9,E66:E83)</f>
        <v>1443901.6799999997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1723000.2599999998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694709.04657339037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3" sqref="A43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/>
      <c r="C17" s="409"/>
      <c r="D17" s="409"/>
      <c r="E17" s="409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679</v>
      </c>
      <c r="C18" s="409"/>
      <c r="D18" s="409"/>
      <c r="E18" s="409"/>
      <c r="F18" s="307">
        <f t="shared" si="0"/>
        <v>-679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/>
      <c r="C20" s="409"/>
      <c r="D20" s="409"/>
      <c r="E20" s="409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704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23760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2.48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58924.800000000003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37326</v>
      </c>
      <c r="B43" s="285"/>
      <c r="C43" s="434"/>
      <c r="D43" s="434"/>
      <c r="E43" s="434"/>
      <c r="F43" s="415">
        <f>+F42+F41</f>
        <v>237281.22999999998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37326</v>
      </c>
      <c r="B48" s="32"/>
      <c r="C48" s="32"/>
      <c r="D48" s="348">
        <f>+F39</f>
        <v>23760</v>
      </c>
      <c r="E48" s="11"/>
    </row>
    <row r="49" spans="1:5" x14ac:dyDescent="0.2">
      <c r="A49" s="32"/>
      <c r="B49" s="32"/>
      <c r="C49" s="32"/>
      <c r="D49" s="14">
        <f>+D48+D47</f>
        <v>-332219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f>-494091-103344</f>
        <v>-597435</v>
      </c>
      <c r="C6" s="80"/>
      <c r="D6" s="80">
        <f t="shared" ref="D6:D14" si="0">+C6-B6</f>
        <v>597435</v>
      </c>
    </row>
    <row r="7" spans="1:4" x14ac:dyDescent="0.2">
      <c r="A7" s="32">
        <v>3531</v>
      </c>
      <c r="B7" s="309">
        <f>-329741-30689</f>
        <v>-360430</v>
      </c>
      <c r="C7" s="80">
        <v>-124630</v>
      </c>
      <c r="D7" s="80">
        <f t="shared" si="0"/>
        <v>235800</v>
      </c>
    </row>
    <row r="8" spans="1:4" x14ac:dyDescent="0.2">
      <c r="A8" s="32">
        <v>60667</v>
      </c>
      <c r="B8" s="309">
        <v>-191052</v>
      </c>
      <c r="C8" s="80">
        <v>-1168781</v>
      </c>
      <c r="D8" s="80">
        <f t="shared" si="0"/>
        <v>-977729</v>
      </c>
    </row>
    <row r="9" spans="1:4" x14ac:dyDescent="0.2">
      <c r="A9" s="32">
        <v>60749</v>
      </c>
      <c r="B9" s="309">
        <v>9058</v>
      </c>
      <c r="C9" s="80">
        <v>145315</v>
      </c>
      <c r="D9" s="80">
        <f t="shared" si="0"/>
        <v>136257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-11437</v>
      </c>
      <c r="C11" s="80"/>
      <c r="D11" s="80">
        <f t="shared" si="0"/>
        <v>11437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3200</v>
      </c>
    </row>
    <row r="19" spans="1:5" x14ac:dyDescent="0.2">
      <c r="A19" s="32" t="s">
        <v>81</v>
      </c>
      <c r="B19" s="69"/>
      <c r="C19" s="69"/>
      <c r="D19" s="73">
        <f>+summary!G4</f>
        <v>2.48</v>
      </c>
    </row>
    <row r="20" spans="1:5" x14ac:dyDescent="0.2">
      <c r="B20" s="69"/>
      <c r="C20" s="69"/>
      <c r="D20" s="75">
        <f>+D19*D18</f>
        <v>7936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37326</v>
      </c>
      <c r="B24" s="69"/>
      <c r="C24" s="69"/>
      <c r="D24" s="331">
        <f>+D22+D20</f>
        <v>41456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15258</v>
      </c>
    </row>
    <row r="33" spans="1:4" x14ac:dyDescent="0.2">
      <c r="A33" s="49">
        <f>+A24</f>
        <v>37326</v>
      </c>
      <c r="D33" s="348">
        <f>+D18</f>
        <v>3200</v>
      </c>
    </row>
    <row r="34" spans="1:4" x14ac:dyDescent="0.2">
      <c r="D34" s="14">
        <f>+D33+D32</f>
        <v>18458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-56064-5289</f>
        <v>-61353</v>
      </c>
      <c r="C5" s="90">
        <v>-53592</v>
      </c>
      <c r="D5" s="90">
        <f t="shared" ref="D5:D13" si="0">+C5-B5</f>
        <v>7761</v>
      </c>
      <c r="E5" s="69"/>
      <c r="F5" s="201"/>
    </row>
    <row r="6" spans="1:11" x14ac:dyDescent="0.2">
      <c r="A6" s="87">
        <v>9238</v>
      </c>
      <c r="B6" s="90">
        <f>-3914-211</f>
        <v>-4125</v>
      </c>
      <c r="C6" s="90">
        <v>-11000</v>
      </c>
      <c r="D6" s="90">
        <f t="shared" si="0"/>
        <v>-6875</v>
      </c>
      <c r="E6" s="275"/>
      <c r="F6" s="201"/>
      <c r="K6" s="65"/>
    </row>
    <row r="7" spans="1:11" x14ac:dyDescent="0.2">
      <c r="A7" s="87">
        <v>56422</v>
      </c>
      <c r="B7" s="90">
        <f>-864939-50721</f>
        <v>-915660</v>
      </c>
      <c r="C7" s="90">
        <v>-937924</v>
      </c>
      <c r="D7" s="90">
        <f t="shared" si="0"/>
        <v>-22264</v>
      </c>
      <c r="E7" s="275"/>
      <c r="F7" s="201"/>
    </row>
    <row r="8" spans="1:11" x14ac:dyDescent="0.2">
      <c r="A8" s="87">
        <v>58710</v>
      </c>
      <c r="B8" s="90"/>
      <c r="C8" s="90">
        <v>680</v>
      </c>
      <c r="D8" s="90">
        <f t="shared" si="0"/>
        <v>680</v>
      </c>
      <c r="E8" s="275"/>
      <c r="F8" s="201"/>
    </row>
    <row r="9" spans="1:11" x14ac:dyDescent="0.2">
      <c r="A9" s="87">
        <v>60921</v>
      </c>
      <c r="B9" s="90">
        <v>-358443</v>
      </c>
      <c r="C9" s="90">
        <v>-406431</v>
      </c>
      <c r="D9" s="90">
        <f t="shared" si="0"/>
        <v>-47988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4"/>
    </row>
    <row r="11" spans="1:11" x14ac:dyDescent="0.2">
      <c r="A11" s="87">
        <v>500084</v>
      </c>
      <c r="B11" s="90">
        <f>-23312-2308</f>
        <v>-25620</v>
      </c>
      <c r="C11" s="90">
        <v>-11000</v>
      </c>
      <c r="D11" s="90">
        <f t="shared" si="0"/>
        <v>14620</v>
      </c>
      <c r="E11" s="276"/>
      <c r="F11" s="464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4"/>
    </row>
    <row r="13" spans="1:11" x14ac:dyDescent="0.2">
      <c r="A13" s="87">
        <v>500097</v>
      </c>
      <c r="B13" s="90">
        <v>-12112</v>
      </c>
      <c r="C13" s="90">
        <v>-12000</v>
      </c>
      <c r="D13" s="90">
        <f t="shared" si="0"/>
        <v>112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-53954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2.48</v>
      </c>
      <c r="E18" s="277"/>
      <c r="F18" s="464"/>
    </row>
    <row r="19" spans="1:7" x14ac:dyDescent="0.2">
      <c r="A19" s="87"/>
      <c r="B19" s="88"/>
      <c r="C19" s="88"/>
      <c r="D19" s="96">
        <f>+D18*D17</f>
        <v>-133805.92000000001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37326</v>
      </c>
      <c r="B23" s="88"/>
      <c r="C23" s="88"/>
      <c r="D23" s="318">
        <f>+D21+D19</f>
        <v>732808.44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9">
        <v>355045</v>
      </c>
    </row>
    <row r="29" spans="1:7" x14ac:dyDescent="0.2">
      <c r="A29" s="49">
        <f>+A23</f>
        <v>37326</v>
      </c>
      <c r="B29" s="32"/>
      <c r="C29" s="32"/>
      <c r="D29" s="348">
        <f>+D17</f>
        <v>-53954</v>
      </c>
    </row>
    <row r="30" spans="1:7" x14ac:dyDescent="0.2">
      <c r="A30" s="32"/>
      <c r="B30" s="32"/>
      <c r="C30" s="32"/>
      <c r="D30" s="14">
        <f>+D29+D28</f>
        <v>301091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2.4338437216655429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F43" sqref="F4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-316</v>
      </c>
      <c r="E7" s="90">
        <v>-21181</v>
      </c>
      <c r="F7" s="90">
        <v>27352</v>
      </c>
      <c r="G7" s="90">
        <v>27482</v>
      </c>
      <c r="H7" s="90">
        <f t="shared" si="0"/>
        <v>-21174</v>
      </c>
    </row>
    <row r="8" spans="1:26" x14ac:dyDescent="0.2">
      <c r="A8">
        <v>6</v>
      </c>
      <c r="B8" s="90">
        <v>26429</v>
      </c>
      <c r="C8" s="90">
        <v>23911</v>
      </c>
      <c r="D8" s="90">
        <v>-42783</v>
      </c>
      <c r="E8" s="90">
        <v>-41764</v>
      </c>
      <c r="F8" s="90">
        <v>27354</v>
      </c>
      <c r="G8" s="90">
        <v>27482</v>
      </c>
      <c r="H8" s="90">
        <f t="shared" si="0"/>
        <v>-1371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-57914</v>
      </c>
      <c r="E9" s="90">
        <v>-58347</v>
      </c>
      <c r="F9" s="90">
        <v>27331</v>
      </c>
      <c r="G9" s="90">
        <v>27482</v>
      </c>
      <c r="H9" s="90">
        <f t="shared" si="0"/>
        <v>-336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-64383</v>
      </c>
      <c r="E10" s="90">
        <v>-61514</v>
      </c>
      <c r="F10" s="90">
        <v>25361</v>
      </c>
      <c r="G10" s="90">
        <v>27482</v>
      </c>
      <c r="H10" s="90">
        <f t="shared" si="0"/>
        <v>4958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-14782</v>
      </c>
      <c r="E11" s="90">
        <v>-15514</v>
      </c>
      <c r="F11" s="90">
        <v>19818</v>
      </c>
      <c r="G11" s="90">
        <v>15654</v>
      </c>
      <c r="H11" s="90">
        <f t="shared" si="0"/>
        <v>-4535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-16529</v>
      </c>
      <c r="E12" s="90">
        <v>-15514</v>
      </c>
      <c r="F12" s="90">
        <v>19928</v>
      </c>
      <c r="G12" s="90">
        <v>15560</v>
      </c>
      <c r="H12" s="90">
        <f t="shared" si="0"/>
        <v>-3356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299214</v>
      </c>
      <c r="C34" s="287">
        <f t="shared" si="2"/>
        <v>296410</v>
      </c>
      <c r="D34" s="14">
        <f t="shared" si="2"/>
        <v>-259273</v>
      </c>
      <c r="E34" s="14">
        <f t="shared" si="2"/>
        <v>-278448</v>
      </c>
      <c r="F34" s="14">
        <f t="shared" si="2"/>
        <v>256501</v>
      </c>
      <c r="G34" s="14">
        <f t="shared" si="2"/>
        <v>251070</v>
      </c>
      <c r="H34" s="14">
        <f t="shared" si="2"/>
        <v>-27410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8222+127244-171166</f>
        <v>-35700</v>
      </c>
      <c r="O37" s="259"/>
      <c r="P37" s="259"/>
      <c r="Q37" s="259"/>
      <c r="V37" s="259"/>
      <c r="W37" s="259"/>
    </row>
    <row r="38" spans="1:23" x14ac:dyDescent="0.2">
      <c r="A38" s="539">
        <v>37324</v>
      </c>
      <c r="B38" s="14"/>
      <c r="C38" s="14"/>
      <c r="D38" s="14"/>
      <c r="E38" s="14"/>
      <c r="F38" s="14"/>
      <c r="G38" s="14"/>
      <c r="H38" s="150">
        <f>+H37+H34</f>
        <v>-63110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/>
      <c r="I43" s="31"/>
      <c r="K43" s="343"/>
      <c r="O43" s="259"/>
      <c r="P43" s="259"/>
      <c r="Q43" s="259"/>
    </row>
    <row r="44" spans="1:23" x14ac:dyDescent="0.2">
      <c r="A44" s="49">
        <f>+A38</f>
        <v>37324</v>
      </c>
      <c r="B44" s="32"/>
      <c r="C44" s="32"/>
      <c r="D44" s="373">
        <f>+H34*'by type_area'!G4</f>
        <v>-67976.800000000003</v>
      </c>
      <c r="F44" s="373">
        <f>+J34*'by type_area'!I4</f>
        <v>0</v>
      </c>
      <c r="H44" s="290"/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78218.2</v>
      </c>
      <c r="F45" s="200">
        <f>+F44+F43</f>
        <v>338741</v>
      </c>
      <c r="H45" s="290"/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-199817</v>
      </c>
      <c r="C35" s="11">
        <f>SUM(C4:C34)</f>
        <v>-198994</v>
      </c>
      <c r="D35" s="11">
        <f>SUM(D4:D34)</f>
        <v>823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2"/>
      <c r="D39" s="24"/>
    </row>
    <row r="40" spans="1:4" x14ac:dyDescent="0.2">
      <c r="A40" s="57">
        <v>37325</v>
      </c>
      <c r="D40" s="51">
        <f>+D38+D35</f>
        <v>823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37325</v>
      </c>
      <c r="B46" s="32"/>
      <c r="C46" s="32"/>
      <c r="D46" s="373">
        <f>+D35*'by type_area'!G4</f>
        <v>2041.04</v>
      </c>
    </row>
    <row r="47" spans="1:4" x14ac:dyDescent="0.2">
      <c r="A47" s="32"/>
      <c r="B47" s="32"/>
      <c r="C47" s="32"/>
      <c r="D47" s="200">
        <f>+D46+D45</f>
        <v>2041.04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C37" sqref="C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10330</v>
      </c>
      <c r="C13" s="11">
        <v>9807</v>
      </c>
      <c r="D13" s="11">
        <v>8057</v>
      </c>
      <c r="E13" s="11">
        <v>6276</v>
      </c>
      <c r="F13" s="11"/>
      <c r="G13" s="11"/>
      <c r="H13" s="11"/>
      <c r="I13" s="11"/>
      <c r="J13" s="11">
        <f t="shared" si="0"/>
        <v>-2304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108348</v>
      </c>
      <c r="C35" s="11">
        <f t="shared" ref="C35:I35" si="1">SUM(C4:C34)</f>
        <v>98523</v>
      </c>
      <c r="D35" s="11">
        <f t="shared" si="1"/>
        <v>77762</v>
      </c>
      <c r="E35" s="11">
        <f t="shared" si="1"/>
        <v>63054</v>
      </c>
      <c r="F35" s="11">
        <f t="shared" si="1"/>
        <v>0</v>
      </c>
      <c r="G35" s="11">
        <f t="shared" si="1"/>
        <v>0</v>
      </c>
      <c r="H35" s="11">
        <f t="shared" si="1"/>
        <v>271</v>
      </c>
      <c r="I35" s="11">
        <f t="shared" si="1"/>
        <v>0</v>
      </c>
      <c r="J35" s="11">
        <f>SUM(J4:J34)</f>
        <v>-24804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2.48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-61513.919999999998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8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37325</v>
      </c>
      <c r="J41" s="319">
        <f>+J39+J37</f>
        <v>-28926.989999999998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9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37325</v>
      </c>
      <c r="B47" s="32"/>
      <c r="C47" s="32"/>
      <c r="D47" s="348">
        <f>+J35</f>
        <v>-24804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-136950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1" sqref="F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2.48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14136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37317</v>
      </c>
      <c r="E41" s="14"/>
      <c r="F41" s="104">
        <f>+F40+F39</f>
        <v>329320.86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8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-38076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2.48</v>
      </c>
    </row>
    <row r="41" spans="1:6" x14ac:dyDescent="0.2">
      <c r="F41" s="138">
        <f>+F40*F39</f>
        <v>2013.76</v>
      </c>
    </row>
    <row r="42" spans="1:6" x14ac:dyDescent="0.2">
      <c r="A42" s="57">
        <v>37315</v>
      </c>
      <c r="C42" s="15"/>
      <c r="F42" s="613">
        <v>57421.18</v>
      </c>
    </row>
    <row r="43" spans="1:6" x14ac:dyDescent="0.2">
      <c r="A43" s="57">
        <v>37324</v>
      </c>
      <c r="C43" s="48"/>
      <c r="F43" s="138">
        <f>+F42+F41</f>
        <v>59434.94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8">
        <v>7844</v>
      </c>
    </row>
    <row r="49" spans="1:4" x14ac:dyDescent="0.2">
      <c r="A49" s="49">
        <f>+A43</f>
        <v>37324</v>
      </c>
      <c r="B49" s="32"/>
      <c r="C49" s="32"/>
      <c r="D49" s="348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37323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37323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-388891</v>
      </c>
      <c r="I19" s="119">
        <f>+C37</f>
        <v>-391177</v>
      </c>
      <c r="J19" s="119">
        <f>+I19-H19</f>
        <v>-2286</v>
      </c>
      <c r="K19" s="410">
        <f>+D38</f>
        <v>2.48</v>
      </c>
      <c r="L19" s="415">
        <f>+K19*J19</f>
        <v>-5669.28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128206</v>
      </c>
      <c r="K24" s="406"/>
      <c r="L24" s="110">
        <f>+L19+L17</f>
        <v>76015.819999999832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30651.540322580579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-388891</v>
      </c>
      <c r="C37" s="11">
        <f>SUM(C6:C36)</f>
        <v>-391177</v>
      </c>
      <c r="D37" s="25">
        <f>SUM(D6:D36)</f>
        <v>-2286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-5669.28</v>
      </c>
    </row>
    <row r="40" spans="1:4" x14ac:dyDescent="0.2">
      <c r="A40" s="57">
        <v>37315</v>
      </c>
      <c r="C40" s="15"/>
      <c r="D40" s="613">
        <v>15394.13</v>
      </c>
    </row>
    <row r="41" spans="1:4" x14ac:dyDescent="0.2">
      <c r="A41" s="57">
        <v>37325</v>
      </c>
      <c r="C41" s="48"/>
      <c r="D41" s="138">
        <f>+D40+D39</f>
        <v>9724.8499999999985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8">
        <v>94380</v>
      </c>
    </row>
    <row r="46" spans="1:4" x14ac:dyDescent="0.2">
      <c r="A46" s="49">
        <f>+A41</f>
        <v>37325</v>
      </c>
      <c r="B46" s="32"/>
      <c r="C46" s="32"/>
      <c r="D46" s="348">
        <f>+D37</f>
        <v>-2286</v>
      </c>
    </row>
    <row r="47" spans="1:4" x14ac:dyDescent="0.2">
      <c r="A47" s="32"/>
      <c r="B47" s="32"/>
      <c r="C47" s="32"/>
      <c r="D47" s="14">
        <f>+D46+D45</f>
        <v>92094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0.10559699871870044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7" workbookViewId="0">
      <selection activeCell="C84" sqref="C84:C89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2.48</v>
      </c>
      <c r="J3" s="372">
        <f ca="1">NOW()</f>
        <v>37327.764036342596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2.48</v>
      </c>
      <c r="H4" s="548"/>
      <c r="I4" s="593"/>
    </row>
    <row r="5" spans="1:33" ht="15" customHeight="1" x14ac:dyDescent="0.2">
      <c r="B5" s="550"/>
      <c r="F5" s="546" t="s">
        <v>117</v>
      </c>
      <c r="G5" s="547">
        <f>+'[3]1001'!$E$39</f>
        <v>2.4900000000000002</v>
      </c>
      <c r="H5" s="546" t="s">
        <v>314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732808.44</v>
      </c>
      <c r="C8" s="275">
        <f t="shared" ref="C8:C14" si="0">+B8/$G$4</f>
        <v>295487.27419354836</v>
      </c>
      <c r="D8" s="363">
        <f>+PNM!A23</f>
        <v>37326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411860.13</v>
      </c>
      <c r="C9" s="275">
        <f t="shared" si="0"/>
        <v>166072.63306451612</v>
      </c>
      <c r="D9" s="362">
        <f>+Conoco!A41</f>
        <v>37326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590">
        <f>+KN_Westar!F41</f>
        <v>329320.86</v>
      </c>
      <c r="C10" s="275">
        <f t="shared" si="0"/>
        <v>132790.6693548387</v>
      </c>
      <c r="D10" s="363">
        <f>+KN_Westar!A41</f>
        <v>37317</v>
      </c>
      <c r="E10" s="32" t="s">
        <v>85</v>
      </c>
      <c r="F10" s="32" t="s">
        <v>153</v>
      </c>
      <c r="G10" s="32" t="s">
        <v>289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4">
        <f>+mewborne!$J$43</f>
        <v>315959.76</v>
      </c>
      <c r="C11" s="275">
        <f t="shared" si="0"/>
        <v>127403.12903225808</v>
      </c>
      <c r="D11" s="363">
        <f>+mewborne!A43</f>
        <v>37326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590">
        <f>+'Amoco Abo'!$F$43</f>
        <v>237281.22999999998</v>
      </c>
      <c r="C12" s="275">
        <f t="shared" si="0"/>
        <v>95677.915322580637</v>
      </c>
      <c r="D12" s="363">
        <f>+'Amoco Abo'!A43</f>
        <v>37326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4">
        <f>+Dominion!D41</f>
        <v>170917.77000000002</v>
      </c>
      <c r="C13" s="275">
        <f>+B13/$G$5</f>
        <v>68641.674698795177</v>
      </c>
      <c r="D13" s="363">
        <f>+Dominion!A41</f>
        <v>37325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8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441" t="s">
        <v>79</v>
      </c>
      <c r="B14" s="499">
        <f>+Agave!$D$25</f>
        <v>133281.11000000002</v>
      </c>
      <c r="C14" s="461">
        <f t="shared" si="0"/>
        <v>53742.383064516136</v>
      </c>
      <c r="D14" s="460">
        <f>+Agave!A25</f>
        <v>37326</v>
      </c>
      <c r="E14" s="441" t="s">
        <v>85</v>
      </c>
      <c r="F14" s="441" t="s">
        <v>299</v>
      </c>
      <c r="G14" s="441" t="s">
        <v>102</v>
      </c>
      <c r="H14" s="441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4">
        <f>+Amarillo!P41</f>
        <v>127498.97</v>
      </c>
      <c r="C15" s="275">
        <f>+B15/$G$4</f>
        <v>51410.875</v>
      </c>
      <c r="D15" s="363">
        <f>+Amarillo!A41</f>
        <v>37324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4">
        <f>+C16*$G$3</f>
        <v>86921.52</v>
      </c>
      <c r="C16" s="346">
        <f>+'Red C'!$F$45</f>
        <v>35049</v>
      </c>
      <c r="D16" s="362">
        <f>+'Red C'!A45</f>
        <v>37326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4">
        <f>+EPFS!D41</f>
        <v>143035.17000000001</v>
      </c>
      <c r="C17" s="206">
        <f>+B17/$G$5</f>
        <v>57443.843373493975</v>
      </c>
      <c r="D17" s="362">
        <f>+EPFS!A41</f>
        <v>37326</v>
      </c>
      <c r="E17" s="32" t="s">
        <v>85</v>
      </c>
      <c r="F17" s="32" t="s">
        <v>153</v>
      </c>
      <c r="G17" s="32" t="s">
        <v>102</v>
      </c>
      <c r="H17" s="32"/>
      <c r="I17" s="15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4">
        <f>+C18*$G$5</f>
        <v>99704.58</v>
      </c>
      <c r="C18" s="275">
        <f>+Lonestar!F43</f>
        <v>40042</v>
      </c>
      <c r="D18" s="362">
        <f>+Lonestar!A43</f>
        <v>37325</v>
      </c>
      <c r="E18" s="32" t="s">
        <v>84</v>
      </c>
      <c r="F18" s="32" t="s">
        <v>299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296</v>
      </c>
      <c r="B19" s="344">
        <f>+Stratland!$D$41</f>
        <v>69765.440000000002</v>
      </c>
      <c r="C19" s="275">
        <f>+B19/$G$4</f>
        <v>28131.225806451614</v>
      </c>
      <c r="D19" s="362">
        <f>+Stratland!A41</f>
        <v>37315</v>
      </c>
      <c r="E19" s="32" t="s">
        <v>85</v>
      </c>
      <c r="F19" s="32" t="s">
        <v>298</v>
      </c>
      <c r="G19" s="32" t="s">
        <v>102</v>
      </c>
      <c r="H19" s="32"/>
      <c r="I19" s="204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142</v>
      </c>
      <c r="B20" s="345">
        <f>+C20*$G$4</f>
        <v>18426.400000000001</v>
      </c>
      <c r="C20" s="346">
        <f>+PEPL!D41</f>
        <v>7430</v>
      </c>
      <c r="D20" s="362">
        <f>+PEPL!A41</f>
        <v>37325</v>
      </c>
      <c r="E20" s="204" t="s">
        <v>84</v>
      </c>
      <c r="F20" s="204" t="s">
        <v>299</v>
      </c>
      <c r="G20" s="204" t="s">
        <v>100</v>
      </c>
      <c r="H20" s="32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305</v>
      </c>
      <c r="B21" s="344">
        <f>+Plains!$N$43</f>
        <v>66185.02</v>
      </c>
      <c r="C21" s="206">
        <f>+B21/$G$4</f>
        <v>26687.508064516132</v>
      </c>
      <c r="D21" s="362">
        <f>+Plains!A43</f>
        <v>37315</v>
      </c>
      <c r="E21" s="204" t="s">
        <v>85</v>
      </c>
      <c r="F21" s="204"/>
      <c r="G21" s="204" t="s">
        <v>100</v>
      </c>
      <c r="H21" s="204"/>
      <c r="I21" s="204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87</v>
      </c>
      <c r="B22" s="590">
        <f>+NNG!$D$24</f>
        <v>41456</v>
      </c>
      <c r="C22" s="275">
        <f>+B22/$G$4</f>
        <v>16716.129032258064</v>
      </c>
      <c r="D22" s="362">
        <f>+NNG!A24</f>
        <v>37326</v>
      </c>
      <c r="E22" s="204" t="s">
        <v>85</v>
      </c>
      <c r="F22" s="204" t="s">
        <v>298</v>
      </c>
      <c r="G22" s="204" t="s">
        <v>100</v>
      </c>
      <c r="H22" s="204"/>
      <c r="I22" s="589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88</v>
      </c>
      <c r="B23" s="344">
        <f>+C23*$G$5</f>
        <v>-157143.90000000002</v>
      </c>
      <c r="C23" s="275">
        <f>+NGPL!H38</f>
        <v>-63110</v>
      </c>
      <c r="D23" s="363">
        <f>+NGPL!A38</f>
        <v>37324</v>
      </c>
      <c r="E23" s="204" t="s">
        <v>84</v>
      </c>
      <c r="F23" s="32" t="s">
        <v>152</v>
      </c>
      <c r="G23" s="32" t="s">
        <v>115</v>
      </c>
      <c r="H23" s="32"/>
      <c r="I23" s="32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146</v>
      </c>
      <c r="B24" s="344">
        <f>+PGETX!$H$39</f>
        <v>52580.800000000003</v>
      </c>
      <c r="C24" s="275">
        <f>+B24/$G$4</f>
        <v>21201.93548387097</v>
      </c>
      <c r="D24" s="362">
        <f>+PGETX!E39</f>
        <v>37325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204" t="s">
        <v>109</v>
      </c>
      <c r="B25" s="344">
        <f>+Continental!F43</f>
        <v>59434.94</v>
      </c>
      <c r="C25" s="206">
        <f>+B25/$G$4</f>
        <v>23965.701612903227</v>
      </c>
      <c r="D25" s="362">
        <f>+Continental!A43</f>
        <v>37324</v>
      </c>
      <c r="E25" s="204" t="s">
        <v>85</v>
      </c>
      <c r="F25" s="204" t="s">
        <v>153</v>
      </c>
      <c r="G25" s="204" t="s">
        <v>115</v>
      </c>
      <c r="H25" s="204"/>
      <c r="I25" s="441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139</v>
      </c>
      <c r="B26" s="344">
        <f>+'Citizens-Griffith'!D41</f>
        <v>41478.14</v>
      </c>
      <c r="C26" s="275">
        <f>+B26/$G$4</f>
        <v>16725.056451612902</v>
      </c>
      <c r="D26" s="362">
        <f>+'Citizens-Griffith'!A41</f>
        <v>37325</v>
      </c>
      <c r="E26" s="204" t="s">
        <v>85</v>
      </c>
      <c r="F26" s="204" t="s">
        <v>299</v>
      </c>
      <c r="G26" s="204" t="s">
        <v>99</v>
      </c>
      <c r="H26" s="204"/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245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">
      <c r="A27" s="32" t="s">
        <v>110</v>
      </c>
      <c r="B27" s="344">
        <f>+C27*$G$4</f>
        <v>43615.76</v>
      </c>
      <c r="C27" s="275">
        <f>+CIG!D42</f>
        <v>17587</v>
      </c>
      <c r="D27" s="363">
        <f>+CIG!A42</f>
        <v>37323</v>
      </c>
      <c r="E27" s="204" t="s">
        <v>84</v>
      </c>
      <c r="F27" s="32" t="s">
        <v>153</v>
      </c>
      <c r="G27" s="32" t="s">
        <v>113</v>
      </c>
      <c r="H27" s="585" t="s">
        <v>313</v>
      </c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1" customFormat="1" ht="13.5" customHeight="1" x14ac:dyDescent="0.2">
      <c r="A28" s="204" t="s">
        <v>28</v>
      </c>
      <c r="B28" s="344">
        <f>+C28*$G$3</f>
        <v>50510.159999999996</v>
      </c>
      <c r="C28" s="275">
        <f>+williams!J40</f>
        <v>20367</v>
      </c>
      <c r="D28" s="362">
        <f>+williams!A40</f>
        <v>37326</v>
      </c>
      <c r="E28" s="204" t="s">
        <v>85</v>
      </c>
      <c r="F28" s="204" t="s">
        <v>153</v>
      </c>
      <c r="G28" s="204" t="s">
        <v>289</v>
      </c>
      <c r="H28" s="592" t="s">
        <v>316</v>
      </c>
      <c r="I28" s="585"/>
      <c r="J28" s="204"/>
      <c r="K28" s="204"/>
      <c r="L28" s="204"/>
      <c r="M28" s="204"/>
      <c r="N28" s="468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114</v>
      </c>
      <c r="B29" s="344">
        <f>+C29*$G$4</f>
        <v>10249.84</v>
      </c>
      <c r="C29" s="206">
        <f>+'PG&amp;E'!D40</f>
        <v>4133</v>
      </c>
      <c r="D29" s="363">
        <f>+'PG&amp;E'!A40</f>
        <v>37326</v>
      </c>
      <c r="E29" s="32" t="s">
        <v>84</v>
      </c>
      <c r="F29" s="32" t="s">
        <v>153</v>
      </c>
      <c r="G29" s="32" t="s">
        <v>102</v>
      </c>
      <c r="H29" s="32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6</v>
      </c>
      <c r="B30" s="590">
        <f>+Oasis!$D$40</f>
        <v>93925.53</v>
      </c>
      <c r="C30" s="206">
        <f>+B30/$G$5</f>
        <v>37721.096385542165</v>
      </c>
      <c r="D30" s="363">
        <f>+Oasis!A40</f>
        <v>37325</v>
      </c>
      <c r="E30" s="32" t="s">
        <v>85</v>
      </c>
      <c r="F30" s="32" t="s">
        <v>153</v>
      </c>
      <c r="G30" s="32" t="s">
        <v>102</v>
      </c>
      <c r="H30" s="32"/>
      <c r="I30" s="32"/>
      <c r="J30" s="32"/>
      <c r="K30" s="32"/>
      <c r="L30" s="32"/>
      <c r="M30" s="32"/>
      <c r="N30" s="378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1" customFormat="1" ht="13.5" customHeight="1" x14ac:dyDescent="0.2">
      <c r="A31" s="32" t="s">
        <v>131</v>
      </c>
      <c r="B31" s="590">
        <f>+SidR!D41</f>
        <v>6104.6399999999994</v>
      </c>
      <c r="C31" s="275">
        <f>+B31/$G$5</f>
        <v>2451.662650602409</v>
      </c>
      <c r="D31" s="363">
        <f>+SidR!A41</f>
        <v>37326</v>
      </c>
      <c r="E31" s="32" t="s">
        <v>85</v>
      </c>
      <c r="F31" s="32" t="s">
        <v>151</v>
      </c>
      <c r="G31" s="32" t="s">
        <v>102</v>
      </c>
      <c r="H31" s="32"/>
      <c r="I31" s="204"/>
      <c r="J31" s="204"/>
      <c r="K31" s="204"/>
      <c r="L31" s="204"/>
      <c r="M31" s="204"/>
      <c r="N31" s="468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279</v>
      </c>
      <c r="B32" s="344">
        <f>+'WTG inc'!N43</f>
        <v>16899.329999999998</v>
      </c>
      <c r="C32" s="275">
        <f>+B32/$G$4</f>
        <v>6814.2459677419347</v>
      </c>
      <c r="D32" s="363">
        <f>+'WTG inc'!A43</f>
        <v>37323</v>
      </c>
      <c r="E32" s="32" t="s">
        <v>85</v>
      </c>
      <c r="F32" s="32" t="s">
        <v>152</v>
      </c>
      <c r="G32" s="32" t="s">
        <v>115</v>
      </c>
      <c r="H32" s="204"/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71</v>
      </c>
      <c r="B33" s="345">
        <f>+transcol!$D$43</f>
        <v>15366.27</v>
      </c>
      <c r="C33" s="346">
        <f>+B33/$G$4</f>
        <v>6196.0766129032263</v>
      </c>
      <c r="D33" s="362">
        <f>+transcol!A43</f>
        <v>37325</v>
      </c>
      <c r="E33" s="204" t="s">
        <v>85</v>
      </c>
      <c r="F33" s="204" t="s">
        <v>152</v>
      </c>
      <c r="G33" s="204" t="s">
        <v>115</v>
      </c>
      <c r="H33" s="204"/>
      <c r="I33" s="32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33</v>
      </c>
      <c r="B34" s="344">
        <f>+'El Paso'!C39*summary!G4+'El Paso'!E39*summary!G3</f>
        <v>-2068.320000000007</v>
      </c>
      <c r="C34" s="275">
        <f>+'El Paso'!H39</f>
        <v>-834</v>
      </c>
      <c r="D34" s="362">
        <f>+'El Paso'!A39</f>
        <v>37326</v>
      </c>
      <c r="E34" s="204" t="s">
        <v>84</v>
      </c>
      <c r="F34" s="204" t="s">
        <v>153</v>
      </c>
      <c r="G34" s="204" t="s">
        <v>100</v>
      </c>
      <c r="H34" s="204"/>
      <c r="I34" s="589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209</v>
      </c>
      <c r="B35" s="344">
        <f>+Devon!D41</f>
        <v>10665.810000000001</v>
      </c>
      <c r="C35" s="275">
        <f>+B35/$G$5</f>
        <v>4283.4578313253014</v>
      </c>
      <c r="D35" s="363">
        <f>+Devon!A41</f>
        <v>37325</v>
      </c>
      <c r="E35" s="32" t="s">
        <v>85</v>
      </c>
      <c r="F35" s="32" t="s">
        <v>299</v>
      </c>
      <c r="G35" s="32" t="s">
        <v>99</v>
      </c>
      <c r="H35" s="585" t="s">
        <v>310</v>
      </c>
      <c r="I35" s="592"/>
      <c r="J35" s="32"/>
      <c r="K35" s="32"/>
      <c r="L35" s="32"/>
      <c r="M35" s="32"/>
      <c r="N35" s="378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51" customFormat="1" ht="13.5" customHeight="1" x14ac:dyDescent="0.2">
      <c r="A36" s="32" t="s">
        <v>287</v>
      </c>
      <c r="B36" s="344">
        <f>+C36*$G$3</f>
        <v>-10597.039999999999</v>
      </c>
      <c r="C36" s="275">
        <f>+Amoco!D40</f>
        <v>-4273</v>
      </c>
      <c r="D36" s="363">
        <f>+Amoco!A40</f>
        <v>37325</v>
      </c>
      <c r="E36" s="32" t="s">
        <v>84</v>
      </c>
      <c r="F36" s="32" t="s">
        <v>152</v>
      </c>
      <c r="G36" s="32" t="s">
        <v>115</v>
      </c>
      <c r="H36" s="204"/>
      <c r="I36" s="204"/>
      <c r="J36" s="204"/>
      <c r="K36" s="204"/>
      <c r="L36" s="204"/>
      <c r="M36" s="204"/>
      <c r="N36" s="468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s="551" customFormat="1" ht="13.5" customHeight="1" x14ac:dyDescent="0.2">
      <c r="A37" s="32" t="s">
        <v>94</v>
      </c>
      <c r="B37" s="347">
        <f>+C37*$I$5</f>
        <v>1892.8999999999999</v>
      </c>
      <c r="C37" s="71">
        <f>+Mojave!D40</f>
        <v>823</v>
      </c>
      <c r="D37" s="363">
        <f>+Mojave!A40</f>
        <v>37325</v>
      </c>
      <c r="E37" s="32" t="s">
        <v>85</v>
      </c>
      <c r="F37" s="32" t="s">
        <v>153</v>
      </c>
      <c r="G37" s="32" t="s">
        <v>100</v>
      </c>
      <c r="H37" s="585" t="s">
        <v>315</v>
      </c>
      <c r="I37" s="585"/>
      <c r="J37" s="204"/>
      <c r="K37" s="204"/>
      <c r="L37" s="204"/>
      <c r="M37" s="204"/>
      <c r="N37" s="468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3217337.2599999993</v>
      </c>
      <c r="C38" s="69">
        <f>SUM(C8:C37)</f>
        <v>1296778.493004275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49"/>
      <c r="G39" s="349"/>
      <c r="H39" s="32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2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4">
        <f>+Citizens!D18</f>
        <v>-588382.12999999989</v>
      </c>
      <c r="C41" s="206">
        <f>+B41/$G$4</f>
        <v>-237250.8588709677</v>
      </c>
      <c r="D41" s="362">
        <f>+Citizens!A18</f>
        <v>37325</v>
      </c>
      <c r="E41" s="204" t="s">
        <v>85</v>
      </c>
      <c r="F41" s="204" t="s">
        <v>299</v>
      </c>
      <c r="G41" s="204" t="s">
        <v>99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4">
        <f>+'NS Steel'!D41</f>
        <v>-249702.26</v>
      </c>
      <c r="C42" s="206">
        <f>+B42/$G$4</f>
        <v>-100686.39516129033</v>
      </c>
      <c r="D42" s="363">
        <f>+'NS Steel'!A41</f>
        <v>37326</v>
      </c>
      <c r="E42" s="32" t="s">
        <v>85</v>
      </c>
      <c r="F42" s="32" t="s">
        <v>153</v>
      </c>
      <c r="G42" s="32" t="s">
        <v>100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256</v>
      </c>
      <c r="B43" s="344">
        <f>+MiVida_Rich!D41</f>
        <v>-191635</v>
      </c>
      <c r="C43" s="206">
        <f>+B43/$G$5</f>
        <v>-76961.847389558228</v>
      </c>
      <c r="D43" s="362">
        <f>+MiVida_Rich!A41</f>
        <v>37315</v>
      </c>
      <c r="E43" s="204" t="s">
        <v>85</v>
      </c>
      <c r="F43" s="204" t="s">
        <v>151</v>
      </c>
      <c r="G43" s="204" t="s">
        <v>102</v>
      </c>
      <c r="H43" s="350"/>
      <c r="I43" s="32"/>
      <c r="J43" s="32"/>
      <c r="K43" s="32"/>
      <c r="L43" s="32"/>
      <c r="M43" s="32"/>
      <c r="N43" s="378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215</v>
      </c>
      <c r="B44" s="344">
        <f>+crosstex!F41</f>
        <v>-120523.6</v>
      </c>
      <c r="C44" s="206">
        <f>+B44/$G$4</f>
        <v>-48598.225806451614</v>
      </c>
      <c r="D44" s="363">
        <f>+crosstex!A41</f>
        <v>37323</v>
      </c>
      <c r="E44" s="32" t="s">
        <v>85</v>
      </c>
      <c r="F44" s="32" t="s">
        <v>151</v>
      </c>
      <c r="G44" s="32" t="s">
        <v>100</v>
      </c>
      <c r="H44" s="350"/>
      <c r="I44" s="249"/>
      <c r="J44" s="32"/>
      <c r="K44" s="32"/>
      <c r="L44" s="32"/>
      <c r="M44" s="32"/>
      <c r="N44" s="378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2" customFormat="1" ht="13.5" customHeight="1" x14ac:dyDescent="0.2">
      <c r="A45" s="204" t="s">
        <v>32</v>
      </c>
      <c r="B45" s="344">
        <f>+C45*$G$4</f>
        <v>-143668.88</v>
      </c>
      <c r="C45" s="206">
        <f>+SoCal!F40</f>
        <v>-57931</v>
      </c>
      <c r="D45" s="362">
        <f>+SoCal!A40</f>
        <v>37326</v>
      </c>
      <c r="E45" s="204" t="s">
        <v>84</v>
      </c>
      <c r="F45" s="204" t="s">
        <v>152</v>
      </c>
      <c r="G45" s="204" t="s">
        <v>102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204" t="s">
        <v>309</v>
      </c>
      <c r="B46" s="345">
        <f>+Duke!B83</f>
        <v>-108353.44000000018</v>
      </c>
      <c r="C46" s="346">
        <f>+B46/$G$5</f>
        <v>-43515.437751004087</v>
      </c>
      <c r="D46" s="362">
        <f>+DEFS!A40</f>
        <v>37323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32" t="s">
        <v>1</v>
      </c>
      <c r="B47" s="344">
        <f>+C47*$G$3</f>
        <v>-33785.040000000001</v>
      </c>
      <c r="C47" s="206">
        <f>+NW!$F$41</f>
        <v>-13623</v>
      </c>
      <c r="D47" s="362">
        <f>+NW!B41</f>
        <v>37325</v>
      </c>
      <c r="E47" s="32" t="s">
        <v>84</v>
      </c>
      <c r="F47" s="32" t="s">
        <v>152</v>
      </c>
      <c r="G47" s="32" t="s">
        <v>115</v>
      </c>
      <c r="H47" s="350"/>
      <c r="I47" s="32"/>
      <c r="J47" s="32"/>
      <c r="K47" s="32"/>
      <c r="L47" s="32"/>
      <c r="M47" s="32"/>
      <c r="N47" s="378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04" t="s">
        <v>203</v>
      </c>
      <c r="B48" s="345">
        <f>+WTGmktg!J43</f>
        <v>-19880.599999999999</v>
      </c>
      <c r="C48" s="206">
        <f>+B48/$G$4</f>
        <v>-8016.3709677419347</v>
      </c>
      <c r="D48" s="362">
        <f>+WTGmktg!A43</f>
        <v>37323</v>
      </c>
      <c r="E48" s="32" t="s">
        <v>85</v>
      </c>
      <c r="F48" s="204" t="s">
        <v>152</v>
      </c>
      <c r="G48" s="204" t="s">
        <v>115</v>
      </c>
      <c r="H48" s="204"/>
      <c r="I48" s="204"/>
      <c r="J48" s="32"/>
      <c r="K48" s="32"/>
      <c r="L48" s="32"/>
      <c r="M48" s="32"/>
      <c r="N48" s="378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1" customFormat="1" ht="13.5" customHeight="1" x14ac:dyDescent="0.2">
      <c r="A49" s="204" t="s">
        <v>95</v>
      </c>
      <c r="B49" s="344">
        <f>+burlington!D42</f>
        <v>-7276.0700000000006</v>
      </c>
      <c r="C49" s="275">
        <f>+B49/$G$3</f>
        <v>-2933.8991935483873</v>
      </c>
      <c r="D49" s="362">
        <f>+burlington!A42</f>
        <v>37325</v>
      </c>
      <c r="E49" s="204" t="s">
        <v>85</v>
      </c>
      <c r="F49" s="32" t="s">
        <v>153</v>
      </c>
      <c r="G49" s="32" t="s">
        <v>113</v>
      </c>
      <c r="H49" s="32"/>
      <c r="I49" s="204"/>
      <c r="J49" s="204"/>
      <c r="K49" s="204"/>
      <c r="L49" s="204"/>
      <c r="M49" s="204"/>
      <c r="N49" s="468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1" customFormat="1" ht="13.5" customHeight="1" x14ac:dyDescent="0.2">
      <c r="A50" s="32" t="s">
        <v>103</v>
      </c>
      <c r="B50" s="590">
        <f>+EOG!$J$41</f>
        <v>-28926.989999999998</v>
      </c>
      <c r="C50" s="275">
        <f>+B50/$G$4</f>
        <v>-11664.108870967741</v>
      </c>
      <c r="D50" s="362">
        <f>+EOG!A41</f>
        <v>37325</v>
      </c>
      <c r="E50" s="32" t="s">
        <v>85</v>
      </c>
      <c r="F50" s="32" t="s">
        <v>298</v>
      </c>
      <c r="G50" s="32" t="s">
        <v>102</v>
      </c>
      <c r="H50" s="32"/>
      <c r="I50" s="32"/>
      <c r="J50" s="204"/>
      <c r="K50" s="204"/>
      <c r="L50" s="204"/>
      <c r="M50" s="204"/>
      <c r="N50" s="468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32" t="s">
        <v>276</v>
      </c>
      <c r="B51" s="344">
        <f>+SWGasTrans!$D$41</f>
        <v>-11927.84</v>
      </c>
      <c r="C51" s="275">
        <f>+B51/$G$4</f>
        <v>-4809.6129032258068</v>
      </c>
      <c r="D51" s="362">
        <f>+SWGasTrans!A41</f>
        <v>37325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8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7">
        <f>+Calpine!D41</f>
        <v>9724.8499999999985</v>
      </c>
      <c r="C52" s="348">
        <f>+B52/$G$4</f>
        <v>3921.3104838709673</v>
      </c>
      <c r="D52" s="362">
        <f>+Calpine!A41</f>
        <v>37325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6">
        <f>SUM(B41:B52)</f>
        <v>-1494337.0000000005</v>
      </c>
      <c r="C53" s="392">
        <f>SUM(C41:C52)</f>
        <v>-602069.446430885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+B53+B38</f>
        <v>1723000.2599999988</v>
      </c>
      <c r="C55" s="353">
        <f>+C53+C38</f>
        <v>694709.04657339002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612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612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612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612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612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618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618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618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621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618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325</v>
      </c>
      <c r="B94" s="611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0" sqref="C4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388411</v>
      </c>
      <c r="C37" s="11">
        <f>SUM(C6:C36)</f>
        <v>378811</v>
      </c>
      <c r="D37" s="25">
        <f>SUM(D6:D36)</f>
        <v>-9600</v>
      </c>
    </row>
    <row r="38" spans="1:4" x14ac:dyDescent="0.2">
      <c r="A38" s="26"/>
      <c r="B38" s="31"/>
      <c r="C38" s="14"/>
      <c r="D38" s="326">
        <f>+summary!G5</f>
        <v>2.4900000000000002</v>
      </c>
    </row>
    <row r="39" spans="1:4" x14ac:dyDescent="0.2">
      <c r="D39" s="138">
        <f>+D38*D37</f>
        <v>-23904.000000000004</v>
      </c>
    </row>
    <row r="40" spans="1:4" x14ac:dyDescent="0.2">
      <c r="A40" s="57">
        <v>37315</v>
      </c>
      <c r="C40" s="15"/>
      <c r="D40" s="613">
        <v>166939.17000000001</v>
      </c>
    </row>
    <row r="41" spans="1:4" x14ac:dyDescent="0.2">
      <c r="A41" s="57">
        <v>37326</v>
      </c>
      <c r="C41" s="48"/>
      <c r="D41" s="138">
        <f>+D40+D39</f>
        <v>143035.17000000001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8">
        <v>93375</v>
      </c>
    </row>
    <row r="46" spans="1:4" x14ac:dyDescent="0.2">
      <c r="A46" s="49">
        <f>+A41</f>
        <v>37326</v>
      </c>
      <c r="B46" s="32"/>
      <c r="C46" s="32"/>
      <c r="D46" s="348">
        <f>+D37</f>
        <v>-9600</v>
      </c>
    </row>
    <row r="47" spans="1:4" x14ac:dyDescent="0.2">
      <c r="A47" s="32"/>
      <c r="B47" s="32"/>
      <c r="C47" s="32"/>
      <c r="D47" s="14">
        <f>+D46+D45</f>
        <v>83775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0" sqref="C40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499872</v>
      </c>
      <c r="C37" s="11">
        <f>SUM(C6:C36)</f>
        <v>498708</v>
      </c>
      <c r="D37" s="25">
        <f>SUM(D6:D36)</f>
        <v>-1164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-2898.36</v>
      </c>
    </row>
    <row r="40" spans="1:4" x14ac:dyDescent="0.2">
      <c r="A40" s="57">
        <v>37315</v>
      </c>
      <c r="C40" s="15"/>
      <c r="D40" s="579">
        <v>9003</v>
      </c>
    </row>
    <row r="41" spans="1:4" x14ac:dyDescent="0.2">
      <c r="A41" s="57">
        <v>37326</v>
      </c>
      <c r="C41" s="48"/>
      <c r="D41" s="138">
        <f>+D40+D39</f>
        <v>6104.6399999999994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4076</v>
      </c>
    </row>
    <row r="47" spans="1:4" x14ac:dyDescent="0.2">
      <c r="A47" s="49">
        <f>+A41</f>
        <v>37326</v>
      </c>
      <c r="B47" s="32"/>
      <c r="C47" s="32"/>
      <c r="D47" s="348">
        <f>+D37</f>
        <v>-1164</v>
      </c>
    </row>
    <row r="48" spans="1:4" x14ac:dyDescent="0.2">
      <c r="A48" s="32"/>
      <c r="B48" s="32"/>
      <c r="C48" s="32"/>
      <c r="D48" s="14">
        <f>+D47+D46</f>
        <v>2912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17" sqref="C1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-1931</v>
      </c>
      <c r="C16" s="11">
        <v>-1038</v>
      </c>
      <c r="D16" s="25">
        <f t="shared" si="0"/>
        <v>893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-13232</v>
      </c>
      <c r="C37" s="11">
        <f>SUM(C6:C36)</f>
        <v>-11418</v>
      </c>
      <c r="D37" s="25">
        <f>SUM(D6:D36)</f>
        <v>1814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4498.72</v>
      </c>
    </row>
    <row r="40" spans="1:4" x14ac:dyDescent="0.2">
      <c r="A40" s="57">
        <v>37315</v>
      </c>
      <c r="C40" s="15"/>
      <c r="D40" s="613">
        <v>-254200.98</v>
      </c>
    </row>
    <row r="41" spans="1:4" x14ac:dyDescent="0.2">
      <c r="A41" s="57">
        <v>37326</v>
      </c>
      <c r="C41" s="48"/>
      <c r="D41" s="138">
        <f>+D40+D39</f>
        <v>-249702.26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8">
        <v>3963</v>
      </c>
    </row>
    <row r="49" spans="1:4" x14ac:dyDescent="0.2">
      <c r="A49" s="49">
        <f>+A41</f>
        <v>37326</v>
      </c>
      <c r="B49" s="32"/>
      <c r="C49" s="32"/>
      <c r="D49" s="348">
        <f>+D37</f>
        <v>1814</v>
      </c>
    </row>
    <row r="50" spans="1:4" x14ac:dyDescent="0.2">
      <c r="A50" s="32"/>
      <c r="B50" s="32"/>
      <c r="C50" s="32"/>
      <c r="D50" s="14">
        <f>+D49+D48</f>
        <v>5777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9" sqref="C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-345776</v>
      </c>
      <c r="C37" s="11">
        <f>SUM(C6:C36)</f>
        <v>-354000</v>
      </c>
      <c r="D37" s="25">
        <f>SUM(D6:D36)</f>
        <v>-8224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-20395.52</v>
      </c>
    </row>
    <row r="40" spans="1:4" x14ac:dyDescent="0.2">
      <c r="A40" s="57">
        <v>37315</v>
      </c>
      <c r="C40" s="15"/>
      <c r="D40" s="613">
        <v>61873.66</v>
      </c>
    </row>
    <row r="41" spans="1:4" x14ac:dyDescent="0.2">
      <c r="A41" s="57">
        <v>37325</v>
      </c>
      <c r="C41" s="48"/>
      <c r="D41" s="138">
        <f>+D40+D39</f>
        <v>41478.14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33068</v>
      </c>
    </row>
    <row r="47" spans="1:4" x14ac:dyDescent="0.2">
      <c r="A47" s="49">
        <f>+A41</f>
        <v>37325</v>
      </c>
      <c r="B47" s="32"/>
      <c r="C47" s="32"/>
      <c r="D47" s="348">
        <f>+D37</f>
        <v>-8224</v>
      </c>
    </row>
    <row r="48" spans="1:4" x14ac:dyDescent="0.2">
      <c r="A48" s="32"/>
      <c r="B48" s="32"/>
      <c r="C48" s="32"/>
      <c r="D48" s="14">
        <f>+D47+D46</f>
        <v>24844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-1260</v>
      </c>
      <c r="D5" s="90">
        <f>+C5-B5</f>
        <v>-1260</v>
      </c>
      <c r="E5" s="275"/>
      <c r="F5" s="273"/>
    </row>
    <row r="6" spans="1:13" x14ac:dyDescent="0.2">
      <c r="A6" s="87">
        <v>500046</v>
      </c>
      <c r="B6" s="90">
        <f>-4619-297-218</f>
        <v>-5134</v>
      </c>
      <c r="C6" s="90"/>
      <c r="D6" s="90">
        <f t="shared" ref="D6:D11" si="0">+C6-B6</f>
        <v>5134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-8446-547</f>
        <v>-8993</v>
      </c>
      <c r="C8" s="90">
        <v>-17120</v>
      </c>
      <c r="D8" s="90">
        <f t="shared" si="0"/>
        <v>-8127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-4253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2.48</v>
      </c>
      <c r="E13" s="277"/>
      <c r="F13" s="273"/>
    </row>
    <row r="14" spans="1:13" x14ac:dyDescent="0.2">
      <c r="A14" s="87"/>
      <c r="B14" s="88"/>
      <c r="C14" s="88"/>
      <c r="D14" s="96">
        <f>+D13*D12</f>
        <v>-10547.44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37325</v>
      </c>
      <c r="B18" s="88"/>
      <c r="C18" s="88"/>
      <c r="D18" s="318">
        <f>+D16+D14</f>
        <v>-588382.12999999989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8">
        <v>-55913</v>
      </c>
    </row>
    <row r="23" spans="1:7" x14ac:dyDescent="0.2">
      <c r="A23" s="49"/>
      <c r="B23" s="32"/>
      <c r="C23" s="32"/>
      <c r="D23" s="348">
        <f>+D12</f>
        <v>-4253</v>
      </c>
    </row>
    <row r="24" spans="1:7" x14ac:dyDescent="0.2">
      <c r="A24" s="49">
        <f>+A18</f>
        <v>37325</v>
      </c>
      <c r="B24" s="32"/>
      <c r="C24" s="32"/>
      <c r="D24" s="14">
        <f>+D23+D22</f>
        <v>-60166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9.7793127347671422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9" sqref="C3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-424368</v>
      </c>
      <c r="C37" s="11">
        <f>SUM(C6:C36)</f>
        <v>-414067</v>
      </c>
      <c r="D37" s="25">
        <f>SUM(D6:D36)</f>
        <v>10301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5">
        <f>-22463+19592</f>
        <v>-2871</v>
      </c>
    </row>
    <row r="41" spans="1:4" x14ac:dyDescent="0.2">
      <c r="A41" s="57">
        <v>37325</v>
      </c>
      <c r="C41" s="48"/>
      <c r="D41" s="25">
        <f>+D40+D37</f>
        <v>7430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37325</v>
      </c>
      <c r="B46" s="32"/>
      <c r="C46" s="32"/>
      <c r="D46" s="373">
        <f>+D37*'by type_area'!G4</f>
        <v>25546.48</v>
      </c>
    </row>
    <row r="47" spans="1:4" x14ac:dyDescent="0.2">
      <c r="A47" s="32"/>
      <c r="B47" s="32"/>
      <c r="C47" s="32"/>
      <c r="D47" s="200">
        <f>+D46+D45</f>
        <v>180282.48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3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C92" sqref="C9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-120</v>
      </c>
      <c r="C13" s="11">
        <v>-120</v>
      </c>
      <c r="D13" s="11"/>
      <c r="E13" s="11"/>
      <c r="F13" s="11">
        <v>-482</v>
      </c>
      <c r="G13" s="11">
        <v>-644</v>
      </c>
      <c r="H13" s="11"/>
      <c r="I13" s="11"/>
      <c r="J13" s="11">
        <f t="shared" si="0"/>
        <v>-162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-1206</v>
      </c>
      <c r="C37" s="11">
        <f t="shared" ref="C37:I37" si="1">SUM(C6:C36)</f>
        <v>-960</v>
      </c>
      <c r="D37" s="11">
        <f t="shared" si="1"/>
        <v>0</v>
      </c>
      <c r="E37" s="11">
        <f t="shared" si="1"/>
        <v>0</v>
      </c>
      <c r="F37" s="11">
        <f t="shared" si="1"/>
        <v>-7973</v>
      </c>
      <c r="G37" s="11">
        <f t="shared" si="1"/>
        <v>-4989</v>
      </c>
      <c r="H37" s="11">
        <f t="shared" si="1"/>
        <v>0</v>
      </c>
      <c r="I37" s="11">
        <f t="shared" si="1"/>
        <v>0</v>
      </c>
      <c r="J37" s="11">
        <f>SUM(J6:J36)</f>
        <v>3230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2.48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8010.4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4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37323</v>
      </c>
      <c r="J43" s="319">
        <f>+J41+J39</f>
        <v>-19880.599999999999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8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37323</v>
      </c>
      <c r="B49" s="32"/>
      <c r="C49" s="32"/>
      <c r="D49" s="348">
        <f>+J37</f>
        <v>3230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3410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M16" sqref="M1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-7510</v>
      </c>
      <c r="M37" s="11">
        <f>SUM(M6:M36)</f>
        <v>-8568</v>
      </c>
      <c r="N37" s="11">
        <f t="shared" si="1"/>
        <v>-1058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2.48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-2623.84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4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37323</v>
      </c>
      <c r="N43" s="319">
        <f>+N41+N39</f>
        <v>16899.329999999998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8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37323</v>
      </c>
      <c r="B49" s="32"/>
      <c r="C49" s="32"/>
      <c r="D49" s="348">
        <f>+N37</f>
        <v>-1058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4813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1712</v>
      </c>
      <c r="C37" s="11">
        <f>SUM(C6:C36)</f>
        <v>1274</v>
      </c>
      <c r="D37" s="25">
        <f>SUM(D6:D36)</f>
        <v>-438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-1090.6200000000001</v>
      </c>
    </row>
    <row r="40" spans="1:4" x14ac:dyDescent="0.2">
      <c r="A40" s="57">
        <v>37315</v>
      </c>
      <c r="C40" s="15"/>
      <c r="D40" s="613">
        <v>172008.39</v>
      </c>
    </row>
    <row r="41" spans="1:4" x14ac:dyDescent="0.2">
      <c r="A41" s="57">
        <v>37325</v>
      </c>
      <c r="C41" s="48"/>
      <c r="D41" s="138">
        <f>+D40+D39</f>
        <v>170917.77000000002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75165</v>
      </c>
    </row>
    <row r="47" spans="1:4" x14ac:dyDescent="0.2">
      <c r="A47" s="49">
        <f>+A41</f>
        <v>37325</v>
      </c>
      <c r="B47" s="32"/>
      <c r="C47" s="32"/>
      <c r="D47" s="348">
        <f>+D37</f>
        <v>-438</v>
      </c>
    </row>
    <row r="48" spans="1:4" x14ac:dyDescent="0.2">
      <c r="A48" s="32"/>
      <c r="B48" s="32"/>
      <c r="C48" s="32"/>
      <c r="D48" s="14">
        <f>+D47+D46</f>
        <v>74727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38" sqref="E38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3550065</v>
      </c>
      <c r="C35" s="11">
        <f t="shared" ref="C35:I35" si="3">SUM(C4:C34)</f>
        <v>3463314</v>
      </c>
      <c r="D35" s="11">
        <f t="shared" si="3"/>
        <v>0</v>
      </c>
      <c r="E35" s="11">
        <f t="shared" si="3"/>
        <v>102405</v>
      </c>
      <c r="F35" s="11">
        <f t="shared" si="3"/>
        <v>403290</v>
      </c>
      <c r="G35" s="11">
        <f t="shared" si="3"/>
        <v>402127</v>
      </c>
      <c r="H35" s="11">
        <f t="shared" si="3"/>
        <v>1548683</v>
      </c>
      <c r="I35" s="11">
        <f t="shared" si="3"/>
        <v>1554559</v>
      </c>
      <c r="J35" s="11">
        <f>SUM(J4:J34)</f>
        <v>20367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37326</v>
      </c>
      <c r="J40" s="51">
        <f>+J38+J35</f>
        <v>20367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37326</v>
      </c>
      <c r="B47" s="32"/>
      <c r="C47" s="32"/>
      <c r="D47" s="373">
        <f>+J35*'by type_area'!G3</f>
        <v>50510.159999999996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134971.16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3925</v>
      </c>
      <c r="D37" s="25">
        <f>SUM(D6:D36)</f>
        <v>3869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9633.8100000000013</v>
      </c>
    </row>
    <row r="40" spans="1:4" x14ac:dyDescent="0.2">
      <c r="A40" s="57">
        <v>37315</v>
      </c>
      <c r="C40" s="15"/>
      <c r="D40" s="575">
        <v>1032</v>
      </c>
    </row>
    <row r="41" spans="1:4" x14ac:dyDescent="0.2">
      <c r="A41" s="57">
        <v>37325</v>
      </c>
      <c r="C41" s="48"/>
      <c r="D41" s="138">
        <f>+D40+D39</f>
        <v>10665.810000000001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487</v>
      </c>
    </row>
    <row r="47" spans="1:4" x14ac:dyDescent="0.2">
      <c r="A47" s="49">
        <f>+A41</f>
        <v>37325</v>
      </c>
      <c r="B47" s="32"/>
      <c r="C47" s="32"/>
      <c r="D47" s="348">
        <f>+D37</f>
        <v>3869</v>
      </c>
    </row>
    <row r="48" spans="1:4" x14ac:dyDescent="0.2">
      <c r="A48" s="32"/>
      <c r="B48" s="32"/>
      <c r="C48" s="32"/>
      <c r="D48" s="14">
        <f>+D47+D46</f>
        <v>4356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-16667</v>
      </c>
      <c r="C37" s="24">
        <f>SUM(C6:C36)</f>
        <v>-15704</v>
      </c>
      <c r="D37" s="24">
        <f>SUM(D6:D36)</f>
        <v>-15218</v>
      </c>
      <c r="E37" s="24">
        <f>SUM(E6:E36)</f>
        <v>-16000</v>
      </c>
      <c r="F37" s="24">
        <f>SUM(F6:F36)</f>
        <v>181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2.48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448.88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3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37323</v>
      </c>
      <c r="C41" s="319"/>
      <c r="D41" s="262"/>
      <c r="E41" s="262"/>
      <c r="F41" s="104">
        <f>+F40+F39</f>
        <v>-120523.6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8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37323</v>
      </c>
      <c r="B47" s="32"/>
      <c r="C47" s="32"/>
      <c r="D47" s="348">
        <f>+F37</f>
        <v>181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-34765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3" workbookViewId="0">
      <selection activeCell="P40" sqref="P40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-3560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316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-32139</v>
      </c>
      <c r="C37" s="24">
        <f t="shared" si="1"/>
        <v>-24575</v>
      </c>
      <c r="D37" s="24">
        <f t="shared" si="1"/>
        <v>-658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7997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2.48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19832.560000000001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2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37324</v>
      </c>
      <c r="E41" s="14"/>
      <c r="O41" s="440"/>
      <c r="P41" s="104">
        <f>+P40+P39</f>
        <v>127498.97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9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37324</v>
      </c>
      <c r="B47" s="32"/>
      <c r="C47" s="32"/>
      <c r="D47" s="348">
        <f>+P37</f>
        <v>7997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53521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2.3822232394760934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9" sqref="C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-171184</v>
      </c>
      <c r="C37" s="11">
        <f>SUM(C6:C36)</f>
        <v>-169655</v>
      </c>
      <c r="D37" s="25">
        <f>SUM(D6:D36)</f>
        <v>1529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3791.92</v>
      </c>
    </row>
    <row r="40" spans="1:4" x14ac:dyDescent="0.2">
      <c r="A40" s="57">
        <v>37315</v>
      </c>
      <c r="C40" s="15"/>
      <c r="D40" s="613">
        <v>-15719.76</v>
      </c>
    </row>
    <row r="41" spans="1:4" x14ac:dyDescent="0.2">
      <c r="A41" s="57">
        <v>37325</v>
      </c>
      <c r="C41" s="48"/>
      <c r="D41" s="138">
        <f>+D40+D39</f>
        <v>-11927.84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5419</v>
      </c>
    </row>
    <row r="47" spans="1:4" x14ac:dyDescent="0.2">
      <c r="A47" s="49">
        <f>+A41</f>
        <v>37325</v>
      </c>
      <c r="B47" s="32"/>
      <c r="C47" s="32"/>
      <c r="D47" s="348">
        <f>+D37</f>
        <v>1529</v>
      </c>
    </row>
    <row r="48" spans="1:4" x14ac:dyDescent="0.2">
      <c r="A48" s="32"/>
      <c r="B48" s="32"/>
      <c r="C48" s="32"/>
      <c r="D48" s="14">
        <f>+D47+D46</f>
        <v>6948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2.4900000000000002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4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9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324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318</v>
      </c>
      <c r="C4" s="518"/>
      <c r="D4" s="519" t="s">
        <v>319</v>
      </c>
      <c r="E4" s="518"/>
      <c r="F4" s="519" t="s">
        <v>320</v>
      </c>
      <c r="G4" s="518"/>
      <c r="H4" s="519" t="s">
        <v>321</v>
      </c>
      <c r="I4" s="518"/>
      <c r="J4" s="519" t="s">
        <v>322</v>
      </c>
      <c r="K4" s="518"/>
      <c r="L4" s="519" t="s">
        <v>323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2.48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4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8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17" sqref="C1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1467148</v>
      </c>
      <c r="C38" s="11">
        <f>SUM(C7:C37)</f>
        <v>1469837</v>
      </c>
      <c r="D38" s="11">
        <f>SUM(D7:D37)</f>
        <v>2689</v>
      </c>
    </row>
    <row r="39" spans="1:8" x14ac:dyDescent="0.2">
      <c r="A39" s="26"/>
      <c r="C39" s="14"/>
      <c r="D39" s="106">
        <f>+summary!G3</f>
        <v>2.48</v>
      </c>
    </row>
    <row r="40" spans="1:8" x14ac:dyDescent="0.2">
      <c r="D40" s="138">
        <f>+D39*D38</f>
        <v>6668.72</v>
      </c>
      <c r="H40">
        <v>20</v>
      </c>
    </row>
    <row r="41" spans="1:8" x14ac:dyDescent="0.2">
      <c r="A41" s="57">
        <v>37315</v>
      </c>
      <c r="C41" s="15"/>
      <c r="D41" s="603">
        <v>-13944.79</v>
      </c>
      <c r="H41">
        <v>530</v>
      </c>
    </row>
    <row r="42" spans="1:8" x14ac:dyDescent="0.2">
      <c r="A42" s="57">
        <v>37325</v>
      </c>
      <c r="D42" s="319">
        <f>+D41+D40</f>
        <v>-7276.0700000000006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99">
        <v>-7030</v>
      </c>
    </row>
    <row r="48" spans="1:8" x14ac:dyDescent="0.2">
      <c r="A48" s="49">
        <f>+A42</f>
        <v>37325</v>
      </c>
      <c r="B48" s="32"/>
      <c r="C48" s="32"/>
      <c r="D48" s="348">
        <f>+D38</f>
        <v>2689</v>
      </c>
    </row>
    <row r="49" spans="1:4" x14ac:dyDescent="0.2">
      <c r="A49" s="32"/>
      <c r="B49" s="32"/>
      <c r="C49" s="32"/>
      <c r="D49" s="14">
        <f>+D48+D47</f>
        <v>-4341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C38" sqref="C38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-297619</v>
      </c>
      <c r="C36" s="44">
        <f>SUM(C5:C35)</f>
        <v>-307169</v>
      </c>
      <c r="D36" s="43">
        <f>SUM(D5:D35)</f>
        <v>-334163</v>
      </c>
      <c r="E36" s="43">
        <f>SUM(E5:E35)</f>
        <v>-346142</v>
      </c>
      <c r="F36" s="11">
        <f>SUM(F5:F35)</f>
        <v>-21529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2.4900000000000002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-53607.210000000006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601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37325</v>
      </c>
      <c r="B43" s="32"/>
      <c r="C43" s="106"/>
      <c r="D43" s="106"/>
      <c r="E43" s="106"/>
      <c r="F43" s="24">
        <f>+F42+F36</f>
        <v>40042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37325</v>
      </c>
      <c r="B49" s="32"/>
      <c r="C49" s="32"/>
      <c r="D49" s="76">
        <f>+F36</f>
        <v>-21529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68764.960000000006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-2292675</v>
      </c>
      <c r="C35" s="11">
        <f>SUM(C4:C34)</f>
        <v>-2293935</v>
      </c>
      <c r="D35" s="11">
        <f>SUM(D4:D34)</f>
        <v>-1260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4">
        <v>5393</v>
      </c>
    </row>
    <row r="39" spans="1:30" x14ac:dyDescent="0.2">
      <c r="A39" s="12"/>
      <c r="D39" s="51"/>
    </row>
    <row r="40" spans="1:30" x14ac:dyDescent="0.2">
      <c r="A40" s="245">
        <v>37326</v>
      </c>
      <c r="D40" s="51">
        <f>+D38+D35</f>
        <v>4133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37326</v>
      </c>
      <c r="B46" s="32"/>
      <c r="C46" s="32"/>
      <c r="D46" s="373">
        <f>+D35*'by type_area'!G4</f>
        <v>-3124.8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-196017.8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G37" sqref="G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-6028442</v>
      </c>
      <c r="C35" s="11">
        <f>SUM(C4:C34)</f>
        <v>-6164860</v>
      </c>
      <c r="D35" s="11">
        <f>SUM(D4:D34)</f>
        <v>0</v>
      </c>
      <c r="E35" s="11">
        <f>SUM(E4:E34)</f>
        <v>0</v>
      </c>
      <c r="F35" s="11">
        <f>SUM(F4:F34)</f>
        <v>-136418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7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37326</v>
      </c>
      <c r="D40" s="246"/>
      <c r="E40" s="246"/>
      <c r="F40" s="51">
        <f>+F38+F35</f>
        <v>-57931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37326</v>
      </c>
      <c r="B46" s="32"/>
      <c r="C46" s="32"/>
      <c r="D46" s="471">
        <f>+F35*'by type_area'!G4</f>
        <v>-338316.64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-60829.640000000014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E53" sqref="E5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-728707</v>
      </c>
      <c r="C35" s="44">
        <f t="shared" si="3"/>
        <v>-229552</v>
      </c>
      <c r="D35" s="11">
        <f t="shared" si="3"/>
        <v>-46726</v>
      </c>
      <c r="E35" s="44">
        <f t="shared" si="3"/>
        <v>-539046</v>
      </c>
      <c r="F35" s="11">
        <f t="shared" si="3"/>
        <v>0</v>
      </c>
      <c r="G35" s="11">
        <f t="shared" si="3"/>
        <v>0</v>
      </c>
      <c r="H35" s="11">
        <f t="shared" si="3"/>
        <v>6835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2.48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16950.8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37325</v>
      </c>
      <c r="F39" s="470"/>
      <c r="G39" s="470"/>
      <c r="H39" s="319">
        <f>+H38+H37</f>
        <v>52580.800000000003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37325</v>
      </c>
      <c r="E47" s="456">
        <f>+H35</f>
        <v>6835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51521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5" workbookViewId="0">
      <selection activeCell="E16" sqref="E1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-3100281</v>
      </c>
      <c r="E36" s="11">
        <f t="shared" si="15"/>
        <v>-3138563</v>
      </c>
      <c r="F36" s="11">
        <f t="shared" si="15"/>
        <v>0</v>
      </c>
      <c r="G36" s="11">
        <f t="shared" si="15"/>
        <v>0</v>
      </c>
      <c r="H36" s="11">
        <f t="shared" si="15"/>
        <v>-38282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-38282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7">
        <v>64269</v>
      </c>
      <c r="D38" s="320"/>
      <c r="E38" s="626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37326</v>
      </c>
      <c r="B39" s="2" t="s">
        <v>45</v>
      </c>
      <c r="C39" s="131">
        <f>+C38+C37</f>
        <v>64269</v>
      </c>
      <c r="D39" s="252"/>
      <c r="E39" s="131">
        <f>+E38+E37</f>
        <v>-65103</v>
      </c>
      <c r="F39" s="252"/>
      <c r="G39" s="131"/>
      <c r="H39" s="131">
        <f>+H38+H36</f>
        <v>-834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37326</v>
      </c>
      <c r="B45" s="32"/>
      <c r="C45" s="47">
        <f>+C37*summary!G4</f>
        <v>0</v>
      </c>
      <c r="D45" s="205"/>
      <c r="E45" s="375">
        <f>+E37*summary!G3</f>
        <v>-94939.36</v>
      </c>
      <c r="F45" s="47">
        <f>+E45+C45</f>
        <v>-94939.36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28</vt:i4>
      </vt:variant>
    </vt:vector>
  </HeadingPairs>
  <TitlesOfParts>
    <vt:vector size="74" baseType="lpstr">
      <vt:lpstr>monthly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2002-03-07T18:55:25Z</cp:lastPrinted>
  <dcterms:created xsi:type="dcterms:W3CDTF">2000-03-28T16:52:23Z</dcterms:created>
  <dcterms:modified xsi:type="dcterms:W3CDTF">2023-09-14T17:16:42Z</dcterms:modified>
</cp:coreProperties>
</file>