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1FBCAD6-A3EE-45EC-9689-E368FD90511E}" xr6:coauthVersionLast="47" xr6:coauthVersionMax="47" xr10:uidLastSave="{00000000-0000-0000-0000-000000000000}"/>
  <bookViews>
    <workbookView xWindow="-120" yWindow="-120" windowWidth="38640" windowHeight="157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type_area'!$A$58:$H$95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PGETX!$K$2:$P$15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summary!$A$2:$G$59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G3" i="80"/>
  <c r="H3" i="80"/>
  <c r="G4" i="80"/>
  <c r="G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F49" i="80"/>
  <c r="B50" i="80"/>
  <c r="C50" i="80"/>
  <c r="D50" i="80"/>
  <c r="E50" i="80"/>
  <c r="F50" i="80"/>
  <c r="B51" i="80"/>
  <c r="C51" i="80"/>
  <c r="D51" i="80"/>
  <c r="E51" i="80"/>
  <c r="B53" i="80"/>
  <c r="C53" i="80"/>
  <c r="D53" i="80"/>
  <c r="E53" i="80"/>
  <c r="G59" i="80"/>
  <c r="H59" i="80"/>
  <c r="G60" i="80"/>
  <c r="G61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F70" i="80"/>
  <c r="B71" i="80"/>
  <c r="C71" i="80"/>
  <c r="D71" i="80"/>
  <c r="E71" i="80"/>
  <c r="F71" i="80"/>
  <c r="B72" i="80"/>
  <c r="C72" i="80"/>
  <c r="D72" i="80"/>
  <c r="E72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F77" i="80"/>
  <c r="B78" i="80"/>
  <c r="C78" i="80"/>
  <c r="D78" i="80"/>
  <c r="E78" i="80"/>
  <c r="F78" i="80"/>
  <c r="B79" i="80"/>
  <c r="C79" i="80"/>
  <c r="D79" i="80"/>
  <c r="E79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F84" i="80"/>
  <c r="B85" i="80"/>
  <c r="C85" i="80"/>
  <c r="D85" i="80"/>
  <c r="E85" i="80"/>
  <c r="F85" i="80"/>
  <c r="B86" i="80"/>
  <c r="C86" i="80"/>
  <c r="D86" i="80"/>
  <c r="E86" i="80"/>
  <c r="B88" i="80"/>
  <c r="C88" i="80"/>
  <c r="D88" i="80"/>
  <c r="E88" i="80"/>
  <c r="B91" i="80"/>
  <c r="B92" i="80"/>
  <c r="A130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D23" i="78"/>
  <c r="A24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1" i="87"/>
  <c r="A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9" i="20"/>
  <c r="B10" i="20"/>
  <c r="J11" i="20"/>
  <c r="B13" i="20"/>
  <c r="B14" i="20"/>
  <c r="B15" i="20"/>
  <c r="J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4" i="20"/>
  <c r="B45" i="20"/>
  <c r="B46" i="20"/>
  <c r="B47" i="20"/>
  <c r="C47" i="20"/>
  <c r="C48" i="20"/>
  <c r="C57" i="20"/>
  <c r="I57" i="20"/>
  <c r="C61" i="20"/>
  <c r="C62" i="20"/>
  <c r="I62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D6" i="22"/>
  <c r="F6" i="22"/>
  <c r="D7" i="22"/>
  <c r="F7" i="22"/>
  <c r="D8" i="22"/>
  <c r="F8" i="22"/>
  <c r="D9" i="22"/>
  <c r="F9" i="22"/>
  <c r="D10" i="22"/>
  <c r="F10" i="22"/>
  <c r="D11" i="22"/>
  <c r="F11" i="22"/>
  <c r="D12" i="22"/>
  <c r="F12" i="22"/>
  <c r="D13" i="22"/>
  <c r="F13" i="22"/>
  <c r="D14" i="22"/>
  <c r="F14" i="22"/>
  <c r="D15" i="22"/>
  <c r="F15" i="22"/>
  <c r="D16" i="22"/>
  <c r="F16" i="22"/>
  <c r="D17" i="22"/>
  <c r="F17" i="22"/>
  <c r="D18" i="22"/>
  <c r="F18" i="22"/>
  <c r="D19" i="22"/>
  <c r="F19" i="22"/>
  <c r="D20" i="22"/>
  <c r="F20" i="22"/>
  <c r="D21" i="22"/>
  <c r="F21" i="22"/>
  <c r="D22" i="22"/>
  <c r="F22" i="22"/>
  <c r="D23" i="22"/>
  <c r="F23" i="22"/>
  <c r="D24" i="22"/>
  <c r="F24" i="22"/>
  <c r="D25" i="22"/>
  <c r="F25" i="22"/>
  <c r="D26" i="22"/>
  <c r="F26" i="22"/>
  <c r="D27" i="22"/>
  <c r="F27" i="22"/>
  <c r="D28" i="22"/>
  <c r="F28" i="22"/>
  <c r="D29" i="22"/>
  <c r="F29" i="22"/>
  <c r="D30" i="22"/>
  <c r="F30" i="22"/>
  <c r="D31" i="22"/>
  <c r="F31" i="22"/>
  <c r="D32" i="22"/>
  <c r="F32" i="22"/>
  <c r="D33" i="22"/>
  <c r="F33" i="22"/>
  <c r="D34" i="22"/>
  <c r="F34" i="22"/>
  <c r="D35" i="22"/>
  <c r="F35" i="22"/>
  <c r="D36" i="22"/>
  <c r="F36" i="22"/>
  <c r="B37" i="22"/>
  <c r="C37" i="22"/>
  <c r="D37" i="22"/>
  <c r="E37" i="22"/>
  <c r="F37" i="22"/>
  <c r="J37" i="22"/>
  <c r="F38" i="22"/>
  <c r="I38" i="22"/>
  <c r="F39" i="22"/>
  <c r="F41" i="22"/>
  <c r="F43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L10" i="67"/>
  <c r="N10" i="67"/>
  <c r="S10" i="67"/>
  <c r="U10" i="67"/>
  <c r="F11" i="67"/>
  <c r="J11" i="67"/>
  <c r="L11" i="67"/>
  <c r="N11" i="67"/>
  <c r="S11" i="67"/>
  <c r="U11" i="67"/>
  <c r="F12" i="67"/>
  <c r="J12" i="67"/>
  <c r="L12" i="67"/>
  <c r="N12" i="67"/>
  <c r="S12" i="67"/>
  <c r="U12" i="67"/>
  <c r="F13" i="67"/>
  <c r="J13" i="67"/>
  <c r="L13" i="67"/>
  <c r="N13" i="67"/>
  <c r="S13" i="67"/>
  <c r="U13" i="67"/>
  <c r="F14" i="67"/>
  <c r="L14" i="67"/>
  <c r="N14" i="67"/>
  <c r="S14" i="67"/>
  <c r="F15" i="67"/>
  <c r="S15" i="67"/>
  <c r="F16" i="67"/>
  <c r="L16" i="67"/>
  <c r="N16" i="67"/>
  <c r="S16" i="67"/>
  <c r="U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R32" i="67"/>
  <c r="F33" i="67"/>
  <c r="R33" i="67"/>
  <c r="B34" i="67"/>
  <c r="C34" i="67"/>
  <c r="D34" i="67"/>
  <c r="E34" i="67"/>
  <c r="F34" i="67"/>
  <c r="R34" i="67"/>
  <c r="F37" i="67"/>
  <c r="F38" i="67"/>
  <c r="A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P4" i="9"/>
  <c r="R4" i="9"/>
  <c r="H5" i="9"/>
  <c r="P5" i="9"/>
  <c r="R5" i="9"/>
  <c r="H6" i="9"/>
  <c r="P6" i="9"/>
  <c r="R6" i="9"/>
  <c r="H7" i="9"/>
  <c r="N7" i="9"/>
  <c r="P7" i="9"/>
  <c r="R7" i="9"/>
  <c r="H8" i="9"/>
  <c r="P8" i="9"/>
  <c r="R8" i="9"/>
  <c r="H9" i="9"/>
  <c r="N9" i="9"/>
  <c r="P9" i="9"/>
  <c r="R9" i="9"/>
  <c r="H10" i="9"/>
  <c r="P10" i="9"/>
  <c r="R10" i="9"/>
  <c r="H11" i="9"/>
  <c r="P11" i="9"/>
  <c r="R11" i="9"/>
  <c r="H12" i="9"/>
  <c r="P12" i="9"/>
  <c r="R12" i="9"/>
  <c r="H13" i="9"/>
  <c r="P13" i="9"/>
  <c r="R13" i="9"/>
  <c r="H14" i="9"/>
  <c r="P14" i="9"/>
  <c r="R14" i="9"/>
  <c r="H15" i="9"/>
  <c r="P15" i="9"/>
  <c r="R15" i="9"/>
  <c r="H16" i="9"/>
  <c r="P16" i="9"/>
  <c r="R16" i="9"/>
  <c r="H17" i="9"/>
  <c r="H18" i="9"/>
  <c r="H19" i="9"/>
  <c r="P19" i="9"/>
  <c r="R19" i="9"/>
  <c r="H20" i="9"/>
  <c r="H21" i="9"/>
  <c r="H22" i="9"/>
  <c r="R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7" i="93"/>
  <c r="N38" i="93"/>
  <c r="N39" i="93"/>
  <c r="N43" i="93"/>
  <c r="A48" i="93"/>
  <c r="A49" i="93"/>
  <c r="D49" i="93"/>
  <c r="D50" i="93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7" i="92"/>
  <c r="D38" i="92"/>
  <c r="D39" i="92"/>
  <c r="D41" i="92"/>
  <c r="A46" i="92"/>
  <c r="A47" i="92"/>
  <c r="D47" i="92"/>
  <c r="D48" i="92"/>
  <c r="G3" i="63"/>
  <c r="J3" i="63"/>
  <c r="G4" i="63"/>
  <c r="G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N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P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D37" i="63"/>
  <c r="B38" i="63"/>
  <c r="C38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B50" i="63"/>
  <c r="C50" i="63"/>
  <c r="D50" i="63"/>
  <c r="B51" i="63"/>
  <c r="C51" i="63"/>
  <c r="D51" i="63"/>
  <c r="B52" i="63"/>
  <c r="C52" i="63"/>
  <c r="D52" i="63"/>
  <c r="B53" i="63"/>
  <c r="C53" i="63"/>
  <c r="D53" i="63"/>
  <c r="B54" i="63"/>
  <c r="C54" i="63"/>
  <c r="D54" i="63"/>
  <c r="B55" i="63"/>
  <c r="C55" i="63"/>
  <c r="B57" i="63"/>
  <c r="C57" i="63"/>
  <c r="B118" i="63"/>
  <c r="B120" i="63"/>
  <c r="B128" i="63"/>
  <c r="B141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<sst xmlns="http://schemas.openxmlformats.org/spreadsheetml/2006/main" count="1035" uniqueCount="334">
  <si>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</si>
  <si>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</si>
  <si>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</si>
  <si>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</si>
  <si>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</si>
  <si>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</si>
  <si>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</si>
  <si>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</si>
  <si>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</si>
  <si>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</si>
  <si>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</si>
  <si>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</si>
  <si>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</si>
  <si>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</si>
  <si>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</si>
  <si>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</si>
  <si>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</si>
  <si>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</si>
  <si>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</si>
  <si>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</si>
  <si>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</si>
  <si>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</si>
  <si>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</si>
  <si>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</si>
  <si>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</si>
  <si>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</si>
  <si>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</si>
  <si>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</si>
  <si>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</si>
  <si>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</si>
  <si>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</si>
  <si>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</si>
  <si>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</si>
  <si>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</si>
  <si>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</si>
  <si>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</si>
  <si>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</si>
  <si>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</si>
  <si>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</si>
  <si>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</si>
  <si>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</si>
  <si>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</si>
  <si>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</si>
  <si>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</si>
  <si>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</si>
  <si>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</si>
  <si>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</si>
  <si>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</si>
  <si>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</si>
  <si>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</si>
  <si>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</si>
  <si>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</si>
  <si>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</si>
  <si>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</si>
  <si>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</si>
  <si>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</si>
  <si>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</si>
  <si>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</si>
  <si>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</si>
  <si>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</si>
  <si>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</si>
  <si>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</si>
  <si>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</si>
  <si>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</si>
  <si>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</si>
  <si>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</si>
  <si>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</si>
  <si>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</si>
  <si>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</si>
  <si>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</si>
  <si>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</si>
  <si>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</si>
  <si>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</si>
  <si>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</si>
  <si>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</si>
  <si>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</si>
  <si>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</si>
  <si>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</si>
  <si>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</si>
  <si>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</si>
  <si>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</si>
  <si>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</si>
  <si>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</si>
  <si>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</si>
  <si>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</si>
  <si>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</si>
  <si>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</si>
  <si>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</si>
  <si>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</si>
  <si>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</si>
  <si>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</si>
  <si>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</si>
  <si>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</si>
  <si>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</si>
  <si>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</si>
  <si>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</si>
  <si>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</si>
  <si>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</si>
  <si>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</si>
  <si>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</si>
  <si>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</si>
  <si>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</si>
  <si>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</si>
  <si>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</si>
  <si>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</si>
  <si>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</si>
  <si>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</si>
  <si>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</si>
  <si>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</si>
  <si>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</si>
  <si>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</si>
  <si>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</si>
  <si>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</si>
  <si>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</si>
  <si>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</si>
  <si>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</si>
  <si>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</si>
  <si>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</si>
  <si>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</si>
  <si>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</si>
  <si>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</si>
  <si>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</si>
  <si>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</si>
  <si>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</si>
  <si>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</si>
  <si>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</si>
  <si>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</si>
  <si>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</si>
  <si>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</si>
  <si>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</si>
  <si>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</si>
  <si>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</si>
  <si>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</si>
  <si>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</si>
  <si>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</si>
  <si>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</si>
  <si>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</si>
  <si>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</si>
  <si>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</si>
  <si>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</si>
  <si>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</si>
  <si>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</si>
  <si>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</si>
  <si>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</si>
  <si>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</si>
  <si>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</si>
  <si>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</si>
  <si>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</si>
  <si>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</si>
  <si>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</si>
  <si>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</si>
  <si>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</si>
  <si>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</si>
  <si>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</si>
  <si>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</si>
  <si>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</si>
  <si>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</si>
  <si>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</si>
  <si>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</si>
  <si>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</si>
  <si>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</si>
  <si>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</si>
  <si>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</si>
  <si>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</si>
  <si>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</si>
  <si>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</si>
  <si>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</si>
  <si>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</si>
  <si>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</si>
  <si>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</si>
  <si>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</si>
  <si>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</si>
  <si>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</si>
  <si>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</si>
  <si>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</si>
  <si>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</si>
  <si>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</si>
  <si>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</si>
  <si>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</si>
  <si>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</si>
  <si>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</si>
  <si>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</si>
  <si>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</si>
  <si>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</si>
  <si>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</si>
  <si>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</si>
  <si>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</si>
  <si>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</si>
  <si>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</si>
  <si>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</si>
  <si>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</si>
  <si>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</si>
  <si>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</si>
  <si>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</si>
  <si>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</si>
  <si>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</si>
  <si>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</si>
  <si>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</si>
  <si>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</si>
  <si>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</si>
  <si>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</si>
  <si>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</si>
  <si>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</si>
  <si>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</si>
  <si>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</si>
  <si>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</si>
  <si>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</si>
  <si>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</si>
  <si>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</si>
  <si>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</si>
  <si>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</si>
  <si>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</si>
  <si>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</si>
  <si>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</si>
  <si>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</si>
  <si>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</si>
  <si>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</si>
  <si>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</si>
  <si>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</si>
  <si>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</si>
  <si>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</si>
  <si>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</si>
  <si>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</si>
  <si>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</si>
  <si>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</si>
  <si>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</si>
  <si>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</si>
  <si>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</si>
  <si>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</si>
  <si>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</si>
  <si>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</si>
  <si>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</si>
  <si>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</si>
  <si>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</si>
  <si>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</si>
  <si>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</si>
  <si>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</si>
  <si>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</si>
  <si>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</si>
  <si>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</si>
  <si>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</si>
  <si>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</si>
  <si>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</si>
  <si>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</si>
  <si>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</si>
  <si>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</si>
  <si>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</si>
  <si>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</si>
  <si>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</si>
  <si>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</si>
  <si>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</si>
  <si>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</si>
  <si>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</si>
  <si>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</si>
  <si>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</si>
  <si>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</si>
  <si>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</si>
  <si>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</si>
  <si>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</si>
  <si>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</si>
  <si>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</si>
  <si>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</si>
  <si>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</si>
  <si>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</si>
  <si>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</si>
  <si>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</si>
  <si>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</si>
  <si>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</si>
  <si>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</si>
  <si>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Dynegy - 23265</t>
  </si>
  <si>
    <t>Dynegy - 23263</t>
  </si>
  <si>
    <t>-3,625 mmbtus</t>
  </si>
  <si>
    <t>-383 mmbtus</t>
  </si>
  <si>
    <t>Zinke and Trumbo</t>
  </si>
  <si>
    <t>Wallace Oil and Gas</t>
  </si>
  <si>
    <t>Plains Gas Farmers</t>
  </si>
  <si>
    <t>State of Texas</t>
  </si>
  <si>
    <t>Lytle Creek Operating</t>
  </si>
  <si>
    <t>Oryx Gas Marketing Limited Partnership</t>
  </si>
  <si>
    <t>Ramco Oil and Gas</t>
  </si>
  <si>
    <t>Navajo Tribal Utility Authority</t>
  </si>
  <si>
    <t>Southwest Royalties</t>
  </si>
  <si>
    <t>Maynard Oil Company</t>
  </si>
  <si>
    <t>Eastern Nmex</t>
  </si>
  <si>
    <t>Ocean Energy</t>
  </si>
  <si>
    <t>KN Energy</t>
  </si>
  <si>
    <t>Harvey Yates</t>
  </si>
  <si>
    <t>Giant Industries Arizona</t>
  </si>
  <si>
    <t>Lipscomb County Gas Transmission</t>
  </si>
  <si>
    <t>Barber Well Servicing Company</t>
  </si>
  <si>
    <t>Duke Energy Field Services, LP</t>
  </si>
  <si>
    <t>Synergy Oil and Gas</t>
  </si>
  <si>
    <t>Himco</t>
  </si>
  <si>
    <t>Aurora Nat Gas</t>
  </si>
  <si>
    <t>Mid America</t>
  </si>
  <si>
    <t>POI 78003 - TW/SGTC Mojave Del</t>
  </si>
  <si>
    <t>SW Gas Transmission Co - contr27380</t>
  </si>
  <si>
    <t>SW Gas Transmission</t>
  </si>
  <si>
    <t>Seven M</t>
  </si>
  <si>
    <t>STB Energy</t>
  </si>
  <si>
    <t>Double Eagle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</si>
  <si>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</si>
  <si>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</si>
  <si>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</si>
  <si>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</si>
  <si>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</si>
  <si>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</si>
  <si>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</si>
  <si>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</si>
  <si>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Ward, Pecos - $ value as of 11/1/01 - Lonestar is diputing $value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</si>
  <si>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</si>
  <si>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</si>
  <si>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</si>
  <si>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</si>
  <si>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</si>
  <si>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</si>
  <si>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</si>
  <si>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</si>
  <si>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</si>
  <si>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</si>
  <si>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</si>
  <si>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OneOk Field Services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</si>
  <si>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</si>
  <si>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</si>
  <si>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</si>
  <si>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</si>
  <si>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</si>
  <si>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</si>
  <si>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</si>
  <si>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</si>
  <si>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</si>
  <si>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verbal commitment to send $$$</t>
  </si>
  <si>
    <t>discussing netting with DEFS</t>
  </si>
  <si>
    <t>discussing netting with DETM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</si>
</sst>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8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7" fontId="9" fillId="0" borderId="0" xfId="1" quotePrefix="1" applyNumberFormat="1" applyFont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166" fontId="25" fillId="6" borderId="1" xfId="0" applyNumberFormat="1" applyFont="1" applyFill="1" applyBorder="1"/>
    <xf numFmtId="39" fontId="0" fillId="0" borderId="0" xfId="0" applyNumberFormat="1" applyBorder="1"/>
    <xf numFmtId="0" fontId="22" fillId="0" borderId="0" xfId="0" applyFont="1" applyBorder="1"/>
    <xf numFmtId="7" fontId="25" fillId="6" borderId="0" xfId="1" applyNumberFormat="1" applyFont="1" applyFill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25" fillId="7" borderId="1" xfId="0" applyNumberFormat="1" applyFont="1" applyFill="1" applyBorder="1"/>
    <xf numFmtId="166" fontId="22" fillId="7" borderId="0" xfId="1" applyNumberFormat="1" applyFont="1" applyFill="1"/>
    <xf numFmtId="7" fontId="9" fillId="7" borderId="0" xfId="0" applyNumberFormat="1" applyFont="1" applyFill="1"/>
    <xf numFmtId="7" fontId="27" fillId="7" borderId="0" xfId="1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5" fontId="25" fillId="7" borderId="1" xfId="0" applyNumberFormat="1" applyFont="1" applyFill="1" applyBorder="1"/>
    <xf numFmtId="7" fontId="35" fillId="7" borderId="1" xfId="1" applyNumberFormat="1" applyFont="1" applyFill="1" applyBorder="1"/>
    <xf numFmtId="166" fontId="3" fillId="7" borderId="0" xfId="1" applyNumberFormat="1" applyFont="1" applyFill="1"/>
    <xf numFmtId="5" fontId="33" fillId="7" borderId="1" xfId="0" applyNumberFormat="1" applyFont="1" applyFill="1" applyBorder="1"/>
    <xf numFmtId="166" fontId="25" fillId="7" borderId="0" xfId="1" applyNumberFormat="1" applyFont="1" applyFill="1" applyBorder="1"/>
    <xf numFmtId="5" fontId="25" fillId="7" borderId="0" xfId="1" applyNumberFormat="1" applyFont="1" applyFill="1"/>
    <xf numFmtId="44" fontId="25" fillId="7" borderId="0" xfId="2" applyFont="1" applyFill="1"/>
    <xf numFmtId="166" fontId="25" fillId="7" borderId="0" xfId="1" applyNumberFormat="1" applyFont="1" applyFill="1"/>
    <xf numFmtId="5" fontId="25" fillId="7" borderId="1" xfId="1" applyNumberFormat="1" applyFont="1" applyFill="1" applyBorder="1"/>
    <xf numFmtId="166" fontId="9" fillId="7" borderId="0" xfId="1" applyNumberFormat="1" applyFont="1" applyFill="1"/>
    <xf numFmtId="37" fontId="25" fillId="7" borderId="0" xfId="1" applyNumberFormat="1" applyFont="1" applyFill="1"/>
    <xf numFmtId="37" fontId="25" fillId="7" borderId="0" xfId="1" applyNumberFormat="1" applyFont="1" applyFill="1" applyBorder="1"/>
    <xf numFmtId="7" fontId="9" fillId="7" borderId="0" xfId="0" quotePrefix="1" applyNumberFormat="1" applyFont="1" applyFill="1"/>
    <xf numFmtId="5" fontId="33" fillId="7" borderId="0" xfId="0" applyNumberFormat="1" applyFont="1" applyFill="1"/>
    <xf numFmtId="7" fontId="3" fillId="7" borderId="0" xfId="0" applyNumberFormat="1" applyFont="1" applyFill="1"/>
    <xf numFmtId="5" fontId="25" fillId="7" borderId="0" xfId="0" applyNumberFormat="1" applyFont="1" applyFill="1"/>
    <xf numFmtId="5" fontId="3" fillId="7" borderId="0" xfId="1" applyNumberFormat="1" applyFont="1" applyFill="1"/>
    <xf numFmtId="7" fontId="25" fillId="7" borderId="0" xfId="0" applyNumberFormat="1" applyFont="1" applyFill="1"/>
    <xf numFmtId="192" fontId="25" fillId="7" borderId="0" xfId="0" applyNumberFormat="1" applyFont="1" applyFill="1"/>
    <xf numFmtId="5" fontId="25" fillId="7" borderId="0" xfId="0" applyNumberFormat="1" applyFont="1" applyFill="1" applyBorder="1"/>
    <xf numFmtId="166" fontId="9" fillId="7" borderId="0" xfId="1" applyNumberFormat="1" applyFont="1" applyFill="1" applyBorder="1"/>
    <xf numFmtId="5" fontId="22" fillId="7" borderId="0" xfId="1" applyNumberFormat="1" applyFont="1" applyFill="1"/>
    <xf numFmtId="5" fontId="22" fillId="7" borderId="0" xfId="0" applyNumberFormat="1" applyFont="1" applyFill="1"/>
    <xf numFmtId="5" fontId="25" fillId="7" borderId="0" xfId="1" applyNumberFormat="1" applyFont="1" applyFill="1" applyAlignment="1"/>
    <xf numFmtId="5" fontId="25" fillId="7" borderId="0" xfId="0" applyNumberFormat="1" applyFont="1" applyFill="1" applyAlignment="1">
      <alignment horizontal="left" indent="2"/>
    </xf>
    <xf numFmtId="166" fontId="3" fillId="7" borderId="0" xfId="1" applyNumberFormat="1" applyFont="1" applyFill="1" applyAlignment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5" fontId="25" fillId="0" borderId="0" xfId="1" applyNumberFormat="1" applyFont="1" applyFill="1"/>
    <xf numFmtId="14" fontId="9" fillId="0" borderId="0" xfId="0" applyNumberFormat="1" applyFont="1" applyFill="1"/>
    <xf numFmtId="166" fontId="22" fillId="0" borderId="0" xfId="1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201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2.09</v>
          </cell>
          <cell r="K39">
            <v>2.0699999999999998</v>
          </cell>
          <cell r="M39">
            <v>2.08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0"/>
  <sheetViews>
    <sheetView workbookViewId="0">
      <selection activeCell="F14" sqref="F14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6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3"/>
    </row>
    <row r="2" spans="1:32" ht="12.95" customHeight="1" x14ac:dyDescent="0.2">
      <c r="A2" s="34" t="s">
        <v>140</v>
      </c>
      <c r="D2" s="7"/>
      <c r="F2" s="383" t="s">
        <v>78</v>
      </c>
      <c r="G2" s="386"/>
      <c r="H2" s="32"/>
    </row>
    <row r="3" spans="1:32" ht="12.95" customHeight="1" x14ac:dyDescent="0.2">
      <c r="D3" s="7"/>
      <c r="F3" s="384" t="s">
        <v>29</v>
      </c>
      <c r="G3" s="387">
        <f>+summary!G3</f>
        <v>2.0699999999999998</v>
      </c>
      <c r="H3" s="402">
        <f ca="1">NOW()</f>
        <v>37288.489497106479</v>
      </c>
    </row>
    <row r="4" spans="1:32" ht="12.95" customHeight="1" x14ac:dyDescent="0.2">
      <c r="A4" s="34" t="s">
        <v>145</v>
      </c>
      <c r="C4" s="34" t="s">
        <v>5</v>
      </c>
      <c r="D4" s="7"/>
      <c r="F4" s="385" t="s">
        <v>30</v>
      </c>
      <c r="G4" s="387">
        <f>+summary!G4</f>
        <v>2.08</v>
      </c>
      <c r="H4" s="32"/>
    </row>
    <row r="5" spans="1:32" ht="12.95" customHeight="1" x14ac:dyDescent="0.2">
      <c r="D5" s="7"/>
      <c r="F5" s="384" t="s">
        <v>117</v>
      </c>
      <c r="G5" s="387">
        <f>+summary!G5</f>
        <v>2.09</v>
      </c>
      <c r="H5" s="32"/>
    </row>
    <row r="6" spans="1:32" ht="6.95" customHeight="1" x14ac:dyDescent="0.2"/>
    <row r="7" spans="1:32" ht="12.95" customHeight="1" x14ac:dyDescent="0.2">
      <c r="A7" s="400" t="s">
        <v>163</v>
      </c>
      <c r="B7" s="401"/>
      <c r="AD7" s="32"/>
      <c r="AE7" s="32"/>
      <c r="AF7" s="32"/>
    </row>
    <row r="8" spans="1:32" ht="15.95" customHeight="1" outlineLevel="2" x14ac:dyDescent="0.2">
      <c r="A8" s="32"/>
      <c r="B8" s="441" t="s">
        <v>193</v>
      </c>
      <c r="C8" s="398" t="s">
        <v>0</v>
      </c>
      <c r="D8" s="12" t="s">
        <v>192</v>
      </c>
      <c r="E8" s="12" t="s">
        <v>190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66" t="s">
        <v>89</v>
      </c>
      <c r="B9" s="391" t="s">
        <v>194</v>
      </c>
      <c r="C9" s="399" t="s">
        <v>187</v>
      </c>
      <c r="D9" s="427" t="s">
        <v>191</v>
      </c>
      <c r="E9" s="39" t="s">
        <v>189</v>
      </c>
      <c r="F9" s="39" t="s">
        <v>146</v>
      </c>
      <c r="G9" s="390" t="s">
        <v>151</v>
      </c>
      <c r="H9" s="367" t="s">
        <v>101</v>
      </c>
      <c r="I9" s="366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5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66" t="s">
        <v>155</v>
      </c>
    </row>
    <row r="12" spans="1:32" ht="13.5" customHeight="1" outlineLevel="1" x14ac:dyDescent="0.2">
      <c r="A12" s="507" t="s">
        <v>127</v>
      </c>
      <c r="B12" s="346">
        <f>+Calpine!D41</f>
        <v>-7948.4700000000012</v>
      </c>
      <c r="C12" s="369">
        <f>+B12/$G$4</f>
        <v>-3821.3798076923081</v>
      </c>
      <c r="D12" s="14">
        <f>+Calpine!D47</f>
        <v>83278</v>
      </c>
      <c r="E12" s="70">
        <f>+C12-D12</f>
        <v>-87099.379807692312</v>
      </c>
      <c r="F12" s="364">
        <f>+Calpine!A41</f>
        <v>37286</v>
      </c>
      <c r="G12" s="203" t="s">
        <v>153</v>
      </c>
      <c r="H12" s="204" t="s">
        <v>99</v>
      </c>
      <c r="I12" s="352"/>
      <c r="J12" s="70"/>
      <c r="K12" s="32"/>
    </row>
    <row r="13" spans="1:32" ht="13.5" customHeight="1" outlineLevel="2" x14ac:dyDescent="0.2">
      <c r="A13" s="248" t="s">
        <v>139</v>
      </c>
      <c r="B13" s="346">
        <f>+'Citizens-Griffith'!D41</f>
        <v>7181.2400000000052</v>
      </c>
      <c r="C13" s="368">
        <f>+B13/$G$4</f>
        <v>3452.5192307692332</v>
      </c>
      <c r="D13" s="14">
        <f>+'Citizens-Griffith'!D48</f>
        <v>7035</v>
      </c>
      <c r="E13" s="70">
        <f>+C13-D13</f>
        <v>-3582.4807692307668</v>
      </c>
      <c r="F13" s="364">
        <f>+'Citizens-Griffith'!A41</f>
        <v>37286</v>
      </c>
      <c r="G13" s="203" t="s">
        <v>324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297</v>
      </c>
      <c r="B14" s="480">
        <f>+SWGasTrans!D41</f>
        <v>-20365.09</v>
      </c>
      <c r="C14" s="368">
        <f>+B14/G4</f>
        <v>-9790.9086538461543</v>
      </c>
      <c r="D14" s="14">
        <f>+SWGasTrans!$D$48</f>
        <v>3264</v>
      </c>
      <c r="E14" s="70">
        <f>+C14-D14</f>
        <v>-13054.908653846154</v>
      </c>
      <c r="F14" s="364">
        <f>+SWGasTrans!A41</f>
        <v>37285</v>
      </c>
      <c r="G14" s="203" t="s">
        <v>153</v>
      </c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46">
        <f>+'NS Steel'!D41</f>
        <v>-292882.92</v>
      </c>
      <c r="C15" s="368">
        <f>+B15/$G$4</f>
        <v>-140809.09615384613</v>
      </c>
      <c r="D15" s="14">
        <f>+'NS Steel'!D50</f>
        <v>-14370</v>
      </c>
      <c r="E15" s="70">
        <f>+C15-D15</f>
        <v>-126439.09615384613</v>
      </c>
      <c r="F15" s="365">
        <f>+'NS Steel'!A41</f>
        <v>37284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">
      <c r="A16" s="507" t="s">
        <v>135</v>
      </c>
      <c r="B16" s="349">
        <f>+Citizens!D18</f>
        <v>-549367.83000000007</v>
      </c>
      <c r="C16" s="370">
        <f>+B16/$G$4</f>
        <v>-264119.14903846156</v>
      </c>
      <c r="D16" s="350">
        <f>+Citizens!D24</f>
        <v>-42436</v>
      </c>
      <c r="E16" s="72">
        <f>+C16-D16</f>
        <v>-221683.14903846156</v>
      </c>
      <c r="F16" s="364">
        <f>+Citizens!A18</f>
        <v>37282</v>
      </c>
      <c r="G16" s="203" t="s">
        <v>324</v>
      </c>
      <c r="H16" s="204" t="s">
        <v>99</v>
      </c>
      <c r="I16" s="419" t="s">
        <v>176</v>
      </c>
      <c r="J16" s="32"/>
      <c r="K16" s="32"/>
      <c r="T16" s="259"/>
    </row>
    <row r="17" spans="1:20" ht="15.95" customHeight="1" outlineLevel="2" x14ac:dyDescent="0.2">
      <c r="A17" s="153" t="s">
        <v>156</v>
      </c>
      <c r="B17" s="388">
        <f>SUBTOTAL(9,B12:B16)</f>
        <v>-863383.07000000007</v>
      </c>
      <c r="C17" s="393">
        <f>SUBTOTAL(9,C12:C16)</f>
        <v>-415088.01442307688</v>
      </c>
      <c r="D17" s="394">
        <f>SUBTOTAL(9,D12:D16)</f>
        <v>36771</v>
      </c>
      <c r="E17" s="395">
        <f>SUBTOTAL(9,E12:E16)</f>
        <v>-451859.01442307694</v>
      </c>
      <c r="F17" s="364"/>
      <c r="G17" s="203"/>
      <c r="H17" s="204"/>
      <c r="I17" s="352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397" t="s">
        <v>57</v>
      </c>
      <c r="G19" s="7"/>
    </row>
    <row r="20" spans="1:20" ht="13.5" customHeight="1" outlineLevel="2" x14ac:dyDescent="0.2">
      <c r="A20" s="248" t="s">
        <v>71</v>
      </c>
      <c r="B20" s="481">
        <f>+transcol!$D$43</f>
        <v>29433.96</v>
      </c>
      <c r="C20" s="368">
        <f>+B20/$G$4</f>
        <v>14150.942307692307</v>
      </c>
      <c r="D20" s="14">
        <f>+transcol!D50</f>
        <v>-41795</v>
      </c>
      <c r="E20" s="70">
        <f>+C20-D20</f>
        <v>55945.942307692305</v>
      </c>
      <c r="F20" s="365">
        <f>+transcol!A43</f>
        <v>37285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507" t="s">
        <v>312</v>
      </c>
      <c r="B21" s="481">
        <f>+C21*G3</f>
        <v>30006.719999999998</v>
      </c>
      <c r="C21" s="368">
        <f>+williams!J40</f>
        <v>14496</v>
      </c>
      <c r="D21" s="14">
        <f>+C21</f>
        <v>14496</v>
      </c>
      <c r="E21" s="70">
        <f>+C21-D21</f>
        <v>0</v>
      </c>
      <c r="F21" s="365">
        <f>+williams!A40</f>
        <v>37286</v>
      </c>
      <c r="G21" s="203" t="s">
        <v>154</v>
      </c>
      <c r="H21" s="32" t="s">
        <v>313</v>
      </c>
      <c r="I21" s="32"/>
      <c r="J21" s="32"/>
      <c r="K21" s="32"/>
      <c r="T21" s="259"/>
    </row>
    <row r="22" spans="1:20" ht="13.5" customHeight="1" outlineLevel="2" x14ac:dyDescent="0.2">
      <c r="A22" s="507" t="s">
        <v>95</v>
      </c>
      <c r="B22" s="498">
        <f>+burlington!D42</f>
        <v>-13308.599999999991</v>
      </c>
      <c r="C22" s="372">
        <f>+B22/$G$3</f>
        <v>-6429.2753623188364</v>
      </c>
      <c r="D22" s="350">
        <f>+burlington!D49</f>
        <v>-9011</v>
      </c>
      <c r="E22" s="72">
        <f>+C22-D22</f>
        <v>2581.7246376811636</v>
      </c>
      <c r="F22" s="364">
        <f>+burlington!A42</f>
        <v>37286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5" customHeight="1" outlineLevel="2" x14ac:dyDescent="0.2">
      <c r="A23" s="153" t="s">
        <v>158</v>
      </c>
      <c r="B23" s="388">
        <f>SUBTOTAL(9,B20:B22)</f>
        <v>46132.08</v>
      </c>
      <c r="C23" s="389">
        <f>SUBTOTAL(9,C20:C22)</f>
        <v>22217.666945373468</v>
      </c>
      <c r="D23" s="394">
        <f>SUBTOTAL(9,D20:D22)</f>
        <v>-36310</v>
      </c>
      <c r="E23" s="395">
        <f>SUBTOTAL(9,E20:E22)</f>
        <v>58527.666945373465</v>
      </c>
      <c r="F23" s="364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66" t="s">
        <v>159</v>
      </c>
      <c r="B25" s="423"/>
      <c r="C25" s="424"/>
      <c r="D25" s="425"/>
      <c r="E25" s="425"/>
      <c r="F25" s="425"/>
      <c r="G25" s="426"/>
      <c r="H25" s="425"/>
      <c r="I25" s="425"/>
    </row>
    <row r="26" spans="1:20" ht="15.95" customHeight="1" outlineLevel="2" x14ac:dyDescent="0.2">
      <c r="A26" s="507" t="s">
        <v>87</v>
      </c>
      <c r="B26" s="480">
        <f>+NNG!$D$24</f>
        <v>51850.18</v>
      </c>
      <c r="C26" s="368">
        <f>+B26/$G$4</f>
        <v>24927.971153846152</v>
      </c>
      <c r="D26" s="14">
        <f>+NNG!D34</f>
        <v>23286</v>
      </c>
      <c r="E26" s="70">
        <f t="shared" ref="E26:E50" si="0">+C26-D26</f>
        <v>1641.9711538461524</v>
      </c>
      <c r="F26" s="364">
        <f>+NNG!A24</f>
        <v>37285</v>
      </c>
      <c r="G26" s="204" t="s">
        <v>323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480">
        <f>+Conoco!$F$41</f>
        <v>465198.21</v>
      </c>
      <c r="C27" s="368">
        <f>+B27/$G$4</f>
        <v>223652.98557692309</v>
      </c>
      <c r="D27" s="14">
        <f>+Conoco!D48</f>
        <v>20261</v>
      </c>
      <c r="E27" s="70">
        <f t="shared" si="0"/>
        <v>203391.98557692309</v>
      </c>
      <c r="F27" s="364">
        <f>+Conoco!A41</f>
        <v>37286</v>
      </c>
      <c r="G27" s="32" t="s">
        <v>324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">
      <c r="A28" s="248" t="s">
        <v>3</v>
      </c>
      <c r="B28" s="346">
        <f>+'Amoco Abo'!$F$43</f>
        <v>149736.54999999999</v>
      </c>
      <c r="C28" s="368">
        <f>+B28/$G$4</f>
        <v>71988.725961538454</v>
      </c>
      <c r="D28" s="14">
        <f>+'Amoco Abo'!D49</f>
        <v>-369560</v>
      </c>
      <c r="E28" s="70">
        <f t="shared" si="0"/>
        <v>441548.72596153844</v>
      </c>
      <c r="F28" s="365">
        <f>+'Amoco Abo'!A43</f>
        <v>37285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">
      <c r="A29" s="248" t="s">
        <v>107</v>
      </c>
      <c r="B29" s="480">
        <f>+KN_Westar!F41</f>
        <v>305000.43</v>
      </c>
      <c r="C29" s="368">
        <f>+B29/$G$4</f>
        <v>146634.8221153846</v>
      </c>
      <c r="D29" s="14">
        <f>+KN_Westar!D48</f>
        <v>-49188</v>
      </c>
      <c r="E29" s="70">
        <f t="shared" si="0"/>
        <v>195822.8221153846</v>
      </c>
      <c r="F29" s="365">
        <f>+KN_Westar!A41</f>
        <v>37277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507" t="s">
        <v>256</v>
      </c>
      <c r="B30" s="480">
        <f>+summary!B9</f>
        <v>1226238.76</v>
      </c>
      <c r="C30" s="369">
        <f>+B30/$G$5</f>
        <v>586717.11004784692</v>
      </c>
      <c r="D30" s="14">
        <f>+Duke!$G$40+Duke!$H$40+Duke!$I$53+Duke!$I$54</f>
        <v>365664</v>
      </c>
      <c r="E30" s="70">
        <f t="shared" si="0"/>
        <v>221053.11004784692</v>
      </c>
      <c r="F30" s="365">
        <f>+Duke!A42</f>
        <v>37283</v>
      </c>
      <c r="G30" s="203" t="s">
        <v>153</v>
      </c>
      <c r="H30" s="32" t="s">
        <v>100</v>
      </c>
      <c r="I30" s="32"/>
      <c r="J30" s="32"/>
      <c r="K30" s="32"/>
    </row>
    <row r="31" spans="1:20" ht="13.5" customHeight="1" outlineLevel="2" x14ac:dyDescent="0.2">
      <c r="A31" s="507" t="s">
        <v>249</v>
      </c>
      <c r="B31" s="480">
        <f>+summary!B8</f>
        <v>1513410.51</v>
      </c>
      <c r="C31" s="369">
        <f>+B31/$G$5</f>
        <v>724119.86124401924</v>
      </c>
      <c r="D31" s="14">
        <f>+Duke!$F$40</f>
        <v>370017</v>
      </c>
      <c r="E31" s="70">
        <f t="shared" si="0"/>
        <v>354102.86124401924</v>
      </c>
      <c r="F31" s="365">
        <f>+Duke!A7</f>
        <v>37283</v>
      </c>
      <c r="G31" s="203" t="s">
        <v>153</v>
      </c>
      <c r="H31" s="32" t="s">
        <v>100</v>
      </c>
      <c r="I31" s="32"/>
      <c r="J31" s="32"/>
      <c r="K31" s="32"/>
    </row>
    <row r="32" spans="1:20" ht="13.5" customHeight="1" outlineLevel="2" x14ac:dyDescent="0.2">
      <c r="A32" s="507" t="s">
        <v>248</v>
      </c>
      <c r="B32" s="480">
        <f>+summary!B41</f>
        <v>-2816109.41</v>
      </c>
      <c r="C32" s="369">
        <f>+B32/$G$5</f>
        <v>-1347420.7703349283</v>
      </c>
      <c r="D32" s="14">
        <f>+DEFS!$I$36+DEFS!$J$36+DEFS!$K$45+DEFS!$K$46+DEFS!$K$47+DEFS!$K$48</f>
        <v>-443438</v>
      </c>
      <c r="E32" s="70">
        <f t="shared" si="0"/>
        <v>-903982.7703349283</v>
      </c>
      <c r="F32" s="365">
        <f>+DEFS!A40</f>
        <v>37285</v>
      </c>
      <c r="G32" s="203" t="s">
        <v>153</v>
      </c>
      <c r="H32" s="32" t="s">
        <v>100</v>
      </c>
      <c r="I32" s="32" t="s">
        <v>118</v>
      </c>
      <c r="J32" s="32"/>
      <c r="K32" s="32"/>
    </row>
    <row r="33" spans="1:11" ht="13.5" customHeight="1" outlineLevel="1" x14ac:dyDescent="0.2">
      <c r="A33" s="248" t="s">
        <v>2</v>
      </c>
      <c r="B33" s="480">
        <f>+mewborne!$J$43</f>
        <v>345408.88</v>
      </c>
      <c r="C33" s="368">
        <f>+B33/$G$4</f>
        <v>166061.96153846153</v>
      </c>
      <c r="D33" s="14">
        <f>+mewborne!D49</f>
        <v>137405</v>
      </c>
      <c r="E33" s="70">
        <f t="shared" si="0"/>
        <v>28656.961538461532</v>
      </c>
      <c r="F33" s="365">
        <f>+mewborne!A43</f>
        <v>37286</v>
      </c>
      <c r="G33" s="203" t="s">
        <v>154</v>
      </c>
      <c r="H33" s="32" t="s">
        <v>99</v>
      </c>
      <c r="I33" s="32"/>
      <c r="J33" s="32"/>
      <c r="K33" s="32"/>
    </row>
    <row r="34" spans="1:11" ht="13.5" customHeight="1" x14ac:dyDescent="0.2">
      <c r="A34" s="248" t="s">
        <v>147</v>
      </c>
      <c r="B34" s="480">
        <f>+PGETX!$H$39</f>
        <v>10062.320000000007</v>
      </c>
      <c r="C34" s="368">
        <f>+B34/$G$4</f>
        <v>4837.6538461538494</v>
      </c>
      <c r="D34" s="14">
        <f>+PGETX!E48</f>
        <v>32570</v>
      </c>
      <c r="E34" s="70">
        <f t="shared" si="0"/>
        <v>-27732.346153846149</v>
      </c>
      <c r="F34" s="365">
        <f>+PGETX!E39</f>
        <v>37286</v>
      </c>
      <c r="G34" s="32" t="s">
        <v>325</v>
      </c>
      <c r="H34" s="32" t="s">
        <v>102</v>
      </c>
      <c r="I34" s="32" t="s">
        <v>175</v>
      </c>
      <c r="J34" s="32"/>
      <c r="K34" s="32"/>
    </row>
    <row r="35" spans="1:11" ht="14.1" customHeight="1" x14ac:dyDescent="0.2">
      <c r="A35" s="248" t="s">
        <v>82</v>
      </c>
      <c r="B35" s="346">
        <f>+PNM!$D$23</f>
        <v>786688.88</v>
      </c>
      <c r="C35" s="368">
        <f>+B35/$G$4</f>
        <v>378215.80769230769</v>
      </c>
      <c r="D35" s="14">
        <f>+PNM!D30</f>
        <v>316829</v>
      </c>
      <c r="E35" s="70">
        <f t="shared" si="0"/>
        <v>61386.807692307688</v>
      </c>
      <c r="F35" s="365">
        <f>+PNM!A23</f>
        <v>37286</v>
      </c>
      <c r="G35" s="32" t="s">
        <v>323</v>
      </c>
      <c r="H35" s="32" t="s">
        <v>115</v>
      </c>
      <c r="I35" s="32"/>
      <c r="J35" s="32"/>
      <c r="K35" s="32"/>
    </row>
    <row r="36" spans="1:11" ht="14.1" customHeight="1" x14ac:dyDescent="0.2">
      <c r="A36" s="32" t="s">
        <v>103</v>
      </c>
      <c r="B36" s="480">
        <f>+EOG!J41</f>
        <v>24200.53</v>
      </c>
      <c r="C36" s="368">
        <f>+B36/$G$4</f>
        <v>11634.870192307691</v>
      </c>
      <c r="D36" s="14">
        <f>+EOG!D48</f>
        <v>-116084</v>
      </c>
      <c r="E36" s="70">
        <f t="shared" si="0"/>
        <v>127718.87019230769</v>
      </c>
      <c r="F36" s="364">
        <f>+EOG!A41</f>
        <v>37285</v>
      </c>
      <c r="G36" s="32" t="s">
        <v>323</v>
      </c>
      <c r="H36" s="32" t="s">
        <v>102</v>
      </c>
      <c r="I36" s="32"/>
      <c r="J36" s="32"/>
      <c r="K36" s="32"/>
    </row>
    <row r="37" spans="1:11" ht="14.1" customHeight="1" x14ac:dyDescent="0.2">
      <c r="A37" s="248" t="s">
        <v>6</v>
      </c>
      <c r="B37" s="346">
        <f>+Oasis!D40</f>
        <v>-41507.360000000001</v>
      </c>
      <c r="C37" s="368">
        <f>+B37/G5</f>
        <v>-19859.980861244021</v>
      </c>
      <c r="D37" s="14">
        <f>+Oasis!D47</f>
        <v>-22034</v>
      </c>
      <c r="E37" s="70">
        <f>+C37-D37</f>
        <v>2174.0191387559789</v>
      </c>
      <c r="F37" s="364">
        <f>+Oasis!A40</f>
        <v>37285</v>
      </c>
      <c r="G37" s="203" t="s">
        <v>154</v>
      </c>
      <c r="H37" s="32" t="s">
        <v>102</v>
      </c>
      <c r="I37" s="32"/>
      <c r="J37" s="32"/>
      <c r="K37" s="32"/>
    </row>
    <row r="38" spans="1:11" ht="14.1" customHeight="1" x14ac:dyDescent="0.2">
      <c r="A38" s="248" t="s">
        <v>131</v>
      </c>
      <c r="B38" s="480">
        <f>+SidR!D41</f>
        <v>4498.8900000000003</v>
      </c>
      <c r="C38" s="368">
        <f>+B38/$G$5</f>
        <v>2152.5789473684213</v>
      </c>
      <c r="D38" s="14">
        <f>+SidR!D48</f>
        <v>1979</v>
      </c>
      <c r="E38" s="70">
        <f t="shared" si="0"/>
        <v>173.57894736842127</v>
      </c>
      <c r="F38" s="365">
        <f>+SidR!A41</f>
        <v>37286</v>
      </c>
      <c r="G38" s="203" t="s">
        <v>152</v>
      </c>
      <c r="H38" s="32" t="s">
        <v>102</v>
      </c>
      <c r="I38" s="32"/>
      <c r="J38" s="32"/>
      <c r="K38" s="32"/>
    </row>
    <row r="39" spans="1:11" ht="14.1" customHeight="1" x14ac:dyDescent="0.2">
      <c r="A39" s="507" t="s">
        <v>260</v>
      </c>
      <c r="B39" s="346">
        <f>+summary!$B$44</f>
        <v>-203736.06</v>
      </c>
      <c r="C39" s="368">
        <f>+summary!$C$44</f>
        <v>-97481.368421052641</v>
      </c>
      <c r="D39" s="14">
        <f>+MiVida_Rich!D48</f>
        <v>-51454</v>
      </c>
      <c r="E39" s="70">
        <f>+C39-D39</f>
        <v>-46027.368421052641</v>
      </c>
      <c r="F39" s="365">
        <f>+MiVida_Rich!A41</f>
        <v>37256</v>
      </c>
      <c r="G39" s="203" t="s">
        <v>152</v>
      </c>
      <c r="H39" s="32" t="s">
        <v>102</v>
      </c>
      <c r="I39" s="32"/>
      <c r="J39" s="32"/>
      <c r="K39" s="32"/>
    </row>
    <row r="40" spans="1:11" ht="14.1" customHeight="1" x14ac:dyDescent="0.2">
      <c r="A40" s="248" t="s">
        <v>207</v>
      </c>
      <c r="B40" s="346">
        <f>+Dominion!D41</f>
        <v>174389.26</v>
      </c>
      <c r="C40" s="368">
        <f>+B40/$G$5</f>
        <v>83439.837320574166</v>
      </c>
      <c r="D40" s="14">
        <f>+Dominion!D48</f>
        <v>76305</v>
      </c>
      <c r="E40" s="70">
        <f t="shared" si="0"/>
        <v>7134.8373205741664</v>
      </c>
      <c r="F40" s="365">
        <f>+Dominion!A41</f>
        <v>37286</v>
      </c>
      <c r="G40" s="203" t="s">
        <v>323</v>
      </c>
      <c r="H40" s="32" t="s">
        <v>99</v>
      </c>
      <c r="I40" s="32"/>
      <c r="J40" s="32"/>
      <c r="K40" s="32"/>
    </row>
    <row r="41" spans="1:11" ht="14.1" customHeight="1" x14ac:dyDescent="0.2">
      <c r="A41" s="248" t="s">
        <v>204</v>
      </c>
      <c r="B41" s="346">
        <f>+WTGmktg!J43</f>
        <v>-38263.050000000003</v>
      </c>
      <c r="C41" s="368">
        <f>+B41/$G$4</f>
        <v>-18395.697115384617</v>
      </c>
      <c r="D41" s="14">
        <f>+WTGmktg!D50</f>
        <v>-4743</v>
      </c>
      <c r="E41" s="70">
        <f t="shared" si="0"/>
        <v>-13652.697115384617</v>
      </c>
      <c r="F41" s="365">
        <f>+WTGmktg!A43</f>
        <v>37285</v>
      </c>
      <c r="G41" s="203" t="s">
        <v>153</v>
      </c>
      <c r="H41" s="32" t="s">
        <v>115</v>
      </c>
      <c r="I41" s="32"/>
      <c r="J41" s="32"/>
      <c r="K41" s="32"/>
    </row>
    <row r="42" spans="1:11" ht="14.1" customHeight="1" x14ac:dyDescent="0.2">
      <c r="A42" s="248" t="s">
        <v>302</v>
      </c>
      <c r="B42" s="346">
        <f>+'WTG inc'!N43</f>
        <v>29167.530000000002</v>
      </c>
      <c r="C42" s="368">
        <f>+B42/G4</f>
        <v>14022.850961538463</v>
      </c>
      <c r="D42" s="14">
        <f>+'WTG inc'!D50</f>
        <v>10469</v>
      </c>
      <c r="E42" s="70">
        <f>+C42-D42</f>
        <v>3553.8509615384628</v>
      </c>
      <c r="F42" s="365">
        <f>+'WTG inc'!A43</f>
        <v>37285</v>
      </c>
      <c r="G42" s="203" t="s">
        <v>153</v>
      </c>
      <c r="H42" s="32" t="s">
        <v>115</v>
      </c>
      <c r="I42" s="32"/>
      <c r="J42" s="32"/>
      <c r="K42" s="32"/>
    </row>
    <row r="43" spans="1:11" ht="13.5" customHeight="1" x14ac:dyDescent="0.2">
      <c r="A43" s="248" t="s">
        <v>208</v>
      </c>
      <c r="B43" s="346">
        <f>+Devon!D41</f>
        <v>148248.79999999999</v>
      </c>
      <c r="C43" s="368">
        <f>+B43/$G$5</f>
        <v>70932.440191387563</v>
      </c>
      <c r="D43" s="14">
        <f>+Devon!D48</f>
        <v>27730</v>
      </c>
      <c r="E43" s="70">
        <f t="shared" si="0"/>
        <v>43202.440191387563</v>
      </c>
      <c r="F43" s="365">
        <f>+Devon!A41</f>
        <v>37286</v>
      </c>
      <c r="G43" s="203" t="s">
        <v>324</v>
      </c>
      <c r="H43" s="32" t="s">
        <v>99</v>
      </c>
      <c r="I43" s="32"/>
      <c r="J43" s="32"/>
      <c r="K43" s="32"/>
    </row>
    <row r="44" spans="1:11" ht="13.5" customHeight="1" x14ac:dyDescent="0.2">
      <c r="A44" s="248" t="s">
        <v>217</v>
      </c>
      <c r="B44" s="346">
        <f>+crosstex!F41</f>
        <v>-124051.87999999999</v>
      </c>
      <c r="C44" s="368">
        <f>+B44/$G$4</f>
        <v>-59640.326923076915</v>
      </c>
      <c r="D44" s="14">
        <f>+crosstex!D48</f>
        <v>-38920</v>
      </c>
      <c r="E44" s="70">
        <f t="shared" si="0"/>
        <v>-20720.326923076915</v>
      </c>
      <c r="F44" s="365">
        <f>+crosstex!A41</f>
        <v>37284</v>
      </c>
      <c r="G44" s="203" t="s">
        <v>152</v>
      </c>
      <c r="H44" s="32" t="s">
        <v>100</v>
      </c>
      <c r="I44" s="32"/>
      <c r="J44" s="32"/>
      <c r="K44" s="32"/>
    </row>
    <row r="45" spans="1:11" ht="13.5" customHeight="1" x14ac:dyDescent="0.2">
      <c r="A45" s="248" t="s">
        <v>218</v>
      </c>
      <c r="B45" s="346">
        <f>+Amarillo!P41</f>
        <v>91691</v>
      </c>
      <c r="C45" s="368">
        <f>+B45/$G$4</f>
        <v>44082.211538461539</v>
      </c>
      <c r="D45" s="14">
        <f>+Amarillo!D48</f>
        <v>37965</v>
      </c>
      <c r="E45" s="70">
        <f t="shared" si="0"/>
        <v>6117.211538461539</v>
      </c>
      <c r="F45" s="365">
        <f>+Amarillo!A41</f>
        <v>37286</v>
      </c>
      <c r="G45" s="203" t="s">
        <v>324</v>
      </c>
      <c r="H45" s="32" t="s">
        <v>113</v>
      </c>
      <c r="I45" s="32"/>
      <c r="J45" s="32"/>
      <c r="K45" s="32"/>
    </row>
    <row r="46" spans="1:11" ht="13.5" customHeight="1" x14ac:dyDescent="0.2">
      <c r="A46" s="248" t="s">
        <v>318</v>
      </c>
      <c r="B46" s="346">
        <f>+Stratland!$D$41</f>
        <v>33990.339999999997</v>
      </c>
      <c r="C46" s="369">
        <f>+B46/$G$4</f>
        <v>16341.509615384613</v>
      </c>
      <c r="D46" s="14">
        <f>+Stratland!D48</f>
        <v>10453</v>
      </c>
      <c r="E46" s="70">
        <f>+C46-D46</f>
        <v>5888.5096153846134</v>
      </c>
      <c r="F46" s="364">
        <f>+Stratland!A41</f>
        <v>37271</v>
      </c>
      <c r="G46" s="203" t="s">
        <v>323</v>
      </c>
      <c r="H46" s="32" t="s">
        <v>102</v>
      </c>
      <c r="I46" s="32"/>
      <c r="J46" s="32"/>
      <c r="K46" s="32"/>
    </row>
    <row r="47" spans="1:11" ht="13.5" customHeight="1" x14ac:dyDescent="0.2">
      <c r="A47" s="248" t="s">
        <v>330</v>
      </c>
      <c r="B47" s="346">
        <f>+Plains!$N$43</f>
        <v>107948.28</v>
      </c>
      <c r="C47" s="369">
        <f>+B47/$G$4</f>
        <v>51898.211538461539</v>
      </c>
      <c r="D47" s="14">
        <f>+Plains!D50</f>
        <v>36315</v>
      </c>
      <c r="E47" s="70">
        <f>+C47-D47</f>
        <v>15583.211538461539</v>
      </c>
      <c r="F47" s="364">
        <f>+Plains!A43</f>
        <v>37256</v>
      </c>
      <c r="G47" s="203"/>
      <c r="H47" s="32" t="s">
        <v>100</v>
      </c>
      <c r="I47" s="32"/>
      <c r="J47" s="32"/>
      <c r="K47" s="32"/>
    </row>
    <row r="48" spans="1:11" ht="13.5" customHeight="1" x14ac:dyDescent="0.2">
      <c r="A48" s="248" t="s">
        <v>109</v>
      </c>
      <c r="B48" s="346">
        <f>+Continental!F43</f>
        <v>29738</v>
      </c>
      <c r="C48" s="369">
        <f>+B48/$G$4</f>
        <v>14297.115384615385</v>
      </c>
      <c r="D48" s="14">
        <f>+Continental!D50</f>
        <v>-1427</v>
      </c>
      <c r="E48" s="70">
        <f t="shared" si="0"/>
        <v>15724.115384615385</v>
      </c>
      <c r="F48" s="365">
        <f>+Continental!A43</f>
        <v>37286</v>
      </c>
      <c r="G48" s="203" t="s">
        <v>154</v>
      </c>
      <c r="H48" s="32" t="s">
        <v>115</v>
      </c>
      <c r="I48" s="32"/>
      <c r="J48" s="32"/>
      <c r="K48" s="32"/>
    </row>
    <row r="49" spans="1:19" ht="13.5" customHeight="1" x14ac:dyDescent="0.2">
      <c r="A49" s="248" t="s">
        <v>129</v>
      </c>
      <c r="B49" s="346">
        <f>+EPFS!D41</f>
        <v>88473.42</v>
      </c>
      <c r="C49" s="369">
        <f>+B49/$G$5</f>
        <v>42331.779904306219</v>
      </c>
      <c r="D49" s="14">
        <f>+EPFS!D47</f>
        <v>56242</v>
      </c>
      <c r="E49" s="70">
        <f t="shared" si="0"/>
        <v>-13910.220095693781</v>
      </c>
      <c r="F49" s="364">
        <f>+EPFS!A41</f>
        <v>37286</v>
      </c>
      <c r="G49" s="203" t="s">
        <v>154</v>
      </c>
      <c r="H49" s="32" t="s">
        <v>102</v>
      </c>
      <c r="I49" s="32"/>
      <c r="J49" s="32"/>
      <c r="K49" s="32"/>
    </row>
    <row r="50" spans="1:19" ht="12.95" customHeight="1" x14ac:dyDescent="0.2">
      <c r="A50" s="507" t="s">
        <v>79</v>
      </c>
      <c r="B50" s="498">
        <f>+Agave!$D$24</f>
        <v>119385.54000000001</v>
      </c>
      <c r="C50" s="370">
        <f>+B50/$G$4</f>
        <v>57396.894230769234</v>
      </c>
      <c r="D50" s="350">
        <f>+Agave!D31</f>
        <v>69398</v>
      </c>
      <c r="E50" s="72">
        <f t="shared" si="0"/>
        <v>-12001.105769230766</v>
      </c>
      <c r="F50" s="364">
        <f>+Agave!A24</f>
        <v>37285</v>
      </c>
      <c r="G50" s="203" t="s">
        <v>324</v>
      </c>
      <c r="H50" s="204" t="s">
        <v>102</v>
      </c>
      <c r="I50" s="32"/>
      <c r="J50" s="32"/>
      <c r="K50" s="32"/>
    </row>
    <row r="51" spans="1:19" ht="17.100000000000001" customHeight="1" x14ac:dyDescent="0.2">
      <c r="A51" s="153" t="s">
        <v>161</v>
      </c>
      <c r="B51" s="388">
        <f>SUBTOTAL(9,B26:B50)</f>
        <v>2481658.5499999989</v>
      </c>
      <c r="C51" s="393">
        <f>SUBTOTAL(9,C26:C50)</f>
        <v>1192889.0553459697</v>
      </c>
      <c r="D51" s="394">
        <f>SUBTOTAL(9,D26:D50)</f>
        <v>496040</v>
      </c>
      <c r="E51" s="395">
        <f>SUBTOTAL(9,E26:E50)</f>
        <v>696849.05534596997</v>
      </c>
      <c r="F51" s="364"/>
      <c r="G51" s="353"/>
      <c r="H51" s="32"/>
      <c r="I51" s="204"/>
      <c r="J51" s="32"/>
      <c r="K51" s="32"/>
      <c r="L51" s="32"/>
    </row>
    <row r="52" spans="1:19" ht="12" customHeight="1" x14ac:dyDescent="0.2">
      <c r="A52" s="204"/>
      <c r="H52" s="32"/>
      <c r="I52" s="204"/>
      <c r="J52" s="32"/>
      <c r="K52" s="32"/>
      <c r="L52" s="32"/>
    </row>
    <row r="53" spans="1:19" ht="17.100000000000001" customHeight="1" x14ac:dyDescent="0.2">
      <c r="A53" s="153" t="s">
        <v>162</v>
      </c>
      <c r="B53" s="388">
        <f>SUBTOTAL(9,B12:B50)</f>
        <v>1664407.5599999998</v>
      </c>
      <c r="C53" s="393">
        <f>SUBTOTAL(9,C12:C50)</f>
        <v>800018.70786826639</v>
      </c>
      <c r="D53" s="394">
        <f>SUBTOTAL(9,D12:D50)</f>
        <v>496501</v>
      </c>
      <c r="E53" s="395">
        <f>SUBTOTAL(9,E12:E50)</f>
        <v>303517.70786826633</v>
      </c>
      <c r="F53" s="364"/>
      <c r="G53" s="204"/>
      <c r="H53" s="32"/>
      <c r="I53" s="204"/>
      <c r="J53" s="32"/>
      <c r="K53" s="32"/>
      <c r="L53" s="32"/>
    </row>
    <row r="54" spans="1:19" ht="12.95" customHeight="1" x14ac:dyDescent="0.2">
      <c r="A54" s="204"/>
      <c r="B54" s="346"/>
      <c r="C54" s="368"/>
      <c r="D54" s="368"/>
      <c r="E54" s="368"/>
      <c r="F54" s="353"/>
      <c r="G54" s="32"/>
      <c r="I54" s="32"/>
      <c r="J54" s="32"/>
      <c r="K54" s="32"/>
      <c r="L54" s="32"/>
    </row>
    <row r="55" spans="1:19" ht="14.1" customHeight="1" x14ac:dyDescent="0.2"/>
    <row r="56" spans="1:19" ht="12.95" customHeight="1" x14ac:dyDescent="0.2"/>
    <row r="57" spans="1:19" ht="13.5" customHeight="1" x14ac:dyDescent="0.2"/>
    <row r="58" spans="1:19" ht="13.5" customHeight="1" outlineLevel="2" x14ac:dyDescent="0.2">
      <c r="A58" s="34" t="s">
        <v>140</v>
      </c>
      <c r="D58" s="7"/>
      <c r="F58" s="383" t="s">
        <v>78</v>
      </c>
      <c r="G58" s="386"/>
      <c r="H58" s="32"/>
    </row>
    <row r="59" spans="1:19" ht="13.5" customHeight="1" outlineLevel="2" x14ac:dyDescent="0.2">
      <c r="D59" s="7"/>
      <c r="F59" s="384" t="s">
        <v>29</v>
      </c>
      <c r="G59" s="387">
        <f>+G3</f>
        <v>2.0699999999999998</v>
      </c>
      <c r="H59" s="402">
        <f ca="1">NOW()</f>
        <v>37288.489497106479</v>
      </c>
    </row>
    <row r="60" spans="1:19" ht="13.5" customHeight="1" outlineLevel="2" x14ac:dyDescent="0.2">
      <c r="A60" s="34" t="s">
        <v>145</v>
      </c>
      <c r="C60" s="34" t="s">
        <v>5</v>
      </c>
      <c r="D60" s="7"/>
      <c r="F60" s="385" t="s">
        <v>30</v>
      </c>
      <c r="G60" s="387">
        <f>+G4</f>
        <v>2.08</v>
      </c>
      <c r="H60" s="32"/>
    </row>
    <row r="61" spans="1:19" ht="13.5" customHeight="1" outlineLevel="1" x14ac:dyDescent="0.2">
      <c r="D61" s="7"/>
      <c r="F61" s="384" t="s">
        <v>117</v>
      </c>
      <c r="G61" s="387">
        <f>+G5</f>
        <v>2.09</v>
      </c>
      <c r="H61" s="32"/>
    </row>
    <row r="62" spans="1:19" ht="13.5" customHeight="1" outlineLevel="2" x14ac:dyDescent="0.2"/>
    <row r="63" spans="1:19" ht="13.5" customHeight="1" outlineLevel="2" x14ac:dyDescent="0.2">
      <c r="A63" s="400" t="s">
        <v>164</v>
      </c>
      <c r="B63" s="401"/>
      <c r="E63" s="12" t="s">
        <v>197</v>
      </c>
    </row>
    <row r="64" spans="1:19" ht="13.5" customHeight="1" outlineLevel="2" x14ac:dyDescent="0.2">
      <c r="A64" s="32"/>
      <c r="B64" s="403" t="s">
        <v>188</v>
      </c>
      <c r="C64" s="403" t="s">
        <v>195</v>
      </c>
      <c r="D64" s="403" t="s">
        <v>192</v>
      </c>
      <c r="E64" s="12" t="s">
        <v>198</v>
      </c>
      <c r="F64" s="2" t="s">
        <v>148</v>
      </c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</row>
    <row r="65" spans="1:19" ht="13.5" customHeight="1" outlineLevel="2" x14ac:dyDescent="0.2">
      <c r="A65" s="366" t="s">
        <v>89</v>
      </c>
      <c r="B65" s="399" t="s">
        <v>0</v>
      </c>
      <c r="C65" s="378" t="s">
        <v>166</v>
      </c>
      <c r="D65" s="39" t="s">
        <v>196</v>
      </c>
      <c r="E65" s="39" t="s">
        <v>199</v>
      </c>
      <c r="F65" s="39" t="s">
        <v>146</v>
      </c>
      <c r="G65" s="390" t="s">
        <v>151</v>
      </c>
      <c r="H65" s="367" t="s">
        <v>101</v>
      </c>
      <c r="I65" s="366" t="s">
        <v>98</v>
      </c>
      <c r="J65" s="32"/>
      <c r="K65" s="32"/>
      <c r="L65" s="32"/>
      <c r="N65" s="32"/>
      <c r="O65" s="32"/>
      <c r="P65" s="32"/>
      <c r="Q65" s="32"/>
      <c r="R65" s="32"/>
      <c r="S65" s="32"/>
    </row>
    <row r="66" spans="1:19" ht="13.5" customHeight="1" outlineLevel="2" x14ac:dyDescent="0.2">
      <c r="B66" s="286"/>
      <c r="C66" s="247"/>
    </row>
    <row r="67" spans="1:19" ht="13.5" customHeight="1" outlineLevel="1" x14ac:dyDescent="0.2">
      <c r="A67" s="366" t="s">
        <v>155</v>
      </c>
      <c r="B67" s="286"/>
      <c r="C67" s="247"/>
      <c r="G67" s="203"/>
    </row>
    <row r="68" spans="1:19" ht="13.5" customHeight="1" outlineLevel="2" x14ac:dyDescent="0.2">
      <c r="A68" s="248" t="s">
        <v>94</v>
      </c>
      <c r="B68" s="509">
        <f>+Mojave!D40</f>
        <v>179516</v>
      </c>
      <c r="C68" s="346">
        <f>+B68*$G$4</f>
        <v>373393.28</v>
      </c>
      <c r="D68" s="47">
        <f>+Mojave!D47</f>
        <v>184614.44</v>
      </c>
      <c r="E68" s="47">
        <f>+C68-D68</f>
        <v>188778.84000000003</v>
      </c>
      <c r="F68" s="365">
        <f>+Mojave!A40</f>
        <v>37285</v>
      </c>
      <c r="G68" s="203" t="s">
        <v>154</v>
      </c>
      <c r="H68" s="32" t="s">
        <v>100</v>
      </c>
      <c r="I68" s="32" t="s">
        <v>169</v>
      </c>
      <c r="J68" s="32"/>
      <c r="K68" s="32"/>
    </row>
    <row r="69" spans="1:19" ht="15" customHeight="1" outlineLevel="2" x14ac:dyDescent="0.2">
      <c r="A69" s="248" t="s">
        <v>32</v>
      </c>
      <c r="B69" s="369">
        <f>+SoCal!F40</f>
        <v>94582</v>
      </c>
      <c r="C69" s="346">
        <f>+B69*$G$4</f>
        <v>196730.56</v>
      </c>
      <c r="D69" s="47">
        <f>+SoCal!D47</f>
        <v>311453.96000000002</v>
      </c>
      <c r="E69" s="47">
        <f>+C69-D69</f>
        <v>-114723.40000000002</v>
      </c>
      <c r="F69" s="365">
        <f>+SoCal!A40</f>
        <v>37286</v>
      </c>
      <c r="G69" s="203" t="s">
        <v>153</v>
      </c>
      <c r="H69" s="32" t="s">
        <v>102</v>
      </c>
      <c r="I69" s="32"/>
      <c r="J69" s="32"/>
      <c r="K69" s="32"/>
    </row>
    <row r="70" spans="1:19" ht="15" customHeight="1" outlineLevel="2" x14ac:dyDescent="0.2">
      <c r="A70" s="248" t="s">
        <v>178</v>
      </c>
      <c r="B70" s="368">
        <f>+'El Paso'!C39</f>
        <v>64269</v>
      </c>
      <c r="C70" s="346">
        <f>+B70*$G$4</f>
        <v>133679.52000000002</v>
      </c>
      <c r="D70" s="47">
        <f>+'El Paso'!C46</f>
        <v>-1582961.01</v>
      </c>
      <c r="E70" s="47">
        <f>+C70-D70</f>
        <v>1716640.53</v>
      </c>
      <c r="F70" s="365">
        <f>+'El Paso'!A39</f>
        <v>37285</v>
      </c>
      <c r="G70" s="420" t="s">
        <v>154</v>
      </c>
      <c r="H70" s="32" t="s">
        <v>100</v>
      </c>
      <c r="I70" s="32" t="s">
        <v>170</v>
      </c>
      <c r="J70" s="32"/>
      <c r="K70" s="32"/>
    </row>
    <row r="71" spans="1:19" ht="15" customHeight="1" outlineLevel="1" x14ac:dyDescent="0.2">
      <c r="A71" s="248" t="s">
        <v>114</v>
      </c>
      <c r="B71" s="370">
        <f>+'PG&amp;E'!D40</f>
        <v>28004</v>
      </c>
      <c r="C71" s="349">
        <f>+B71*$G$4</f>
        <v>58248.32</v>
      </c>
      <c r="D71" s="349">
        <f>+'PG&amp;E'!D47</f>
        <v>-145162.51</v>
      </c>
      <c r="E71" s="349">
        <f>+C71-D71</f>
        <v>203410.83000000002</v>
      </c>
      <c r="F71" s="365">
        <f>+'PG&amp;E'!A40</f>
        <v>37286</v>
      </c>
      <c r="G71" s="203" t="s">
        <v>154</v>
      </c>
      <c r="H71" s="32" t="s">
        <v>102</v>
      </c>
      <c r="I71" s="32"/>
      <c r="J71" s="32"/>
      <c r="K71" s="32"/>
    </row>
    <row r="72" spans="1:19" ht="15" customHeight="1" x14ac:dyDescent="0.2">
      <c r="A72" s="2" t="s">
        <v>156</v>
      </c>
      <c r="B72" s="393">
        <f>SUBTOTAL(9,B68:B71)</f>
        <v>366371</v>
      </c>
      <c r="C72" s="388">
        <f>SUBTOTAL(9,C68:C71)</f>
        <v>762051.68</v>
      </c>
      <c r="D72" s="388">
        <f>SUBTOTAL(9,D68:D71)</f>
        <v>-1232055.1199999999</v>
      </c>
      <c r="E72" s="388">
        <f>SUBTOTAL(9,E68:E71)</f>
        <v>1994106.8</v>
      </c>
      <c r="F72" s="365"/>
      <c r="G72" s="203"/>
      <c r="H72" s="32"/>
      <c r="I72" s="32"/>
      <c r="J72" s="32"/>
      <c r="K72" s="32"/>
    </row>
    <row r="73" spans="1:19" ht="12.95" customHeight="1" x14ac:dyDescent="0.2">
      <c r="B73" s="286"/>
      <c r="C73" s="247"/>
      <c r="G73" s="203"/>
    </row>
    <row r="74" spans="1:19" ht="15" customHeight="1" x14ac:dyDescent="0.2">
      <c r="A74" s="366" t="s">
        <v>57</v>
      </c>
      <c r="B74" s="286"/>
      <c r="C74" s="247"/>
      <c r="G74" s="203"/>
    </row>
    <row r="75" spans="1:19" x14ac:dyDescent="0.2">
      <c r="A75" s="248" t="s">
        <v>23</v>
      </c>
      <c r="B75" s="368">
        <f>+'Red C'!F45</f>
        <v>21891</v>
      </c>
      <c r="C75" s="347">
        <f>+B75*G59</f>
        <v>45314.369999999995</v>
      </c>
      <c r="D75" s="200">
        <f>+'Red C'!D52</f>
        <v>417303.98000000004</v>
      </c>
      <c r="E75" s="47">
        <f>+C75-D75</f>
        <v>-371989.61000000004</v>
      </c>
      <c r="F75" s="364">
        <f>+'Red C'!A45</f>
        <v>37285</v>
      </c>
      <c r="G75" s="203" t="s">
        <v>153</v>
      </c>
      <c r="H75" s="32" t="s">
        <v>115</v>
      </c>
      <c r="I75" s="32"/>
      <c r="J75" s="32"/>
      <c r="K75" s="32"/>
    </row>
    <row r="76" spans="1:19" x14ac:dyDescent="0.2">
      <c r="A76" s="248" t="s">
        <v>311</v>
      </c>
      <c r="B76" s="368">
        <f>+Amoco!D40</f>
        <v>-4795</v>
      </c>
      <c r="C76" s="346">
        <f>+B76*$G$3</f>
        <v>-9925.65</v>
      </c>
      <c r="D76" s="47">
        <f>+Amoco!D47</f>
        <v>325191.05</v>
      </c>
      <c r="E76" s="47">
        <f>+C76-D76</f>
        <v>-335116.7</v>
      </c>
      <c r="F76" s="365">
        <f>+Amoco!A40</f>
        <v>37286</v>
      </c>
      <c r="G76" s="203" t="s">
        <v>153</v>
      </c>
      <c r="H76" s="32" t="s">
        <v>115</v>
      </c>
      <c r="I76" s="32"/>
      <c r="J76" s="32"/>
      <c r="K76" s="32"/>
    </row>
    <row r="77" spans="1:19" x14ac:dyDescent="0.2">
      <c r="A77" s="248" t="s">
        <v>179</v>
      </c>
      <c r="B77" s="368">
        <f>+'El Paso'!E39</f>
        <v>-61336</v>
      </c>
      <c r="C77" s="346">
        <f>+B77*$G$3</f>
        <v>-126965.51999999999</v>
      </c>
      <c r="D77" s="47">
        <f>+'El Paso'!F46</f>
        <v>-657254.01</v>
      </c>
      <c r="E77" s="47">
        <f>+C77-D77</f>
        <v>530288.49</v>
      </c>
      <c r="F77" s="365">
        <f>+'El Paso'!A39</f>
        <v>37285</v>
      </c>
      <c r="G77" s="420" t="s">
        <v>154</v>
      </c>
      <c r="H77" s="32" t="s">
        <v>100</v>
      </c>
      <c r="I77" s="32"/>
      <c r="J77" s="32"/>
      <c r="K77" s="32"/>
    </row>
    <row r="78" spans="1:19" x14ac:dyDescent="0.2">
      <c r="A78" s="248" t="s">
        <v>1</v>
      </c>
      <c r="B78" s="370">
        <f>+NW!$F$41</f>
        <v>-8623</v>
      </c>
      <c r="C78" s="349">
        <f>+B78*$G$3</f>
        <v>-17849.609999999997</v>
      </c>
      <c r="D78" s="349">
        <f>+NW!E49</f>
        <v>-479112.38</v>
      </c>
      <c r="E78" s="349">
        <f>+C78-D78</f>
        <v>461262.77</v>
      </c>
      <c r="F78" s="364">
        <f>+NW!B41</f>
        <v>37284</v>
      </c>
      <c r="G78" s="203" t="s">
        <v>153</v>
      </c>
      <c r="H78" s="32" t="s">
        <v>115</v>
      </c>
      <c r="I78" s="32"/>
      <c r="J78" s="32"/>
      <c r="K78" s="32"/>
    </row>
    <row r="79" spans="1:19" x14ac:dyDescent="0.2">
      <c r="A79" s="32" t="s">
        <v>157</v>
      </c>
      <c r="B79" s="393">
        <f>SUBTOTAL(9,B75:B78)</f>
        <v>-52863</v>
      </c>
      <c r="C79" s="388">
        <f>SUBTOTAL(9,C75:C78)</f>
        <v>-109426.40999999999</v>
      </c>
      <c r="D79" s="388">
        <f>SUBTOTAL(9,D75:D78)</f>
        <v>-393871.35999999999</v>
      </c>
      <c r="E79" s="388">
        <f>SUBTOTAL(9,E75:E78)</f>
        <v>284444.94999999995</v>
      </c>
      <c r="F79" s="364"/>
      <c r="G79" s="203"/>
      <c r="H79" s="32"/>
      <c r="I79" s="32"/>
      <c r="J79" s="32"/>
      <c r="K79" s="32"/>
    </row>
    <row r="80" spans="1:19" x14ac:dyDescent="0.2">
      <c r="B80" s="286"/>
      <c r="C80" s="247"/>
      <c r="G80" s="203"/>
    </row>
    <row r="81" spans="1:12" x14ac:dyDescent="0.2">
      <c r="A81" s="366" t="s">
        <v>159</v>
      </c>
      <c r="B81" s="286"/>
      <c r="C81" s="247"/>
      <c r="G81" s="203"/>
    </row>
    <row r="82" spans="1:12" x14ac:dyDescent="0.2">
      <c r="A82" s="248" t="s">
        <v>88</v>
      </c>
      <c r="B82" s="368">
        <f>+NGPL!F38</f>
        <v>135611</v>
      </c>
      <c r="C82" s="480">
        <f>+B82*$G$5</f>
        <v>283426.99</v>
      </c>
      <c r="D82" s="47">
        <f>+NGPL!D45</f>
        <v>338745.59999999998</v>
      </c>
      <c r="E82" s="47">
        <f>+C82-D82</f>
        <v>-55318.609999999986</v>
      </c>
      <c r="F82" s="365">
        <f>+NGPL!A38</f>
        <v>37285</v>
      </c>
      <c r="G82" s="203" t="s">
        <v>153</v>
      </c>
      <c r="H82" s="32" t="s">
        <v>115</v>
      </c>
      <c r="I82" s="32"/>
      <c r="J82" s="32"/>
      <c r="K82" s="32"/>
    </row>
    <row r="83" spans="1:12" x14ac:dyDescent="0.2">
      <c r="A83" s="248" t="s">
        <v>142</v>
      </c>
      <c r="B83" s="368">
        <f>+PEPL!D41</f>
        <v>-3083</v>
      </c>
      <c r="C83" s="481">
        <f>+B83*$G$4</f>
        <v>-6412.64</v>
      </c>
      <c r="D83" s="47">
        <f>+PEPL!D47</f>
        <v>186597.56</v>
      </c>
      <c r="E83" s="47">
        <f>+C83-D83</f>
        <v>-193010.2</v>
      </c>
      <c r="F83" s="365">
        <f>+PEPL!A41</f>
        <v>37285</v>
      </c>
      <c r="G83" s="32" t="s">
        <v>324</v>
      </c>
      <c r="H83" s="32" t="s">
        <v>100</v>
      </c>
      <c r="I83" s="32" t="s">
        <v>141</v>
      </c>
      <c r="J83" s="32"/>
      <c r="K83" s="32"/>
    </row>
    <row r="84" spans="1:12" ht="13.5" customHeight="1" outlineLevel="2" x14ac:dyDescent="0.2">
      <c r="A84" s="248" t="s">
        <v>110</v>
      </c>
      <c r="B84" s="206">
        <f>+CIG!D42</f>
        <v>17587</v>
      </c>
      <c r="C84" s="481">
        <f>+B84*$G$4</f>
        <v>36580.959999999999</v>
      </c>
      <c r="D84" s="200">
        <f>+CIG!D49</f>
        <v>385896.72</v>
      </c>
      <c r="E84" s="70">
        <f>+C84-D84</f>
        <v>-349315.75999999995</v>
      </c>
      <c r="F84" s="365">
        <f>+CIG!A42</f>
        <v>37278</v>
      </c>
      <c r="G84" s="203" t="s">
        <v>154</v>
      </c>
      <c r="H84" s="32" t="s">
        <v>113</v>
      </c>
      <c r="I84" s="32" t="s">
        <v>180</v>
      </c>
      <c r="J84" s="32"/>
      <c r="K84" s="32"/>
    </row>
    <row r="85" spans="1:12" x14ac:dyDescent="0.2">
      <c r="A85" s="248" t="s">
        <v>31</v>
      </c>
      <c r="B85" s="372">
        <f>+Lonestar!F43</f>
        <v>73901.7</v>
      </c>
      <c r="C85" s="498">
        <f>+B85*G61</f>
        <v>154454.55299999999</v>
      </c>
      <c r="D85" s="349">
        <f>+Lonestar!D50</f>
        <v>50673.240000000005</v>
      </c>
      <c r="E85" s="349">
        <f>+C85-D85</f>
        <v>103781.31299999998</v>
      </c>
      <c r="F85" s="364">
        <f>+Lonestar!A43</f>
        <v>37285</v>
      </c>
      <c r="G85" s="32" t="s">
        <v>324</v>
      </c>
      <c r="H85" s="32" t="s">
        <v>102</v>
      </c>
      <c r="I85" s="32"/>
      <c r="J85" s="32"/>
      <c r="K85" s="32"/>
    </row>
    <row r="86" spans="1:12" x14ac:dyDescent="0.2">
      <c r="A86" s="2" t="s">
        <v>160</v>
      </c>
      <c r="B86" s="389">
        <f>SUBTOTAL(9,B82:B85)</f>
        <v>224016.7</v>
      </c>
      <c r="C86" s="388">
        <f>SUBTOTAL(9,C82:C85)</f>
        <v>468049.86300000001</v>
      </c>
      <c r="D86" s="388">
        <f>SUBTOTAL(9,D82:D85)</f>
        <v>961913.11999999988</v>
      </c>
      <c r="E86" s="388">
        <f>SUBTOTAL(9,E82:E85)</f>
        <v>-493863.25699999998</v>
      </c>
      <c r="F86" s="364"/>
      <c r="H86" s="32"/>
      <c r="I86" s="32"/>
      <c r="J86" s="32"/>
      <c r="K86" s="32"/>
    </row>
    <row r="87" spans="1:12" x14ac:dyDescent="0.2">
      <c r="B87" s="286"/>
      <c r="C87" s="247"/>
    </row>
    <row r="88" spans="1:12" x14ac:dyDescent="0.2">
      <c r="A88" s="2" t="s">
        <v>165</v>
      </c>
      <c r="B88" s="389">
        <f>SUBTOTAL(9,B68:B85)</f>
        <v>537524.69999999995</v>
      </c>
      <c r="C88" s="388">
        <f>SUBTOTAL(9,C68:C85)</f>
        <v>1120675.1329999999</v>
      </c>
      <c r="D88" s="388">
        <f>SUBTOTAL(9,D68:D85)</f>
        <v>-664013.35999999987</v>
      </c>
      <c r="E88" s="388">
        <f>SUBTOTAL(9,E68:E85)</f>
        <v>1784688.4930000002</v>
      </c>
      <c r="F88" s="364"/>
      <c r="H88" s="32"/>
      <c r="I88" s="32"/>
      <c r="J88" s="32"/>
      <c r="K88" s="32"/>
    </row>
    <row r="89" spans="1:12" x14ac:dyDescent="0.2">
      <c r="A89" s="32"/>
      <c r="B89" s="346"/>
      <c r="C89" s="369"/>
      <c r="D89" s="346"/>
      <c r="E89" s="346"/>
      <c r="F89" s="364"/>
      <c r="H89" s="32"/>
      <c r="I89" s="32"/>
      <c r="J89" s="32"/>
      <c r="K89" s="32"/>
    </row>
    <row r="90" spans="1:12" x14ac:dyDescent="0.2">
      <c r="A90" s="32"/>
      <c r="B90" s="349"/>
      <c r="C90" s="368"/>
      <c r="D90" s="290"/>
      <c r="E90" s="290"/>
      <c r="F90" s="364"/>
      <c r="G90" s="32"/>
      <c r="I90" s="32"/>
      <c r="J90" s="32"/>
      <c r="K90" s="32"/>
      <c r="L90" s="32"/>
    </row>
    <row r="91" spans="1:12" ht="13.5" thickBot="1" x14ac:dyDescent="0.25">
      <c r="A91" s="2" t="s">
        <v>167</v>
      </c>
      <c r="B91" s="396">
        <f>+C88+B53</f>
        <v>2785082.693</v>
      </c>
      <c r="C91" s="206"/>
      <c r="D91" s="346"/>
      <c r="E91" s="346"/>
      <c r="F91" s="353"/>
      <c r="H91" s="32"/>
      <c r="I91" s="32"/>
      <c r="J91" s="32"/>
      <c r="K91" s="32"/>
    </row>
    <row r="92" spans="1:12" ht="13.5" thickTop="1" x14ac:dyDescent="0.2">
      <c r="A92" s="2" t="s">
        <v>168</v>
      </c>
      <c r="B92" s="14">
        <f>+B88+C53</f>
        <v>1337543.4078682663</v>
      </c>
      <c r="C92" s="371"/>
      <c r="D92" s="422"/>
      <c r="E92" s="290"/>
      <c r="F92" s="353"/>
      <c r="G92" s="32"/>
      <c r="H92" s="32"/>
      <c r="I92" s="32"/>
      <c r="J92" s="32"/>
    </row>
    <row r="93" spans="1:12" x14ac:dyDescent="0.2">
      <c r="A93" s="32"/>
      <c r="B93" s="47"/>
      <c r="C93" s="373"/>
      <c r="D93" s="290"/>
      <c r="E93" s="290"/>
      <c r="F93" s="204"/>
      <c r="G93" s="32"/>
      <c r="H93" s="32"/>
      <c r="I93" s="32"/>
      <c r="J93" s="32"/>
    </row>
    <row r="94" spans="1:12" x14ac:dyDescent="0.2">
      <c r="A94" s="32"/>
      <c r="B94" s="47"/>
      <c r="C94" s="69"/>
      <c r="E94" s="32"/>
      <c r="F94" s="32"/>
      <c r="G94" s="32"/>
      <c r="H94" s="32"/>
      <c r="I94" s="32"/>
    </row>
    <row r="95" spans="1:12" x14ac:dyDescent="0.2">
      <c r="A95" s="32"/>
      <c r="B95" s="47"/>
      <c r="C95" s="69"/>
      <c r="D95" s="32"/>
      <c r="E95" s="32"/>
      <c r="F95" s="32"/>
      <c r="G95" s="32"/>
      <c r="H95" s="32"/>
    </row>
    <row r="96" spans="1:12" x14ac:dyDescent="0.2">
      <c r="A96" s="32"/>
      <c r="B96" s="200"/>
      <c r="C96" s="291"/>
      <c r="D96" s="16"/>
      <c r="E96" s="32"/>
      <c r="F96" s="32"/>
      <c r="G96" s="32"/>
      <c r="H96" s="32"/>
    </row>
    <row r="102" spans="1:8" x14ac:dyDescent="0.2">
      <c r="A102" s="32"/>
      <c r="B102" s="200"/>
      <c r="C102" s="69"/>
      <c r="D102" s="70"/>
      <c r="E102" s="32"/>
      <c r="F102" s="32"/>
      <c r="G102" s="32"/>
      <c r="H102" s="32"/>
    </row>
    <row r="103" spans="1:8" x14ac:dyDescent="0.2">
      <c r="A103" s="32"/>
      <c r="B103" s="47"/>
      <c r="C103" s="14"/>
      <c r="D103" s="32"/>
      <c r="E103" s="32"/>
      <c r="F103" s="32"/>
      <c r="G103" s="32"/>
      <c r="H103" s="32"/>
    </row>
    <row r="104" spans="1:8" x14ac:dyDescent="0.2">
      <c r="A104" s="32"/>
      <c r="B104" s="47"/>
      <c r="C104" s="14"/>
      <c r="D104" s="32"/>
      <c r="E104" s="32"/>
      <c r="F104" s="32"/>
      <c r="G104" s="32"/>
      <c r="H104" s="32"/>
    </row>
    <row r="105" spans="1:8" x14ac:dyDescent="0.2">
      <c r="A105" s="32"/>
      <c r="B105" s="200"/>
      <c r="C105" s="14"/>
      <c r="D105" s="70"/>
      <c r="E105" s="32"/>
      <c r="F105" s="32"/>
      <c r="G105" s="32"/>
      <c r="H105" s="32"/>
    </row>
    <row r="106" spans="1:8" x14ac:dyDescent="0.2">
      <c r="A106" s="32"/>
      <c r="B106" s="200"/>
      <c r="C106" s="69"/>
      <c r="D106" s="70"/>
      <c r="E106" s="32"/>
      <c r="F106" s="32"/>
      <c r="G106" s="32"/>
      <c r="H106" s="32"/>
    </row>
    <row r="107" spans="1:8" x14ac:dyDescent="0.2">
      <c r="A107" s="32"/>
      <c r="B107" s="200"/>
      <c r="C107" s="69"/>
      <c r="D107" s="32"/>
      <c r="E107" s="32"/>
      <c r="F107" s="32"/>
      <c r="G107" s="32"/>
      <c r="H107" s="32"/>
    </row>
    <row r="108" spans="1:8" x14ac:dyDescent="0.2">
      <c r="A108" s="32"/>
      <c r="B108" s="200"/>
      <c r="C108" s="362"/>
      <c r="D108" s="32"/>
      <c r="E108" s="32"/>
      <c r="F108" s="32"/>
      <c r="G108" s="32"/>
      <c r="H108" s="32"/>
    </row>
    <row r="109" spans="1:8" x14ac:dyDescent="0.2">
      <c r="A109" s="32"/>
      <c r="B109" s="47"/>
      <c r="C109" s="69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D125" s="32"/>
      <c r="E125" s="32"/>
      <c r="F125" s="32"/>
      <c r="G125" s="32"/>
      <c r="H125" s="32"/>
    </row>
    <row r="126" spans="1:8" x14ac:dyDescent="0.2">
      <c r="A126" s="32"/>
      <c r="B126" s="47"/>
      <c r="D126" s="32"/>
      <c r="E126" s="32"/>
      <c r="F126" s="32"/>
      <c r="G126" s="32"/>
      <c r="H126" s="32"/>
    </row>
    <row r="127" spans="1:8" x14ac:dyDescent="0.2">
      <c r="A127" s="32"/>
      <c r="B127" s="47"/>
      <c r="D127" s="32"/>
      <c r="E127" s="32"/>
      <c r="F127" s="32"/>
      <c r="G127" s="32"/>
      <c r="H127" s="32"/>
    </row>
    <row r="128" spans="1:8" x14ac:dyDescent="0.2">
      <c r="A128" s="32">
        <v>300</v>
      </c>
      <c r="B128" s="47"/>
      <c r="D128" s="32"/>
      <c r="E128" s="32"/>
      <c r="F128" s="32"/>
      <c r="G128" s="32"/>
      <c r="H128" s="32"/>
    </row>
    <row r="129" spans="1:8" x14ac:dyDescent="0.2">
      <c r="A129" s="32">
        <v>35</v>
      </c>
      <c r="B129" s="47"/>
      <c r="D129" s="32"/>
      <c r="E129" s="32"/>
      <c r="F129" s="32"/>
      <c r="G129" s="32"/>
      <c r="H129" s="32"/>
    </row>
    <row r="130" spans="1:8" x14ac:dyDescent="0.2">
      <c r="A130" s="32">
        <f>+A129*A128</f>
        <v>10500</v>
      </c>
      <c r="B130" s="47"/>
      <c r="D130" s="32"/>
      <c r="E130" s="32"/>
      <c r="F130" s="32"/>
      <c r="G130" s="32"/>
      <c r="H130" s="32"/>
    </row>
    <row r="131" spans="1:8" x14ac:dyDescent="0.2">
      <c r="A131" s="32"/>
      <c r="B131" s="47"/>
      <c r="D131" s="32"/>
      <c r="E131" s="32"/>
      <c r="F131" s="32"/>
      <c r="G131" s="32"/>
      <c r="H131" s="32"/>
    </row>
    <row r="132" spans="1:8" x14ac:dyDescent="0.2">
      <c r="A132" s="32"/>
      <c r="B132" s="47"/>
      <c r="D132" s="32"/>
      <c r="E132" s="32"/>
      <c r="F132" s="32"/>
      <c r="G132" s="32"/>
      <c r="H132" s="32"/>
    </row>
    <row r="133" spans="1:8" x14ac:dyDescent="0.2">
      <c r="A133" s="32"/>
      <c r="B133" s="47"/>
      <c r="D133" s="32"/>
      <c r="E133" s="32"/>
      <c r="F133" s="32"/>
      <c r="G133" s="32"/>
      <c r="H133" s="32"/>
    </row>
    <row r="134" spans="1:8" x14ac:dyDescent="0.2">
      <c r="A134" s="32"/>
      <c r="B134" s="47"/>
      <c r="C134" s="69"/>
      <c r="D134" s="32"/>
      <c r="E134" s="32"/>
      <c r="F134" s="32"/>
      <c r="G134" s="32"/>
      <c r="H134" s="32"/>
    </row>
    <row r="135" spans="1:8" x14ac:dyDescent="0.2">
      <c r="A135" s="32"/>
      <c r="B135" s="47"/>
      <c r="C135" s="69"/>
      <c r="D135" s="32"/>
      <c r="E135" s="32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32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  <row r="139" spans="1:8" x14ac:dyDescent="0.2">
      <c r="A139" s="32"/>
      <c r="B139" s="47"/>
      <c r="C139" s="69"/>
      <c r="D139" s="32"/>
      <c r="E139" s="32"/>
      <c r="F139" s="32"/>
      <c r="G139" s="32"/>
      <c r="H139" s="32"/>
    </row>
    <row r="140" spans="1:8" x14ac:dyDescent="0.2">
      <c r="A140" s="32"/>
      <c r="B140" s="47"/>
      <c r="C140" s="69"/>
      <c r="D140" s="32"/>
      <c r="E140" s="32"/>
      <c r="F140" s="32"/>
      <c r="G140" s="32"/>
      <c r="H140" s="32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33" workbookViewId="0">
      <selection activeCell="F51" sqref="F51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183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4" t="s">
        <v>10</v>
      </c>
      <c r="B5" s="429" t="s">
        <v>19</v>
      </c>
      <c r="C5" s="429" t="s">
        <v>20</v>
      </c>
      <c r="D5" s="429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30">
        <v>1</v>
      </c>
      <c r="B6" s="411">
        <v>152595</v>
      </c>
      <c r="C6" s="411">
        <v>150415</v>
      </c>
      <c r="D6" s="307">
        <f>+C6-B6</f>
        <v>-2180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30">
        <v>2</v>
      </c>
      <c r="B7" s="437">
        <v>151711</v>
      </c>
      <c r="C7" s="411">
        <v>150642</v>
      </c>
      <c r="D7" s="307">
        <f>+C7-B7</f>
        <v>-1069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30">
        <v>3</v>
      </c>
      <c r="B8" s="437">
        <v>130476</v>
      </c>
      <c r="C8" s="411">
        <v>128588</v>
      </c>
      <c r="D8" s="307">
        <f t="shared" ref="D8:D36" si="0">+C8-B8</f>
        <v>-1888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30">
        <v>4</v>
      </c>
      <c r="B9" s="437">
        <v>157869</v>
      </c>
      <c r="C9" s="411">
        <v>157685</v>
      </c>
      <c r="D9" s="307">
        <f t="shared" si="0"/>
        <v>-184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30">
        <v>5</v>
      </c>
      <c r="B10" s="437">
        <v>153621</v>
      </c>
      <c r="C10" s="411">
        <v>153806</v>
      </c>
      <c r="D10" s="307">
        <f t="shared" si="0"/>
        <v>185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30">
        <v>6</v>
      </c>
      <c r="B11" s="437">
        <v>157371</v>
      </c>
      <c r="C11" s="411">
        <v>156381</v>
      </c>
      <c r="D11" s="307">
        <f t="shared" si="0"/>
        <v>-990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30">
        <v>7</v>
      </c>
      <c r="B12" s="437">
        <v>161938</v>
      </c>
      <c r="C12" s="411">
        <v>164999</v>
      </c>
      <c r="D12" s="307">
        <f t="shared" si="0"/>
        <v>3061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30">
        <v>8</v>
      </c>
      <c r="B13" s="437">
        <v>162302</v>
      </c>
      <c r="C13" s="411">
        <v>164696</v>
      </c>
      <c r="D13" s="307">
        <f t="shared" si="0"/>
        <v>2394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30">
        <v>9</v>
      </c>
      <c r="B14" s="411">
        <v>107614</v>
      </c>
      <c r="C14" s="411">
        <v>148440</v>
      </c>
      <c r="D14" s="307">
        <f t="shared" si="0"/>
        <v>40826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30">
        <v>10</v>
      </c>
      <c r="B15" s="411">
        <v>147290</v>
      </c>
      <c r="C15" s="411">
        <v>144402</v>
      </c>
      <c r="D15" s="307">
        <f t="shared" si="0"/>
        <v>-2888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30">
        <v>11</v>
      </c>
      <c r="B16" s="411">
        <v>154336</v>
      </c>
      <c r="C16" s="411">
        <v>162333</v>
      </c>
      <c r="D16" s="307">
        <f t="shared" si="0"/>
        <v>7997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30">
        <v>12</v>
      </c>
      <c r="B17" s="411">
        <v>158290</v>
      </c>
      <c r="C17" s="411">
        <v>147089</v>
      </c>
      <c r="D17" s="307">
        <f t="shared" si="0"/>
        <v>-11201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30">
        <v>13</v>
      </c>
      <c r="B18" s="411">
        <v>161306</v>
      </c>
      <c r="C18" s="411">
        <v>160161</v>
      </c>
      <c r="D18" s="307">
        <f t="shared" si="0"/>
        <v>-1145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30">
        <v>14</v>
      </c>
      <c r="B19" s="411">
        <v>157262</v>
      </c>
      <c r="C19" s="411">
        <v>155672</v>
      </c>
      <c r="D19" s="307">
        <f t="shared" si="0"/>
        <v>-1590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30">
        <v>15</v>
      </c>
      <c r="B20" s="411">
        <v>156903</v>
      </c>
      <c r="C20" s="411">
        <v>162380</v>
      </c>
      <c r="D20" s="307">
        <f t="shared" si="0"/>
        <v>5477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30">
        <v>16</v>
      </c>
      <c r="B21" s="411">
        <v>152612</v>
      </c>
      <c r="C21" s="411">
        <v>154600</v>
      </c>
      <c r="D21" s="307">
        <f t="shared" si="0"/>
        <v>1988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30">
        <v>17</v>
      </c>
      <c r="B22" s="437">
        <v>156495</v>
      </c>
      <c r="C22" s="411">
        <v>159452</v>
      </c>
      <c r="D22" s="307">
        <f t="shared" si="0"/>
        <v>2957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30">
        <v>18</v>
      </c>
      <c r="B23" s="437">
        <v>150502</v>
      </c>
      <c r="C23" s="411">
        <v>148158</v>
      </c>
      <c r="D23" s="307">
        <f t="shared" si="0"/>
        <v>-2344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30">
        <v>19</v>
      </c>
      <c r="B24" s="437">
        <v>154145</v>
      </c>
      <c r="C24" s="437">
        <v>156105</v>
      </c>
      <c r="D24" s="484">
        <f t="shared" si="0"/>
        <v>1960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30">
        <v>20</v>
      </c>
      <c r="B25" s="437">
        <v>155501</v>
      </c>
      <c r="C25" s="437">
        <v>153285</v>
      </c>
      <c r="D25" s="484">
        <f t="shared" si="0"/>
        <v>-2216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30">
        <v>21</v>
      </c>
      <c r="B26" s="437">
        <v>157693</v>
      </c>
      <c r="C26" s="437">
        <v>160639</v>
      </c>
      <c r="D26" s="484">
        <f t="shared" si="0"/>
        <v>2946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30">
        <v>22</v>
      </c>
      <c r="B27" s="437">
        <v>154004</v>
      </c>
      <c r="C27" s="437">
        <v>152079</v>
      </c>
      <c r="D27" s="484">
        <f t="shared" si="0"/>
        <v>-1925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30">
        <v>23</v>
      </c>
      <c r="B28" s="437">
        <v>151528</v>
      </c>
      <c r="C28" s="437">
        <v>150251</v>
      </c>
      <c r="D28" s="484">
        <f t="shared" si="0"/>
        <v>-1277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30">
        <v>24</v>
      </c>
      <c r="B29" s="437">
        <v>161428</v>
      </c>
      <c r="C29" s="437">
        <v>160315</v>
      </c>
      <c r="D29" s="484">
        <f t="shared" si="0"/>
        <v>-1113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30">
        <v>25</v>
      </c>
      <c r="B30" s="437">
        <v>157617</v>
      </c>
      <c r="C30" s="437">
        <v>153986</v>
      </c>
      <c r="D30" s="484">
        <f t="shared" si="0"/>
        <v>-3631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30">
        <v>26</v>
      </c>
      <c r="B31" s="411">
        <v>152621</v>
      </c>
      <c r="C31" s="411">
        <v>150470</v>
      </c>
      <c r="D31" s="307">
        <f t="shared" si="0"/>
        <v>-2151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30">
        <v>27</v>
      </c>
      <c r="B32" s="411">
        <v>150227</v>
      </c>
      <c r="C32" s="411">
        <v>148271</v>
      </c>
      <c r="D32" s="307">
        <f t="shared" si="0"/>
        <v>-1956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30">
        <v>28</v>
      </c>
      <c r="B33" s="411">
        <v>157109</v>
      </c>
      <c r="C33" s="411">
        <v>155336</v>
      </c>
      <c r="D33" s="307">
        <f t="shared" si="0"/>
        <v>-1773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30">
        <v>29</v>
      </c>
      <c r="B34" s="411">
        <v>153376</v>
      </c>
      <c r="C34" s="411">
        <v>152497</v>
      </c>
      <c r="D34" s="307">
        <f t="shared" si="0"/>
        <v>-879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30">
        <v>30</v>
      </c>
      <c r="B35" s="411">
        <v>163055</v>
      </c>
      <c r="C35" s="411">
        <v>161079</v>
      </c>
      <c r="D35" s="307">
        <f t="shared" si="0"/>
        <v>-1976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30">
        <v>31</v>
      </c>
      <c r="B36" s="411"/>
      <c r="C36" s="411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30"/>
      <c r="B37" s="411">
        <f>SUM(B6:B36)</f>
        <v>4598797</v>
      </c>
      <c r="C37" s="411">
        <f>SUM(C6:C36)</f>
        <v>4624212</v>
      </c>
      <c r="D37" s="411">
        <f>SUM(D6:D36)</f>
        <v>25415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1"/>
      <c r="B38" s="285"/>
      <c r="C38" s="432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37256</v>
      </c>
      <c r="B39" s="285"/>
      <c r="C39" s="435"/>
      <c r="D39" s="491">
        <v>-30210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37286</v>
      </c>
      <c r="B40" s="285"/>
      <c r="C40" s="436"/>
      <c r="D40" s="307">
        <f>+D39+D37</f>
        <v>-4795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37256</v>
      </c>
      <c r="B45" s="32"/>
      <c r="C45" s="32"/>
      <c r="D45" s="492">
        <v>272582</v>
      </c>
    </row>
    <row r="46" spans="1:16" x14ac:dyDescent="0.2">
      <c r="A46" s="49">
        <f>+A40</f>
        <v>37286</v>
      </c>
      <c r="B46" s="32"/>
      <c r="C46" s="32"/>
      <c r="D46" s="375">
        <f>+D37*'by type_area'!G3</f>
        <v>52609.049999999996</v>
      </c>
    </row>
    <row r="47" spans="1:16" x14ac:dyDescent="0.2">
      <c r="A47" s="32"/>
      <c r="B47" s="32"/>
      <c r="C47" s="32"/>
      <c r="D47" s="200">
        <f>+D46+D45</f>
        <v>325191.05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C51" sqref="C51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-48871</v>
      </c>
      <c r="C5" s="24">
        <v>-49601</v>
      </c>
      <c r="D5" s="24">
        <f>+C5-B5</f>
        <v>-730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-49187</v>
      </c>
      <c r="C6" s="51">
        <v>-48829</v>
      </c>
      <c r="D6" s="24">
        <f t="shared" ref="D6:D36" si="0">+C6-B6</f>
        <v>358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-103126</v>
      </c>
      <c r="C7" s="51">
        <v>-102275</v>
      </c>
      <c r="D7" s="24">
        <f t="shared" si="0"/>
        <v>851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-123391</v>
      </c>
      <c r="C8" s="51">
        <v>-123241</v>
      </c>
      <c r="D8" s="24">
        <f t="shared" si="0"/>
        <v>150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-36313</v>
      </c>
      <c r="C9" s="24">
        <v>-35878</v>
      </c>
      <c r="D9" s="24">
        <f t="shared" si="0"/>
        <v>435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-49883</v>
      </c>
      <c r="C10" s="24">
        <v>-49878</v>
      </c>
      <c r="D10" s="24">
        <f t="shared" si="0"/>
        <v>5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-66975</v>
      </c>
      <c r="C11" s="24">
        <v>-66878</v>
      </c>
      <c r="D11" s="24">
        <f t="shared" si="0"/>
        <v>97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-71064</v>
      </c>
      <c r="C12" s="51">
        <v>-70456</v>
      </c>
      <c r="D12" s="24">
        <f t="shared" si="0"/>
        <v>608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-40759</v>
      </c>
      <c r="C13" s="24">
        <v>-40774</v>
      </c>
      <c r="D13" s="24">
        <f t="shared" si="0"/>
        <v>-15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-6061</v>
      </c>
      <c r="C14" s="24">
        <v>-6000</v>
      </c>
      <c r="D14" s="24">
        <f t="shared" si="0"/>
        <v>61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>
        <v>-34067</v>
      </c>
      <c r="C16" s="24">
        <v>-35000</v>
      </c>
      <c r="D16" s="24">
        <f t="shared" si="0"/>
        <v>-933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-34846</v>
      </c>
      <c r="C17" s="24">
        <v>-35000</v>
      </c>
      <c r="D17" s="24">
        <f t="shared" si="0"/>
        <v>-154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-34680</v>
      </c>
      <c r="C18" s="24">
        <v>-35000</v>
      </c>
      <c r="D18" s="24">
        <f t="shared" si="0"/>
        <v>-320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-20312</v>
      </c>
      <c r="C19" s="24">
        <v>-20000</v>
      </c>
      <c r="D19" s="24">
        <f t="shared" si="0"/>
        <v>312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-29600</v>
      </c>
      <c r="C20" s="24">
        <v>-29500</v>
      </c>
      <c r="D20" s="24">
        <f t="shared" si="0"/>
        <v>100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-31985</v>
      </c>
      <c r="C21" s="24">
        <v>-32131</v>
      </c>
      <c r="D21" s="24">
        <f t="shared" si="0"/>
        <v>-146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-34610</v>
      </c>
      <c r="C22" s="24">
        <v>-34530</v>
      </c>
      <c r="D22" s="24">
        <f t="shared" si="0"/>
        <v>80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>
        <v>-26722</v>
      </c>
      <c r="C23" s="24">
        <v>-20727</v>
      </c>
      <c r="D23" s="24">
        <f t="shared" si="0"/>
        <v>5995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>
        <v>-26189</v>
      </c>
      <c r="C24" s="24">
        <v>-21181</v>
      </c>
      <c r="D24" s="24">
        <f t="shared" si="0"/>
        <v>5008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>
        <v>-23247</v>
      </c>
      <c r="C25" s="24">
        <v>-21383</v>
      </c>
      <c r="D25" s="24">
        <f t="shared" si="0"/>
        <v>1864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>
        <v>-1383</v>
      </c>
      <c r="D26" s="24">
        <f t="shared" si="0"/>
        <v>-1383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>
        <v>-27217</v>
      </c>
      <c r="D27" s="24">
        <f t="shared" si="0"/>
        <v>-27217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>
        <v>-2943</v>
      </c>
      <c r="C28" s="24">
        <v>-2500</v>
      </c>
      <c r="D28" s="24">
        <f t="shared" si="0"/>
        <v>443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>
        <v>-20216</v>
      </c>
      <c r="C29" s="24">
        <v>-20230</v>
      </c>
      <c r="D29" s="24">
        <f t="shared" si="0"/>
        <v>-14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>
        <v>-29113</v>
      </c>
      <c r="C33" s="24">
        <v>-18523</v>
      </c>
      <c r="D33" s="24">
        <f t="shared" si="0"/>
        <v>10590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">
      <c r="A36" s="12"/>
      <c r="B36" s="24">
        <f>SUM(B5:B35)</f>
        <v>-944160</v>
      </c>
      <c r="C36" s="24">
        <f>SUM(C5:C35)</f>
        <v>-948115</v>
      </c>
      <c r="D36" s="24">
        <f t="shared" si="0"/>
        <v>-3955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">
      <c r="A37" s="26"/>
      <c r="B37"/>
      <c r="C37" s="14"/>
      <c r="D37" s="326">
        <f>+summary!G5</f>
        <v>2.09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">
      <c r="B38"/>
      <c r="C38"/>
      <c r="D38" s="138">
        <f>+D37*D36</f>
        <v>-8265.9499999999989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">
      <c r="A39" s="57">
        <v>37256</v>
      </c>
      <c r="B39"/>
      <c r="C39" s="15"/>
      <c r="D39" s="529">
        <v>-33241.410000000003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">
      <c r="A40" s="57">
        <v>37285</v>
      </c>
      <c r="B40"/>
      <c r="C40" s="48"/>
      <c r="D40" s="138">
        <f>+D39+D38</f>
        <v>-41507.360000000001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">
      <c r="A44" s="32" t="s">
        <v>149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">
      <c r="A45" s="49">
        <f>+A39</f>
        <v>37256</v>
      </c>
      <c r="B45" s="32"/>
      <c r="C45" s="32"/>
      <c r="D45" s="524">
        <v>-18079</v>
      </c>
    </row>
    <row r="46" spans="1:65" x14ac:dyDescent="0.2">
      <c r="A46" s="49">
        <f>+A40</f>
        <v>37285</v>
      </c>
      <c r="B46" s="32"/>
      <c r="C46" s="32"/>
      <c r="D46" s="350">
        <f>+D36</f>
        <v>-3955</v>
      </c>
    </row>
    <row r="47" spans="1:65" x14ac:dyDescent="0.2">
      <c r="A47" s="32"/>
      <c r="B47" s="32"/>
      <c r="C47" s="32"/>
      <c r="D47" s="14">
        <f>+D46+D45</f>
        <v>-22034</v>
      </c>
    </row>
    <row r="48" spans="1:65" x14ac:dyDescent="0.2">
      <c r="A48" s="139"/>
      <c r="B48" s="119"/>
      <c r="C48" s="140"/>
      <c r="D48" s="140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3" workbookViewId="0">
      <selection activeCell="B9" sqref="B9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v>931371</v>
      </c>
      <c r="C5" s="90">
        <v>924416</v>
      </c>
      <c r="D5" s="90">
        <f>+C5-B5</f>
        <v>-6955</v>
      </c>
      <c r="E5" s="275"/>
      <c r="F5" s="273"/>
    </row>
    <row r="6" spans="1:13" x14ac:dyDescent="0.2">
      <c r="A6" s="87">
        <v>78311</v>
      </c>
      <c r="B6" s="90">
        <v>347955</v>
      </c>
      <c r="C6" s="90">
        <v>344252</v>
      </c>
      <c r="D6" s="90">
        <f t="shared" ref="D6:D17" si="0">+C6-B6</f>
        <v>-3703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500238</v>
      </c>
      <c r="B7" s="90">
        <v>762531</v>
      </c>
      <c r="C7" s="90">
        <v>839362</v>
      </c>
      <c r="D7" s="90">
        <f t="shared" si="0"/>
        <v>76831</v>
      </c>
      <c r="E7" s="275"/>
      <c r="F7" s="273"/>
      <c r="L7" t="s">
        <v>25</v>
      </c>
      <c r="M7">
        <v>7.6</v>
      </c>
    </row>
    <row r="8" spans="1:13" x14ac:dyDescent="0.2">
      <c r="A8" s="87">
        <v>500239</v>
      </c>
      <c r="B8" s="90">
        <v>862108</v>
      </c>
      <c r="C8" s="90">
        <v>798622</v>
      </c>
      <c r="D8" s="90">
        <f t="shared" si="0"/>
        <v>-63486</v>
      </c>
      <c r="E8" s="456"/>
      <c r="F8" s="273"/>
    </row>
    <row r="9" spans="1:13" x14ac:dyDescent="0.2">
      <c r="A9" s="87">
        <v>500293</v>
      </c>
      <c r="B9" s="90">
        <v>520774</v>
      </c>
      <c r="C9" s="90">
        <v>580786</v>
      </c>
      <c r="D9" s="90">
        <f t="shared" si="0"/>
        <v>60012</v>
      </c>
      <c r="E9" s="275"/>
      <c r="F9" s="273"/>
    </row>
    <row r="10" spans="1:13" x14ac:dyDescent="0.2">
      <c r="A10" s="87">
        <v>500302</v>
      </c>
      <c r="B10" s="90"/>
      <c r="C10" s="90">
        <v>8913</v>
      </c>
      <c r="D10" s="90">
        <f t="shared" si="0"/>
        <v>8913</v>
      </c>
      <c r="E10" s="275"/>
      <c r="F10" s="273"/>
    </row>
    <row r="11" spans="1:13" x14ac:dyDescent="0.2">
      <c r="A11" s="87">
        <v>500303</v>
      </c>
      <c r="B11" s="90"/>
      <c r="C11" s="90">
        <v>297282</v>
      </c>
      <c r="D11" s="90">
        <f t="shared" si="0"/>
        <v>297282</v>
      </c>
      <c r="E11" s="275"/>
      <c r="F11" s="273"/>
    </row>
    <row r="12" spans="1:13" x14ac:dyDescent="0.2">
      <c r="A12" s="91">
        <v>500305</v>
      </c>
      <c r="B12" s="90">
        <v>1497207</v>
      </c>
      <c r="C12" s="90">
        <v>1387160</v>
      </c>
      <c r="D12" s="90">
        <f t="shared" si="0"/>
        <v>-110047</v>
      </c>
      <c r="E12" s="276"/>
      <c r="F12" s="467"/>
      <c r="G12" s="90"/>
    </row>
    <row r="13" spans="1:13" x14ac:dyDescent="0.2">
      <c r="A13" s="87">
        <v>500307</v>
      </c>
      <c r="B13" s="90">
        <v>89333</v>
      </c>
      <c r="C13" s="90">
        <v>34048</v>
      </c>
      <c r="D13" s="90">
        <f t="shared" si="0"/>
        <v>-55285</v>
      </c>
      <c r="E13" s="275"/>
      <c r="F13" s="273"/>
    </row>
    <row r="14" spans="1:13" x14ac:dyDescent="0.2">
      <c r="A14" s="87">
        <v>500313</v>
      </c>
      <c r="B14" s="90"/>
      <c r="C14" s="90">
        <v>1616</v>
      </c>
      <c r="D14" s="90">
        <f t="shared" si="0"/>
        <v>1616</v>
      </c>
      <c r="E14" s="275"/>
      <c r="F14" s="27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">
      <c r="A16" s="87">
        <v>500655</v>
      </c>
      <c r="B16" s="90">
        <v>211826</v>
      </c>
      <c r="C16" s="90"/>
      <c r="D16" s="90">
        <f t="shared" si="0"/>
        <v>-211826</v>
      </c>
      <c r="E16" s="275"/>
      <c r="F16" s="273"/>
    </row>
    <row r="17" spans="1:7" x14ac:dyDescent="0.2">
      <c r="A17" s="87">
        <v>500657</v>
      </c>
      <c r="B17" s="88">
        <v>150648</v>
      </c>
      <c r="C17" s="88">
        <v>194988</v>
      </c>
      <c r="D17" s="94">
        <f t="shared" si="0"/>
        <v>44340</v>
      </c>
      <c r="E17" s="275"/>
      <c r="F17" s="273"/>
      <c r="G17" s="596"/>
    </row>
    <row r="18" spans="1:7" x14ac:dyDescent="0.2">
      <c r="A18" s="87"/>
      <c r="B18" s="88"/>
      <c r="C18" s="88"/>
      <c r="D18" s="88">
        <f>SUM(D5:D17)</f>
        <v>37692</v>
      </c>
      <c r="E18" s="275"/>
      <c r="F18" s="273"/>
    </row>
    <row r="19" spans="1:7" x14ac:dyDescent="0.2">
      <c r="A19" s="87" t="s">
        <v>81</v>
      </c>
      <c r="B19" s="88"/>
      <c r="C19" s="88"/>
      <c r="D19" s="95">
        <f>+summary!G5</f>
        <v>2.09</v>
      </c>
      <c r="E19" s="277"/>
      <c r="F19" s="273"/>
    </row>
    <row r="20" spans="1:7" x14ac:dyDescent="0.2">
      <c r="A20" s="87"/>
      <c r="B20" s="88"/>
      <c r="C20" s="88"/>
      <c r="D20" s="96">
        <f>+D19*D18</f>
        <v>78776.28</v>
      </c>
      <c r="E20" s="207"/>
      <c r="F20" s="274"/>
    </row>
    <row r="21" spans="1:7" x14ac:dyDescent="0.2">
      <c r="A21" s="87"/>
      <c r="B21" s="88"/>
      <c r="C21" s="88"/>
      <c r="D21" s="96"/>
      <c r="E21" s="207"/>
      <c r="F21" s="74"/>
    </row>
    <row r="22" spans="1:7" x14ac:dyDescent="0.2">
      <c r="A22" s="99">
        <v>37256</v>
      </c>
      <c r="B22" s="88"/>
      <c r="C22" s="88"/>
      <c r="D22" s="530">
        <v>40609.26</v>
      </c>
      <c r="E22" s="207"/>
      <c r="F22" s="66"/>
    </row>
    <row r="23" spans="1:7" x14ac:dyDescent="0.2">
      <c r="A23" s="87"/>
      <c r="B23" s="88"/>
      <c r="C23" s="88"/>
      <c r="D23" s="308"/>
      <c r="E23" s="207"/>
      <c r="F23" s="66"/>
    </row>
    <row r="24" spans="1:7" ht="13.5" thickBot="1" x14ac:dyDescent="0.25">
      <c r="A24" s="99">
        <v>37285</v>
      </c>
      <c r="B24" s="88"/>
      <c r="C24" s="88"/>
      <c r="D24" s="318">
        <f>+D22+D20</f>
        <v>119385.54000000001</v>
      </c>
      <c r="E24" s="207"/>
      <c r="F24" s="66"/>
    </row>
    <row r="25" spans="1:7" ht="13.5" thickTop="1" x14ac:dyDescent="0.2">
      <c r="E25" s="278"/>
    </row>
    <row r="28" spans="1:7" x14ac:dyDescent="0.2">
      <c r="A28" s="32" t="s">
        <v>149</v>
      </c>
      <c r="B28" s="32"/>
      <c r="C28" s="32"/>
      <c r="D28" s="32"/>
      <c r="E28" s="345"/>
    </row>
    <row r="29" spans="1:7" x14ac:dyDescent="0.2">
      <c r="A29" s="49">
        <f>+A22</f>
        <v>37256</v>
      </c>
      <c r="B29" s="32"/>
      <c r="C29" s="32"/>
      <c r="D29" s="524">
        <v>31706</v>
      </c>
    </row>
    <row r="30" spans="1:7" x14ac:dyDescent="0.2">
      <c r="A30" s="49">
        <f>+A24</f>
        <v>37285</v>
      </c>
      <c r="B30" s="32"/>
      <c r="C30" s="32"/>
      <c r="D30" s="350">
        <f>+D18</f>
        <v>37692</v>
      </c>
    </row>
    <row r="31" spans="1:7" x14ac:dyDescent="0.2">
      <c r="A31" s="32"/>
      <c r="B31" s="32"/>
      <c r="C31" s="32"/>
      <c r="D31" s="14">
        <f>+D30+D29</f>
        <v>69398</v>
      </c>
    </row>
    <row r="32" spans="1:7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3" workbookViewId="0">
      <selection activeCell="A42" sqref="A42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6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6" t="s">
        <v>39</v>
      </c>
      <c r="I3" s="4" t="s">
        <v>19</v>
      </c>
      <c r="J3" s="4" t="s">
        <v>20</v>
      </c>
      <c r="K3" s="404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41789</v>
      </c>
      <c r="C4" s="11">
        <v>35858</v>
      </c>
      <c r="D4" s="11">
        <v>30108</v>
      </c>
      <c r="E4" s="11">
        <v>32000</v>
      </c>
      <c r="F4" s="25">
        <f>+E4+C4-D4-B4</f>
        <v>-4039</v>
      </c>
      <c r="G4" s="25"/>
      <c r="H4" s="406"/>
      <c r="I4" s="14"/>
      <c r="J4" s="14"/>
      <c r="K4" s="14">
        <f t="shared" ref="K4:K9" si="0">+J4-I4</f>
        <v>0</v>
      </c>
      <c r="L4" s="359"/>
      <c r="M4" s="75">
        <f t="shared" ref="M4:M9" si="1">+L4*K4</f>
        <v>0</v>
      </c>
    </row>
    <row r="5" spans="1:14" x14ac:dyDescent="0.2">
      <c r="A5" s="41">
        <v>2</v>
      </c>
      <c r="B5" s="11">
        <v>37927</v>
      </c>
      <c r="C5" s="11">
        <v>35858</v>
      </c>
      <c r="D5" s="11">
        <v>30887</v>
      </c>
      <c r="E5" s="11">
        <v>32000</v>
      </c>
      <c r="F5" s="25">
        <f t="shared" ref="F5:F34" si="2">+E5+C5-D5-B5</f>
        <v>-956</v>
      </c>
      <c r="G5" s="25"/>
      <c r="H5" s="406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9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32549</v>
      </c>
      <c r="C6" s="11">
        <v>35858</v>
      </c>
      <c r="D6" s="11">
        <v>32901</v>
      </c>
      <c r="E6" s="11">
        <v>32000</v>
      </c>
      <c r="F6" s="25">
        <f t="shared" si="2"/>
        <v>2408</v>
      </c>
      <c r="G6" s="25"/>
      <c r="H6" s="406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9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30654</v>
      </c>
      <c r="C7" s="11">
        <v>35620</v>
      </c>
      <c r="D7" s="11">
        <v>34690</v>
      </c>
      <c r="E7" s="11">
        <v>31782</v>
      </c>
      <c r="F7" s="25">
        <f t="shared" si="2"/>
        <v>2058</v>
      </c>
      <c r="G7" s="25"/>
      <c r="H7" s="406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9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33190</v>
      </c>
      <c r="C8" s="11">
        <v>33700</v>
      </c>
      <c r="D8" s="11">
        <v>30637</v>
      </c>
      <c r="E8" s="11">
        <v>30158</v>
      </c>
      <c r="F8" s="25">
        <f t="shared" si="2"/>
        <v>31</v>
      </c>
      <c r="G8" s="25"/>
      <c r="H8" s="406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9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31722</v>
      </c>
      <c r="C9" s="11">
        <v>33700</v>
      </c>
      <c r="D9" s="11">
        <v>34293</v>
      </c>
      <c r="E9" s="11">
        <v>30158</v>
      </c>
      <c r="F9" s="25">
        <f t="shared" si="2"/>
        <v>-2157</v>
      </c>
      <c r="G9" s="25"/>
      <c r="H9" s="406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9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31843</v>
      </c>
      <c r="C10" s="11">
        <v>33700</v>
      </c>
      <c r="D10" s="129">
        <v>34597</v>
      </c>
      <c r="E10" s="11">
        <v>30158</v>
      </c>
      <c r="F10" s="25">
        <f t="shared" si="2"/>
        <v>-2582</v>
      </c>
      <c r="G10" s="25"/>
      <c r="H10" s="406"/>
      <c r="I10" s="14"/>
      <c r="J10" s="14"/>
      <c r="K10" s="14"/>
      <c r="L10" s="359"/>
      <c r="M10" s="15"/>
      <c r="N10" s="15">
        <f>SUM(N5:N9)</f>
        <v>489002.35</v>
      </c>
    </row>
    <row r="11" spans="1:14" x14ac:dyDescent="0.2">
      <c r="A11" s="41">
        <v>8</v>
      </c>
      <c r="B11" s="11">
        <v>29795</v>
      </c>
      <c r="C11" s="11">
        <v>32700</v>
      </c>
      <c r="D11" s="11">
        <v>32940</v>
      </c>
      <c r="E11" s="11">
        <v>34158</v>
      </c>
      <c r="F11" s="25">
        <f>+E11+C11-D11-B11</f>
        <v>4123</v>
      </c>
      <c r="G11" s="25"/>
      <c r="H11" s="406"/>
      <c r="I11" s="14"/>
      <c r="J11" s="14"/>
      <c r="K11" s="15"/>
      <c r="L11" s="359"/>
      <c r="M11" s="15"/>
      <c r="N11" s="15">
        <f>SUM(M5:M9)</f>
        <v>489002.35000000003</v>
      </c>
    </row>
    <row r="12" spans="1:14" x14ac:dyDescent="0.2">
      <c r="A12" s="41">
        <v>9</v>
      </c>
      <c r="B12" s="11">
        <v>30149</v>
      </c>
      <c r="C12" s="11">
        <v>32000</v>
      </c>
      <c r="D12" s="11">
        <v>32215</v>
      </c>
      <c r="E12" s="11">
        <v>33158</v>
      </c>
      <c r="F12" s="25">
        <f>+E12+C12-D12-B12</f>
        <v>2794</v>
      </c>
      <c r="G12" s="25"/>
      <c r="H12" s="406"/>
      <c r="I12" s="24"/>
      <c r="J12" s="24"/>
      <c r="K12" s="110"/>
      <c r="L12" s="408"/>
      <c r="M12" s="110"/>
    </row>
    <row r="13" spans="1:14" x14ac:dyDescent="0.2">
      <c r="A13" s="41">
        <v>10</v>
      </c>
      <c r="B13" s="129">
        <v>32222</v>
      </c>
      <c r="C13" s="11">
        <v>32067</v>
      </c>
      <c r="D13" s="129">
        <v>32379</v>
      </c>
      <c r="E13" s="11">
        <v>34000</v>
      </c>
      <c r="F13" s="25">
        <f t="shared" si="2"/>
        <v>1466</v>
      </c>
      <c r="G13" s="25"/>
      <c r="I13" s="24"/>
      <c r="J13" s="24"/>
      <c r="K13" s="24">
        <f>SUM(K4:K12)</f>
        <v>135930</v>
      </c>
      <c r="L13" s="408"/>
      <c r="M13" s="110">
        <f>SUM(M4:M12)</f>
        <v>489002.35000000003</v>
      </c>
    </row>
    <row r="14" spans="1:14" x14ac:dyDescent="0.2">
      <c r="A14" s="41">
        <v>11</v>
      </c>
      <c r="B14" s="11">
        <v>30694</v>
      </c>
      <c r="C14" s="11">
        <v>32067</v>
      </c>
      <c r="D14" s="11">
        <v>32638</v>
      </c>
      <c r="E14" s="11">
        <v>34000</v>
      </c>
      <c r="F14" s="25">
        <f t="shared" si="2"/>
        <v>2735</v>
      </c>
      <c r="G14" s="25"/>
    </row>
    <row r="15" spans="1:14" x14ac:dyDescent="0.2">
      <c r="A15" s="41">
        <v>12</v>
      </c>
      <c r="B15" s="11">
        <v>31245</v>
      </c>
      <c r="C15" s="11">
        <v>27834</v>
      </c>
      <c r="D15" s="11">
        <v>29946</v>
      </c>
      <c r="E15" s="11">
        <v>31791</v>
      </c>
      <c r="F15" s="25">
        <f t="shared" si="2"/>
        <v>-1566</v>
      </c>
      <c r="G15" s="25"/>
    </row>
    <row r="16" spans="1:14" x14ac:dyDescent="0.2">
      <c r="A16" s="41">
        <v>13</v>
      </c>
      <c r="B16" s="11">
        <v>31719</v>
      </c>
      <c r="C16" s="11">
        <v>32067</v>
      </c>
      <c r="D16" s="11">
        <v>28145</v>
      </c>
      <c r="E16" s="11">
        <v>32000</v>
      </c>
      <c r="F16" s="25">
        <f t="shared" si="2"/>
        <v>4203</v>
      </c>
      <c r="G16" s="25"/>
    </row>
    <row r="17" spans="1:7" x14ac:dyDescent="0.2">
      <c r="A17" s="41">
        <v>14</v>
      </c>
      <c r="B17" s="11">
        <v>28127</v>
      </c>
      <c r="C17" s="11">
        <v>27999</v>
      </c>
      <c r="D17" s="11">
        <v>30808</v>
      </c>
      <c r="E17" s="11">
        <v>28999</v>
      </c>
      <c r="F17" s="25">
        <f t="shared" si="2"/>
        <v>-1937</v>
      </c>
      <c r="G17" s="25"/>
    </row>
    <row r="18" spans="1:7" x14ac:dyDescent="0.2">
      <c r="A18" s="41">
        <v>15</v>
      </c>
      <c r="B18" s="11">
        <v>30588</v>
      </c>
      <c r="C18" s="11">
        <v>32067</v>
      </c>
      <c r="D18" s="11">
        <v>30690</v>
      </c>
      <c r="E18" s="11">
        <v>32000</v>
      </c>
      <c r="F18" s="25">
        <f t="shared" si="2"/>
        <v>2789</v>
      </c>
      <c r="G18" s="25"/>
    </row>
    <row r="19" spans="1:7" x14ac:dyDescent="0.2">
      <c r="A19" s="41">
        <v>16</v>
      </c>
      <c r="B19" s="11">
        <v>30738</v>
      </c>
      <c r="C19" s="11">
        <v>31567</v>
      </c>
      <c r="D19" s="11">
        <v>32451</v>
      </c>
      <c r="E19" s="11">
        <v>31000</v>
      </c>
      <c r="F19" s="25">
        <f t="shared" si="2"/>
        <v>-622</v>
      </c>
      <c r="G19" s="25"/>
    </row>
    <row r="20" spans="1:7" x14ac:dyDescent="0.2">
      <c r="A20" s="41">
        <v>17</v>
      </c>
      <c r="B20" s="11">
        <v>30149</v>
      </c>
      <c r="C20" s="11">
        <v>31567</v>
      </c>
      <c r="D20" s="11">
        <v>33775</v>
      </c>
      <c r="E20" s="11">
        <v>31000</v>
      </c>
      <c r="F20" s="25">
        <f t="shared" si="2"/>
        <v>-1357</v>
      </c>
      <c r="G20" s="25"/>
    </row>
    <row r="21" spans="1:7" x14ac:dyDescent="0.2">
      <c r="A21" s="41">
        <v>18</v>
      </c>
      <c r="B21" s="11">
        <v>31912</v>
      </c>
      <c r="C21" s="11">
        <v>30832</v>
      </c>
      <c r="D21" s="129">
        <v>35106</v>
      </c>
      <c r="E21" s="11">
        <v>30262</v>
      </c>
      <c r="F21" s="25">
        <f t="shared" si="2"/>
        <v>-5924</v>
      </c>
      <c r="G21" s="25"/>
    </row>
    <row r="22" spans="1:7" x14ac:dyDescent="0.2">
      <c r="A22" s="41">
        <v>19</v>
      </c>
      <c r="B22" s="11">
        <v>31669</v>
      </c>
      <c r="C22" s="11">
        <v>31567</v>
      </c>
      <c r="D22" s="11">
        <v>34216</v>
      </c>
      <c r="E22" s="11">
        <v>31000</v>
      </c>
      <c r="F22" s="25">
        <f t="shared" si="2"/>
        <v>-3318</v>
      </c>
      <c r="G22" s="25"/>
    </row>
    <row r="23" spans="1:7" x14ac:dyDescent="0.2">
      <c r="A23" s="41">
        <v>20</v>
      </c>
      <c r="B23" s="11">
        <v>30840</v>
      </c>
      <c r="C23" s="11">
        <v>31566</v>
      </c>
      <c r="D23" s="11">
        <v>34939</v>
      </c>
      <c r="E23" s="11">
        <v>30998</v>
      </c>
      <c r="F23" s="25">
        <f t="shared" si="2"/>
        <v>-3215</v>
      </c>
      <c r="G23" s="25"/>
    </row>
    <row r="24" spans="1:7" x14ac:dyDescent="0.2">
      <c r="A24" s="41">
        <v>21</v>
      </c>
      <c r="B24" s="11">
        <v>28062</v>
      </c>
      <c r="C24" s="11">
        <v>31567</v>
      </c>
      <c r="D24" s="11">
        <v>34728</v>
      </c>
      <c r="E24" s="11">
        <v>31000</v>
      </c>
      <c r="F24" s="25">
        <f t="shared" si="2"/>
        <v>-223</v>
      </c>
      <c r="G24" s="25"/>
    </row>
    <row r="25" spans="1:7" x14ac:dyDescent="0.2">
      <c r="A25" s="41">
        <v>22</v>
      </c>
      <c r="B25" s="11">
        <v>29987</v>
      </c>
      <c r="C25" s="11">
        <v>31567</v>
      </c>
      <c r="D25" s="11">
        <v>32775</v>
      </c>
      <c r="E25" s="11">
        <v>34500</v>
      </c>
      <c r="F25" s="25">
        <f t="shared" si="2"/>
        <v>3305</v>
      </c>
      <c r="G25" s="25"/>
    </row>
    <row r="26" spans="1:7" x14ac:dyDescent="0.2">
      <c r="A26" s="41">
        <v>23</v>
      </c>
      <c r="B26" s="11">
        <v>30162</v>
      </c>
      <c r="C26" s="11">
        <v>31567</v>
      </c>
      <c r="D26" s="129">
        <v>33695</v>
      </c>
      <c r="E26" s="11">
        <v>34000</v>
      </c>
      <c r="F26" s="25">
        <f t="shared" si="2"/>
        <v>1710</v>
      </c>
    </row>
    <row r="27" spans="1:7" x14ac:dyDescent="0.2">
      <c r="A27" s="41">
        <v>24</v>
      </c>
      <c r="B27" s="11">
        <v>32045</v>
      </c>
      <c r="C27" s="11">
        <v>34868</v>
      </c>
      <c r="D27" s="11">
        <v>34725</v>
      </c>
      <c r="E27" s="11">
        <v>34499</v>
      </c>
      <c r="F27" s="25">
        <f t="shared" si="2"/>
        <v>2597</v>
      </c>
    </row>
    <row r="28" spans="1:7" x14ac:dyDescent="0.2">
      <c r="A28" s="41">
        <v>25</v>
      </c>
      <c r="B28" s="11">
        <v>34010</v>
      </c>
      <c r="C28" s="11">
        <v>35067</v>
      </c>
      <c r="D28" s="11">
        <v>31370</v>
      </c>
      <c r="E28" s="11">
        <v>34500</v>
      </c>
      <c r="F28" s="25">
        <f t="shared" si="2"/>
        <v>4187</v>
      </c>
    </row>
    <row r="29" spans="1:7" x14ac:dyDescent="0.2">
      <c r="A29" s="41">
        <v>26</v>
      </c>
      <c r="B29" s="11">
        <v>45900</v>
      </c>
      <c r="C29" s="11">
        <v>38567</v>
      </c>
      <c r="D29" s="11">
        <v>34439</v>
      </c>
      <c r="E29" s="11">
        <v>33000</v>
      </c>
      <c r="F29" s="25">
        <f t="shared" si="2"/>
        <v>-8772</v>
      </c>
    </row>
    <row r="30" spans="1:7" x14ac:dyDescent="0.2">
      <c r="A30" s="41">
        <v>27</v>
      </c>
      <c r="B30" s="11">
        <v>43034</v>
      </c>
      <c r="C30" s="11">
        <v>38567</v>
      </c>
      <c r="D30" s="11">
        <v>30024</v>
      </c>
      <c r="E30" s="11">
        <v>33000</v>
      </c>
      <c r="F30" s="25">
        <f t="shared" si="2"/>
        <v>-1491</v>
      </c>
    </row>
    <row r="31" spans="1:7" x14ac:dyDescent="0.2">
      <c r="A31" s="41">
        <v>28</v>
      </c>
      <c r="B31" s="11">
        <v>56495</v>
      </c>
      <c r="C31" s="11">
        <v>62544</v>
      </c>
      <c r="D31" s="11"/>
      <c r="E31" s="11"/>
      <c r="F31" s="25">
        <f t="shared" si="2"/>
        <v>6049</v>
      </c>
    </row>
    <row r="32" spans="1:7" x14ac:dyDescent="0.2">
      <c r="A32" s="41">
        <v>29</v>
      </c>
      <c r="B32" s="11">
        <v>58357</v>
      </c>
      <c r="C32" s="11">
        <v>60544</v>
      </c>
      <c r="D32" s="11"/>
      <c r="E32" s="11"/>
      <c r="F32" s="25">
        <f t="shared" si="2"/>
        <v>2187</v>
      </c>
    </row>
    <row r="33" spans="1:7" x14ac:dyDescent="0.2">
      <c r="A33" s="41">
        <v>30</v>
      </c>
      <c r="B33" s="11">
        <v>62733</v>
      </c>
      <c r="C33" s="11">
        <v>60544</v>
      </c>
      <c r="D33" s="11"/>
      <c r="E33" s="11"/>
      <c r="F33" s="25">
        <f t="shared" si="2"/>
        <v>-2189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1060306</v>
      </c>
      <c r="C35" s="11">
        <f>SUM(C4:C34)</f>
        <v>1075596</v>
      </c>
      <c r="D35" s="11">
        <f>SUM(D4:D34)</f>
        <v>880117</v>
      </c>
      <c r="E35" s="11">
        <f>SUM(E4:E34)</f>
        <v>867121</v>
      </c>
      <c r="F35" s="11">
        <f>+E35-D35+C35-B35</f>
        <v>2294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94">
        <f>+summary!G4</f>
        <v>2.08</v>
      </c>
    </row>
    <row r="38" spans="1:7" x14ac:dyDescent="0.2">
      <c r="C38" s="48"/>
      <c r="D38" s="47"/>
      <c r="E38" s="48"/>
      <c r="F38" s="46">
        <f>+F37*F35</f>
        <v>4771.5200000000004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37256</v>
      </c>
      <c r="C40" s="462"/>
      <c r="D40" s="111"/>
      <c r="E40" s="462"/>
      <c r="F40" s="535">
        <v>460426.69</v>
      </c>
      <c r="G40" s="25"/>
    </row>
    <row r="41" spans="1:7" x14ac:dyDescent="0.2">
      <c r="A41" s="57">
        <v>37286</v>
      </c>
      <c r="C41" s="106"/>
      <c r="D41" s="106"/>
      <c r="E41" s="106"/>
      <c r="F41" s="106">
        <f>+F38+F40</f>
        <v>465198.21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37256</v>
      </c>
      <c r="D46" s="536">
        <v>17967</v>
      </c>
      <c r="E46" s="11"/>
      <c r="F46" s="11"/>
      <c r="G46" s="25"/>
    </row>
    <row r="47" spans="1:7" x14ac:dyDescent="0.2">
      <c r="A47" s="49">
        <f>+A41</f>
        <v>37286</v>
      </c>
      <c r="D47" s="350">
        <f>+F35</f>
        <v>2294</v>
      </c>
      <c r="E47" s="11"/>
      <c r="F47" s="11"/>
      <c r="G47" s="25"/>
    </row>
    <row r="48" spans="1:7" x14ac:dyDescent="0.2">
      <c r="D48" s="14">
        <f>+D47+D46</f>
        <v>20261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1" workbookViewId="0">
      <selection activeCell="C33" sqref="C33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178998</v>
      </c>
      <c r="C5" s="11">
        <v>177703</v>
      </c>
      <c r="D5" s="11"/>
      <c r="E5" s="11"/>
      <c r="F5" s="11">
        <f>+C5+E5-B5-D5</f>
        <v>-1295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179049</v>
      </c>
      <c r="C6" s="11">
        <v>178823</v>
      </c>
      <c r="D6" s="11"/>
      <c r="E6" s="11">
        <v>-643</v>
      </c>
      <c r="F6" s="11">
        <f t="shared" ref="F6:F35" si="2">+C6+E6-B6-D6</f>
        <v>-869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200325</v>
      </c>
      <c r="C7" s="11">
        <v>201502</v>
      </c>
      <c r="D7" s="11"/>
      <c r="E7" s="11">
        <v>-1041</v>
      </c>
      <c r="F7" s="11">
        <f t="shared" si="2"/>
        <v>136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198276</v>
      </c>
      <c r="C8" s="11">
        <v>198103</v>
      </c>
      <c r="D8" s="11"/>
      <c r="E8" s="11">
        <v>-1127</v>
      </c>
      <c r="F8" s="11">
        <f t="shared" si="2"/>
        <v>-1300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182664</v>
      </c>
      <c r="C9" s="11">
        <v>181182</v>
      </c>
      <c r="D9" s="11"/>
      <c r="E9" s="11"/>
      <c r="F9" s="11">
        <f t="shared" si="2"/>
        <v>-1482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185625</v>
      </c>
      <c r="C10" s="11">
        <v>184935</v>
      </c>
      <c r="D10" s="11"/>
      <c r="E10" s="11">
        <v>-64</v>
      </c>
      <c r="F10" s="11">
        <f t="shared" si="2"/>
        <v>-754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180945</v>
      </c>
      <c r="C11" s="11">
        <v>182612</v>
      </c>
      <c r="D11" s="11"/>
      <c r="E11" s="11">
        <v>-413</v>
      </c>
      <c r="F11" s="11">
        <f t="shared" si="2"/>
        <v>1254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29">
        <v>171448</v>
      </c>
      <c r="C12" s="11">
        <v>170921</v>
      </c>
      <c r="D12" s="11"/>
      <c r="E12" s="11">
        <v>-766</v>
      </c>
      <c r="F12" s="11">
        <f t="shared" si="2"/>
        <v>-1293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167085</v>
      </c>
      <c r="C13" s="11">
        <v>165766</v>
      </c>
      <c r="D13" s="11"/>
      <c r="E13" s="11"/>
      <c r="F13" s="11">
        <f t="shared" si="2"/>
        <v>-1319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180242</v>
      </c>
      <c r="C14" s="11">
        <v>185290</v>
      </c>
      <c r="D14" s="11"/>
      <c r="E14" s="11">
        <v>-5992</v>
      </c>
      <c r="F14" s="11">
        <f t="shared" si="2"/>
        <v>-944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156730</v>
      </c>
      <c r="C15" s="11">
        <v>168069</v>
      </c>
      <c r="D15" s="11"/>
      <c r="E15" s="11">
        <v>-2752</v>
      </c>
      <c r="F15" s="11">
        <f t="shared" si="2"/>
        <v>8587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161920</v>
      </c>
      <c r="C16" s="11">
        <v>162390</v>
      </c>
      <c r="D16" s="11"/>
      <c r="E16" s="11">
        <v>-1246</v>
      </c>
      <c r="F16" s="11">
        <f t="shared" si="2"/>
        <v>-776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168860</v>
      </c>
      <c r="C17" s="11">
        <v>168387</v>
      </c>
      <c r="D17" s="11"/>
      <c r="E17" s="11">
        <v>-785</v>
      </c>
      <c r="F17" s="11">
        <f t="shared" si="2"/>
        <v>-1258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176296</v>
      </c>
      <c r="C18" s="11">
        <v>175896</v>
      </c>
      <c r="D18" s="11"/>
      <c r="E18" s="11">
        <v>-227</v>
      </c>
      <c r="F18" s="11">
        <f t="shared" si="2"/>
        <v>-627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178640</v>
      </c>
      <c r="C19" s="11">
        <v>178477</v>
      </c>
      <c r="D19" s="11"/>
      <c r="E19" s="11"/>
      <c r="F19" s="11">
        <f t="shared" si="2"/>
        <v>-163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174560</v>
      </c>
      <c r="C20" s="11">
        <v>173631</v>
      </c>
      <c r="D20" s="11"/>
      <c r="E20" s="11">
        <v>-412</v>
      </c>
      <c r="F20" s="11">
        <f t="shared" si="2"/>
        <v>-1341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>
        <v>168943</v>
      </c>
      <c r="C21" s="11">
        <v>168259</v>
      </c>
      <c r="D21" s="11"/>
      <c r="E21" s="11">
        <v>-181</v>
      </c>
      <c r="F21" s="11">
        <f t="shared" si="2"/>
        <v>-865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>
        <v>165038</v>
      </c>
      <c r="C22" s="11">
        <v>165930</v>
      </c>
      <c r="D22" s="11"/>
      <c r="E22" s="11">
        <v>-329</v>
      </c>
      <c r="F22" s="11">
        <f t="shared" si="2"/>
        <v>563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>
        <v>165527</v>
      </c>
      <c r="C23" s="11">
        <v>164522</v>
      </c>
      <c r="D23" s="11"/>
      <c r="E23" s="11"/>
      <c r="F23" s="11">
        <f t="shared" si="2"/>
        <v>-1005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>
        <v>167474</v>
      </c>
      <c r="C24" s="11">
        <v>167124</v>
      </c>
      <c r="D24" s="11"/>
      <c r="E24" s="11"/>
      <c r="F24" s="11">
        <f t="shared" si="2"/>
        <v>-350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>
        <v>160585</v>
      </c>
      <c r="C25" s="11">
        <v>164122</v>
      </c>
      <c r="D25" s="11"/>
      <c r="E25" s="11">
        <v>-1400</v>
      </c>
      <c r="F25" s="11">
        <f t="shared" si="2"/>
        <v>2137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>
        <v>166759</v>
      </c>
      <c r="C26" s="11">
        <v>171220</v>
      </c>
      <c r="D26" s="11"/>
      <c r="E26" s="11"/>
      <c r="F26" s="11">
        <f t="shared" si="2"/>
        <v>4461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>
        <v>163102</v>
      </c>
      <c r="C27" s="11">
        <v>162357</v>
      </c>
      <c r="D27" s="11"/>
      <c r="E27" s="11">
        <v>-304</v>
      </c>
      <c r="F27" s="11">
        <f t="shared" si="2"/>
        <v>-1049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>
        <v>176010</v>
      </c>
      <c r="C28" s="11">
        <v>177439</v>
      </c>
      <c r="D28" s="11"/>
      <c r="E28" s="11">
        <v>-2494</v>
      </c>
      <c r="F28" s="11">
        <f t="shared" si="2"/>
        <v>-1065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>
        <v>172715</v>
      </c>
      <c r="C29" s="11">
        <v>174734</v>
      </c>
      <c r="D29" s="11"/>
      <c r="E29" s="11"/>
      <c r="F29" s="11">
        <f t="shared" si="2"/>
        <v>2019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>
        <v>170203</v>
      </c>
      <c r="C30" s="11">
        <v>173795</v>
      </c>
      <c r="D30" s="11"/>
      <c r="E30" s="11">
        <v>-42</v>
      </c>
      <c r="F30" s="11">
        <f t="shared" si="2"/>
        <v>3550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>
        <v>173986</v>
      </c>
      <c r="C31" s="11">
        <v>178598</v>
      </c>
      <c r="D31" s="11"/>
      <c r="E31" s="11"/>
      <c r="F31" s="11">
        <f t="shared" si="2"/>
        <v>4612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>
        <v>166215</v>
      </c>
      <c r="C32" s="11">
        <v>170626</v>
      </c>
      <c r="D32" s="11"/>
      <c r="E32" s="11">
        <v>-209</v>
      </c>
      <c r="F32" s="11">
        <f t="shared" si="2"/>
        <v>4202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4858220</v>
      </c>
      <c r="C36" s="11">
        <f>SUM(C5:C35)</f>
        <v>4892413</v>
      </c>
      <c r="D36" s="11">
        <f>SUM(D5:D35)</f>
        <v>0</v>
      </c>
      <c r="E36" s="11">
        <f>SUM(E5:E35)</f>
        <v>-20427</v>
      </c>
      <c r="F36" s="11">
        <f>SUM(F5:F35)</f>
        <v>13766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37256</v>
      </c>
      <c r="F39" s="505">
        <v>-22389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37284</v>
      </c>
      <c r="F41" s="333">
        <f>+F39+F36</f>
        <v>-8623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37256</v>
      </c>
      <c r="C47" s="32"/>
      <c r="D47" s="32"/>
      <c r="E47" s="487">
        <v>-507608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37284</v>
      </c>
      <c r="C48" s="32"/>
      <c r="D48" s="32"/>
      <c r="E48" s="375">
        <f>+F36*'by type_area'!G3</f>
        <v>28495.62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-479112.38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8" workbookViewId="0">
      <selection activeCell="C37" sqref="C37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106165</v>
      </c>
      <c r="C8" s="11">
        <v>117417</v>
      </c>
      <c r="D8" s="11">
        <f>+C8-B8</f>
        <v>11252</v>
      </c>
      <c r="E8" s="10"/>
      <c r="F8" s="11"/>
      <c r="G8" s="11"/>
      <c r="H8" s="11"/>
    </row>
    <row r="9" spans="1:8" x14ac:dyDescent="0.2">
      <c r="A9" s="10">
        <v>2</v>
      </c>
      <c r="B9" s="11">
        <v>117972</v>
      </c>
      <c r="C9" s="11">
        <v>117437</v>
      </c>
      <c r="D9" s="11">
        <f t="shared" ref="D9:D38" si="0">+C9-B9</f>
        <v>-535</v>
      </c>
      <c r="E9" s="10"/>
      <c r="F9" s="11"/>
      <c r="G9" s="11"/>
      <c r="H9" s="11"/>
    </row>
    <row r="10" spans="1:8" x14ac:dyDescent="0.2">
      <c r="A10" s="10">
        <v>3</v>
      </c>
      <c r="B10" s="11">
        <v>124002</v>
      </c>
      <c r="C10" s="11">
        <v>124207</v>
      </c>
      <c r="D10" s="11">
        <f t="shared" si="0"/>
        <v>205</v>
      </c>
      <c r="E10" s="10"/>
      <c r="F10" s="11"/>
      <c r="G10" s="11"/>
      <c r="H10" s="11"/>
    </row>
    <row r="11" spans="1:8" x14ac:dyDescent="0.2">
      <c r="A11" s="10">
        <v>4</v>
      </c>
      <c r="B11" s="11">
        <v>101418</v>
      </c>
      <c r="C11" s="11">
        <v>100788</v>
      </c>
      <c r="D11" s="11">
        <f t="shared" si="0"/>
        <v>-630</v>
      </c>
      <c r="E11" s="10"/>
      <c r="F11" s="11"/>
      <c r="G11" s="11"/>
      <c r="H11" s="11"/>
    </row>
    <row r="12" spans="1:8" x14ac:dyDescent="0.2">
      <c r="A12" s="10">
        <v>5</v>
      </c>
      <c r="B12" s="11">
        <v>104942</v>
      </c>
      <c r="C12" s="11">
        <v>104207</v>
      </c>
      <c r="D12" s="11">
        <f t="shared" si="0"/>
        <v>-735</v>
      </c>
      <c r="E12" s="10"/>
      <c r="F12" s="11"/>
      <c r="G12" s="11"/>
      <c r="H12" s="11"/>
    </row>
    <row r="13" spans="1:8" x14ac:dyDescent="0.2">
      <c r="A13" s="10">
        <v>6</v>
      </c>
      <c r="B13" s="11">
        <v>104211</v>
      </c>
      <c r="C13" s="11">
        <v>104207</v>
      </c>
      <c r="D13" s="11">
        <f t="shared" si="0"/>
        <v>-4</v>
      </c>
      <c r="E13" s="10"/>
      <c r="F13" s="11"/>
      <c r="G13" s="11"/>
      <c r="H13" s="11"/>
    </row>
    <row r="14" spans="1:8" x14ac:dyDescent="0.2">
      <c r="A14" s="10">
        <v>7</v>
      </c>
      <c r="B14" s="11">
        <v>84424</v>
      </c>
      <c r="C14" s="11">
        <v>83518</v>
      </c>
      <c r="D14" s="11">
        <f t="shared" si="0"/>
        <v>-906</v>
      </c>
      <c r="E14" s="10"/>
      <c r="F14" s="11"/>
      <c r="G14" s="11"/>
      <c r="H14" s="11"/>
    </row>
    <row r="15" spans="1:8" x14ac:dyDescent="0.2">
      <c r="A15" s="10">
        <v>8</v>
      </c>
      <c r="B15" s="11">
        <v>77456</v>
      </c>
      <c r="C15" s="11">
        <v>77234</v>
      </c>
      <c r="D15" s="11">
        <f t="shared" si="0"/>
        <v>-222</v>
      </c>
      <c r="E15" s="10"/>
      <c r="F15" s="11"/>
      <c r="G15" s="11"/>
      <c r="H15" s="11"/>
    </row>
    <row r="16" spans="1:8" x14ac:dyDescent="0.2">
      <c r="A16" s="10">
        <v>9</v>
      </c>
      <c r="B16" s="11">
        <v>89763</v>
      </c>
      <c r="C16" s="11">
        <v>89032</v>
      </c>
      <c r="D16" s="11">
        <f t="shared" si="0"/>
        <v>-731</v>
      </c>
      <c r="E16" s="10"/>
      <c r="F16" s="11"/>
      <c r="G16" s="11"/>
      <c r="H16" s="11"/>
    </row>
    <row r="17" spans="1:8" x14ac:dyDescent="0.2">
      <c r="A17" s="10">
        <v>10</v>
      </c>
      <c r="B17" s="11">
        <v>93179</v>
      </c>
      <c r="C17" s="11">
        <v>92822</v>
      </c>
      <c r="D17" s="11">
        <f t="shared" si="0"/>
        <v>-357</v>
      </c>
      <c r="E17" s="10"/>
      <c r="F17" s="11"/>
      <c r="G17" s="11"/>
      <c r="H17" s="11"/>
    </row>
    <row r="18" spans="1:8" x14ac:dyDescent="0.2">
      <c r="A18" s="10">
        <v>11</v>
      </c>
      <c r="B18" s="11">
        <v>100949</v>
      </c>
      <c r="C18" s="11">
        <v>100822</v>
      </c>
      <c r="D18" s="11">
        <f t="shared" si="0"/>
        <v>-127</v>
      </c>
      <c r="E18" s="10"/>
      <c r="F18" s="11"/>
      <c r="G18" s="11"/>
      <c r="H18" s="11"/>
    </row>
    <row r="19" spans="1:8" x14ac:dyDescent="0.2">
      <c r="A19" s="10">
        <v>12</v>
      </c>
      <c r="B19" s="11">
        <v>93077</v>
      </c>
      <c r="C19" s="11">
        <v>92822</v>
      </c>
      <c r="D19" s="11">
        <f t="shared" si="0"/>
        <v>-255</v>
      </c>
      <c r="E19" s="10"/>
      <c r="F19" s="11"/>
      <c r="G19" s="11"/>
      <c r="H19" s="11"/>
    </row>
    <row r="20" spans="1:8" x14ac:dyDescent="0.2">
      <c r="A20" s="10">
        <v>13</v>
      </c>
      <c r="B20" s="11">
        <v>93019</v>
      </c>
      <c r="C20" s="11">
        <v>92822</v>
      </c>
      <c r="D20" s="11">
        <f t="shared" si="0"/>
        <v>-197</v>
      </c>
      <c r="E20" s="10"/>
      <c r="F20" s="11"/>
      <c r="G20" s="11"/>
      <c r="H20" s="11"/>
    </row>
    <row r="21" spans="1:8" x14ac:dyDescent="0.2">
      <c r="A21" s="10">
        <v>14</v>
      </c>
      <c r="B21" s="11">
        <v>92998</v>
      </c>
      <c r="C21" s="11">
        <v>92822</v>
      </c>
      <c r="D21" s="11">
        <f t="shared" si="0"/>
        <v>-176</v>
      </c>
      <c r="E21" s="10"/>
      <c r="F21" s="11"/>
      <c r="G21" s="11"/>
      <c r="H21" s="11"/>
    </row>
    <row r="22" spans="1:8" x14ac:dyDescent="0.2">
      <c r="A22" s="10">
        <v>15</v>
      </c>
      <c r="B22" s="11">
        <v>93044</v>
      </c>
      <c r="C22" s="11">
        <v>92822</v>
      </c>
      <c r="D22" s="11">
        <f t="shared" si="0"/>
        <v>-222</v>
      </c>
      <c r="E22" s="10"/>
      <c r="F22" s="11"/>
      <c r="G22" s="11"/>
      <c r="H22" s="11"/>
    </row>
    <row r="23" spans="1:8" x14ac:dyDescent="0.2">
      <c r="A23" s="10">
        <v>16</v>
      </c>
      <c r="B23" s="11">
        <v>85485</v>
      </c>
      <c r="C23" s="11">
        <v>85001</v>
      </c>
      <c r="D23" s="11">
        <f t="shared" si="0"/>
        <v>-484</v>
      </c>
      <c r="E23" s="10"/>
      <c r="F23" s="11"/>
      <c r="G23" s="11"/>
      <c r="H23" s="11"/>
    </row>
    <row r="24" spans="1:8" x14ac:dyDescent="0.2">
      <c r="A24" s="10">
        <v>17</v>
      </c>
      <c r="B24" s="11">
        <v>94982</v>
      </c>
      <c r="C24" s="11">
        <v>93956</v>
      </c>
      <c r="D24" s="11">
        <f t="shared" si="0"/>
        <v>-1026</v>
      </c>
      <c r="E24" s="10"/>
      <c r="F24" s="11"/>
      <c r="G24" s="11"/>
      <c r="H24" s="11"/>
    </row>
    <row r="25" spans="1:8" x14ac:dyDescent="0.2">
      <c r="A25" s="10">
        <v>18</v>
      </c>
      <c r="B25" s="11">
        <v>83049</v>
      </c>
      <c r="C25" s="11">
        <v>82542</v>
      </c>
      <c r="D25" s="11">
        <f t="shared" si="0"/>
        <v>-507</v>
      </c>
      <c r="E25" s="10"/>
      <c r="F25" s="11"/>
      <c r="G25" s="11"/>
      <c r="H25" s="11"/>
    </row>
    <row r="26" spans="1:8" x14ac:dyDescent="0.2">
      <c r="A26" s="10">
        <v>19</v>
      </c>
      <c r="B26" s="11">
        <v>84312</v>
      </c>
      <c r="C26" s="11">
        <v>82822</v>
      </c>
      <c r="D26" s="11">
        <f t="shared" si="0"/>
        <v>-1490</v>
      </c>
      <c r="E26" s="10"/>
      <c r="F26" s="11"/>
      <c r="G26" s="11"/>
      <c r="H26" s="11"/>
    </row>
    <row r="27" spans="1:8" x14ac:dyDescent="0.2">
      <c r="A27" s="10">
        <v>20</v>
      </c>
      <c r="B27" s="11">
        <v>85022</v>
      </c>
      <c r="C27" s="11">
        <v>82822</v>
      </c>
      <c r="D27" s="11">
        <f t="shared" si="0"/>
        <v>-2200</v>
      </c>
      <c r="E27" s="10"/>
      <c r="F27" s="11"/>
      <c r="G27" s="11"/>
      <c r="H27" s="11"/>
    </row>
    <row r="28" spans="1:8" x14ac:dyDescent="0.2">
      <c r="A28" s="10">
        <v>21</v>
      </c>
      <c r="B28" s="11">
        <v>82993</v>
      </c>
      <c r="C28" s="11">
        <v>82822</v>
      </c>
      <c r="D28" s="11">
        <f t="shared" si="0"/>
        <v>-171</v>
      </c>
      <c r="E28" s="10"/>
      <c r="F28" s="11"/>
      <c r="G28" s="11"/>
      <c r="H28" s="11"/>
    </row>
    <row r="29" spans="1:8" x14ac:dyDescent="0.2">
      <c r="A29" s="10">
        <v>22</v>
      </c>
      <c r="B29" s="11">
        <v>82989</v>
      </c>
      <c r="C29" s="11">
        <v>82822</v>
      </c>
      <c r="D29" s="11">
        <f t="shared" si="0"/>
        <v>-167</v>
      </c>
      <c r="E29" s="10"/>
      <c r="F29" s="11"/>
      <c r="G29" s="11"/>
      <c r="H29" s="11"/>
    </row>
    <row r="30" spans="1:8" x14ac:dyDescent="0.2">
      <c r="A30" s="10">
        <v>23</v>
      </c>
      <c r="B30" s="11">
        <v>87826</v>
      </c>
      <c r="C30" s="11">
        <v>87822</v>
      </c>
      <c r="D30" s="11">
        <f t="shared" si="0"/>
        <v>-4</v>
      </c>
      <c r="E30" s="10"/>
      <c r="F30" s="11"/>
      <c r="G30" s="11"/>
      <c r="H30" s="11"/>
    </row>
    <row r="31" spans="1:8" x14ac:dyDescent="0.2">
      <c r="A31" s="10">
        <v>24</v>
      </c>
      <c r="B31" s="11">
        <v>91684</v>
      </c>
      <c r="C31" s="11">
        <v>98507</v>
      </c>
      <c r="D31" s="11">
        <f t="shared" si="0"/>
        <v>6823</v>
      </c>
      <c r="E31" s="10"/>
      <c r="F31" s="11"/>
      <c r="G31" s="11"/>
      <c r="H31" s="11"/>
    </row>
    <row r="32" spans="1:8" x14ac:dyDescent="0.2">
      <c r="A32" s="10">
        <v>25</v>
      </c>
      <c r="B32" s="11">
        <v>88363</v>
      </c>
      <c r="C32" s="11">
        <v>87822</v>
      </c>
      <c r="D32" s="11">
        <f t="shared" si="0"/>
        <v>-541</v>
      </c>
      <c r="E32" s="10"/>
      <c r="F32" s="11"/>
      <c r="G32" s="11"/>
      <c r="H32" s="11"/>
    </row>
    <row r="33" spans="1:8" x14ac:dyDescent="0.2">
      <c r="A33" s="10">
        <v>26</v>
      </c>
      <c r="B33" s="11">
        <v>85898</v>
      </c>
      <c r="C33" s="11">
        <v>87822</v>
      </c>
      <c r="D33" s="11">
        <f t="shared" si="0"/>
        <v>1924</v>
      </c>
      <c r="E33" s="10"/>
      <c r="F33" s="11"/>
      <c r="G33" s="11"/>
      <c r="H33" s="11"/>
    </row>
    <row r="34" spans="1:8" x14ac:dyDescent="0.2">
      <c r="A34" s="10">
        <v>27</v>
      </c>
      <c r="B34" s="11">
        <v>87999</v>
      </c>
      <c r="C34" s="11">
        <v>87822</v>
      </c>
      <c r="D34" s="11">
        <f t="shared" si="0"/>
        <v>-177</v>
      </c>
      <c r="E34" s="10"/>
      <c r="F34" s="11"/>
      <c r="G34" s="11"/>
      <c r="H34" s="11"/>
    </row>
    <row r="35" spans="1:8" x14ac:dyDescent="0.2">
      <c r="A35" s="10">
        <v>28</v>
      </c>
      <c r="B35" s="11">
        <v>87999</v>
      </c>
      <c r="C35" s="11">
        <v>87822</v>
      </c>
      <c r="D35" s="11">
        <f t="shared" si="0"/>
        <v>-177</v>
      </c>
      <c r="E35" s="10"/>
      <c r="F35" s="11"/>
      <c r="G35" s="11"/>
      <c r="H35" s="11"/>
    </row>
    <row r="36" spans="1:8" x14ac:dyDescent="0.2">
      <c r="A36" s="10">
        <v>29</v>
      </c>
      <c r="B36" s="11">
        <v>87998</v>
      </c>
      <c r="C36" s="11">
        <v>87822</v>
      </c>
      <c r="D36" s="11">
        <f t="shared" si="0"/>
        <v>-176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2693218</v>
      </c>
      <c r="C39" s="11">
        <f>SUM(C8:C38)</f>
        <v>2701205</v>
      </c>
      <c r="D39" s="11">
        <f>SUM(D8:D38)</f>
        <v>7987</v>
      </c>
      <c r="E39" s="10"/>
      <c r="F39" s="11"/>
      <c r="G39" s="11"/>
      <c r="H39" s="11"/>
    </row>
    <row r="40" spans="1:8" x14ac:dyDescent="0.2">
      <c r="A40" s="26"/>
      <c r="D40" s="75">
        <f>+summary!G4</f>
        <v>2.08</v>
      </c>
      <c r="E40" s="26"/>
      <c r="H40" s="75"/>
    </row>
    <row r="41" spans="1:8" x14ac:dyDescent="0.2">
      <c r="D41" s="195">
        <f>+D40*D39</f>
        <v>16612.96</v>
      </c>
      <c r="F41" s="247"/>
      <c r="H41" s="195"/>
    </row>
    <row r="42" spans="1:8" x14ac:dyDescent="0.2">
      <c r="A42" s="57">
        <v>37256</v>
      </c>
      <c r="D42" s="553">
        <v>12821</v>
      </c>
      <c r="E42" s="57"/>
      <c r="H42" s="195"/>
    </row>
    <row r="43" spans="1:8" x14ac:dyDescent="0.2">
      <c r="A43" s="57">
        <v>37285</v>
      </c>
      <c r="D43" s="196">
        <f>+D42+D41</f>
        <v>29433.96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149</v>
      </c>
      <c r="B47" s="32"/>
      <c r="C47" s="32"/>
      <c r="D47" s="32"/>
    </row>
    <row r="48" spans="1:8" x14ac:dyDescent="0.2">
      <c r="A48" s="49">
        <f>+A42</f>
        <v>37256</v>
      </c>
      <c r="B48" s="32"/>
      <c r="C48" s="32"/>
      <c r="D48" s="524">
        <v>-49782</v>
      </c>
    </row>
    <row r="49" spans="1:4" x14ac:dyDescent="0.2">
      <c r="A49" s="49">
        <f>+A43</f>
        <v>37285</v>
      </c>
      <c r="B49" s="32"/>
      <c r="C49" s="32"/>
      <c r="D49" s="350">
        <f>+D39</f>
        <v>7987</v>
      </c>
    </row>
    <row r="50" spans="1:4" x14ac:dyDescent="0.2">
      <c r="A50" s="32"/>
      <c r="B50" s="32"/>
      <c r="C50" s="32"/>
      <c r="D50" s="14">
        <f>+D49+D48</f>
        <v>-41795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2"/>
  <sheetViews>
    <sheetView topLeftCell="A35" workbookViewId="0">
      <selection activeCell="B45" sqref="B45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2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37256</v>
      </c>
      <c r="C5" s="546">
        <v>1531269.56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251</v>
      </c>
      <c r="J6" s="15"/>
    </row>
    <row r="7" spans="1:14" x14ac:dyDescent="0.2">
      <c r="A7" s="57">
        <v>37283</v>
      </c>
      <c r="I7" s="3" t="s">
        <v>258</v>
      </c>
      <c r="J7" s="15"/>
    </row>
    <row r="8" spans="1:14" x14ac:dyDescent="0.2">
      <c r="A8" s="248">
        <v>50895</v>
      </c>
      <c r="B8" s="340">
        <f>6210-5507-261</f>
        <v>442</v>
      </c>
      <c r="J8" s="15"/>
    </row>
    <row r="9" spans="1:14" x14ac:dyDescent="0.2">
      <c r="A9" s="248">
        <v>60874</v>
      </c>
      <c r="B9" s="340">
        <f>3038+101</f>
        <v>3139</v>
      </c>
      <c r="J9" s="15"/>
    </row>
    <row r="10" spans="1:14" x14ac:dyDescent="0.2">
      <c r="A10" s="248">
        <v>78169</v>
      </c>
      <c r="B10" s="340">
        <f>413760-367651-13525-18584-14561</f>
        <v>-561</v>
      </c>
      <c r="I10" s="87" t="s">
        <v>252</v>
      </c>
      <c r="J10" s="483" t="s">
        <v>27</v>
      </c>
      <c r="K10" s="87" t="s">
        <v>253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83">
        <f>+C40</f>
        <v>842376.79</v>
      </c>
      <c r="K11" s="87" t="s">
        <v>254</v>
      </c>
      <c r="L11" s="87"/>
      <c r="M11" s="87"/>
      <c r="N11" s="87"/>
    </row>
    <row r="12" spans="1:14" ht="20.100000000000001" customHeight="1" x14ac:dyDescent="0.2">
      <c r="A12" s="248">
        <v>500248</v>
      </c>
      <c r="B12" s="342"/>
      <c r="I12" s="87">
        <v>24693</v>
      </c>
      <c r="J12" s="446">
        <v>275313.71999999997</v>
      </c>
      <c r="K12" s="87" t="s">
        <v>255</v>
      </c>
      <c r="L12" s="87"/>
      <c r="M12" s="87"/>
      <c r="N12" s="87"/>
    </row>
    <row r="13" spans="1:14" ht="20.100000000000001" customHeight="1" x14ac:dyDescent="0.2">
      <c r="A13" s="248">
        <v>500251</v>
      </c>
      <c r="B13" s="316">
        <f>10800-12669-585</f>
        <v>-2454</v>
      </c>
      <c r="I13" s="87">
        <v>21665</v>
      </c>
      <c r="J13" s="446">
        <v>73449.16</v>
      </c>
      <c r="K13" s="87" t="s">
        <v>257</v>
      </c>
      <c r="L13" s="87"/>
      <c r="M13" s="87"/>
      <c r="N13" s="87"/>
    </row>
    <row r="14" spans="1:14" ht="20.100000000000001" customHeight="1" x14ac:dyDescent="0.2">
      <c r="A14" s="248">
        <v>500254</v>
      </c>
      <c r="B14" s="316">
        <f>4860-3184</f>
        <v>1676</v>
      </c>
      <c r="I14" s="87">
        <v>22664</v>
      </c>
      <c r="J14" s="449">
        <v>23612.35</v>
      </c>
      <c r="K14" s="87" t="s">
        <v>259</v>
      </c>
      <c r="L14" s="87"/>
      <c r="M14" s="87"/>
      <c r="N14" s="87"/>
    </row>
    <row r="15" spans="1:14" ht="20.100000000000001" customHeight="1" x14ac:dyDescent="0.2">
      <c r="A15" s="32">
        <v>500255</v>
      </c>
      <c r="B15" s="316">
        <f>10800-3526-601</f>
        <v>6673</v>
      </c>
      <c r="I15" s="87"/>
      <c r="J15" s="446">
        <f>SUM(J11:J14)</f>
        <v>1214752.02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6">
        <v>-128</v>
      </c>
      <c r="I16" s="87"/>
      <c r="J16" s="446"/>
      <c r="K16" s="87"/>
      <c r="L16" s="87"/>
      <c r="M16" s="87"/>
      <c r="N16" s="87"/>
    </row>
    <row r="17" spans="1:14" x14ac:dyDescent="0.2">
      <c r="A17" s="280">
        <v>500267</v>
      </c>
      <c r="B17" s="341">
        <f>1524217-1484235-57314</f>
        <v>-17332</v>
      </c>
      <c r="I17" s="87"/>
      <c r="J17" s="446"/>
      <c r="K17" s="87"/>
      <c r="L17" s="87"/>
      <c r="M17" s="87"/>
      <c r="N17" s="87"/>
    </row>
    <row r="18" spans="1:14" x14ac:dyDescent="0.2">
      <c r="B18" s="14">
        <f>SUM(B8:B17)</f>
        <v>-8545</v>
      </c>
      <c r="I18" s="87"/>
      <c r="J18" s="446"/>
      <c r="K18" s="87"/>
      <c r="L18" s="87"/>
      <c r="M18" s="87"/>
      <c r="N18" s="87"/>
    </row>
    <row r="19" spans="1:14" x14ac:dyDescent="0.2">
      <c r="B19" s="15">
        <f>+summary!G5</f>
        <v>2.09</v>
      </c>
      <c r="C19" s="199">
        <f>+B19*B18</f>
        <v>-17859.05</v>
      </c>
      <c r="G19" s="32"/>
      <c r="H19" s="380"/>
      <c r="I19" s="327"/>
      <c r="J19" s="446"/>
      <c r="K19" s="87"/>
      <c r="L19" s="87"/>
      <c r="M19" s="87"/>
      <c r="N19" s="87"/>
    </row>
    <row r="20" spans="1:14" x14ac:dyDescent="0.2">
      <c r="C20" s="321">
        <f>+C19+C5</f>
        <v>1513410.51</v>
      </c>
      <c r="E20" s="15"/>
      <c r="G20" s="32"/>
      <c r="H20" s="380"/>
      <c r="I20" s="327"/>
      <c r="J20" s="446"/>
      <c r="K20" s="87"/>
      <c r="L20" s="87"/>
      <c r="M20" s="87"/>
      <c r="N20" s="87"/>
    </row>
    <row r="21" spans="1:14" x14ac:dyDescent="0.2">
      <c r="E21" s="15"/>
      <c r="G21" s="32"/>
      <c r="H21" s="380"/>
      <c r="I21" s="327"/>
      <c r="J21" s="446"/>
      <c r="K21" s="87"/>
      <c r="L21" s="87"/>
      <c r="M21" s="87"/>
      <c r="N21" s="87"/>
    </row>
    <row r="22" spans="1:14" x14ac:dyDescent="0.2">
      <c r="A22" s="32" t="s">
        <v>86</v>
      </c>
      <c r="G22" s="32"/>
      <c r="H22" s="380"/>
      <c r="I22" s="327"/>
      <c r="J22" s="446"/>
      <c r="K22" s="87"/>
      <c r="L22" s="87"/>
      <c r="M22" s="87"/>
      <c r="N22" s="87"/>
    </row>
    <row r="23" spans="1:14" x14ac:dyDescent="0.2">
      <c r="A23" s="2" t="s">
        <v>73</v>
      </c>
      <c r="G23" s="32"/>
      <c r="H23" s="380"/>
      <c r="I23" s="327"/>
      <c r="J23" s="446"/>
      <c r="K23" s="87"/>
      <c r="L23" s="87"/>
      <c r="M23" s="87"/>
      <c r="N23" s="87"/>
    </row>
    <row r="24" spans="1:14" x14ac:dyDescent="0.2">
      <c r="G24" s="32"/>
      <c r="H24" s="380"/>
      <c r="I24" s="327"/>
      <c r="J24" s="446"/>
      <c r="K24" s="87"/>
      <c r="L24" s="87"/>
      <c r="M24" s="87"/>
      <c r="N24" s="87"/>
    </row>
    <row r="25" spans="1:14" x14ac:dyDescent="0.2">
      <c r="G25" s="32"/>
      <c r="H25" s="380"/>
      <c r="I25" s="327"/>
      <c r="J25" s="446"/>
      <c r="K25" s="87"/>
      <c r="L25" s="87"/>
      <c r="M25" s="87"/>
      <c r="N25" s="87"/>
    </row>
    <row r="26" spans="1:14" x14ac:dyDescent="0.2">
      <c r="A26" s="198">
        <v>37256</v>
      </c>
      <c r="C26" s="546">
        <v>275313.71999999997</v>
      </c>
      <c r="G26" s="32"/>
      <c r="H26" s="15"/>
      <c r="I26" s="327"/>
      <c r="J26" s="446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46"/>
      <c r="K27" s="87"/>
      <c r="L27" s="87"/>
      <c r="M27" s="87"/>
      <c r="N27" s="87"/>
    </row>
    <row r="28" spans="1:14" x14ac:dyDescent="0.2">
      <c r="A28" s="57">
        <v>37276</v>
      </c>
      <c r="G28" s="32"/>
      <c r="H28" s="15"/>
      <c r="I28" s="87"/>
      <c r="J28" s="446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46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46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46"/>
      <c r="K31" s="87"/>
      <c r="L31" s="87"/>
      <c r="M31" s="87"/>
      <c r="N31" s="87"/>
    </row>
    <row r="32" spans="1:14" x14ac:dyDescent="0.2">
      <c r="B32" s="15">
        <f>+summary!G4</f>
        <v>2.08</v>
      </c>
      <c r="C32" s="199">
        <f>+B32*B31</f>
        <v>0</v>
      </c>
    </row>
    <row r="33" spans="1:9" x14ac:dyDescent="0.2">
      <c r="C33" s="321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149</v>
      </c>
      <c r="F37" s="352">
        <v>24268</v>
      </c>
      <c r="G37" s="352">
        <v>24693</v>
      </c>
      <c r="H37" s="352">
        <v>24361</v>
      </c>
    </row>
    <row r="38" spans="1:9" x14ac:dyDescent="0.2">
      <c r="A38" s="32" t="s">
        <v>74</v>
      </c>
      <c r="E38" s="49">
        <f>+A5</f>
        <v>37256</v>
      </c>
      <c r="F38" s="524">
        <v>378562</v>
      </c>
      <c r="G38" s="538">
        <v>117857</v>
      </c>
      <c r="H38" s="524">
        <v>186976</v>
      </c>
      <c r="I38" s="14"/>
    </row>
    <row r="39" spans="1:9" x14ac:dyDescent="0.2">
      <c r="E39" s="49">
        <f>+A7</f>
        <v>37283</v>
      </c>
      <c r="F39" s="350">
        <f>+B18</f>
        <v>-8545</v>
      </c>
      <c r="G39" s="350">
        <f>+B31</f>
        <v>0</v>
      </c>
      <c r="H39" s="350">
        <f>+B46</f>
        <v>5498</v>
      </c>
      <c r="I39" s="14"/>
    </row>
    <row r="40" spans="1:9" x14ac:dyDescent="0.2">
      <c r="A40" s="49">
        <v>37256</v>
      </c>
      <c r="C40" s="546">
        <v>842376.79</v>
      </c>
      <c r="F40" s="14">
        <f>+F39+F38</f>
        <v>370017</v>
      </c>
      <c r="G40" s="14">
        <f>+G39+G38</f>
        <v>117857</v>
      </c>
      <c r="H40" s="14">
        <f>+H39+H38</f>
        <v>192474</v>
      </c>
      <c r="I40" s="14">
        <f>+H40+G40+F40</f>
        <v>680348</v>
      </c>
    </row>
    <row r="41" spans="1:9" x14ac:dyDescent="0.2">
      <c r="G41" s="32"/>
      <c r="H41" s="15"/>
      <c r="I41" s="32"/>
    </row>
    <row r="42" spans="1:9" x14ac:dyDescent="0.2">
      <c r="A42" s="245">
        <v>37283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>
        <f>2865+92</f>
        <v>2957</v>
      </c>
      <c r="G44" s="32"/>
      <c r="H44" s="381"/>
      <c r="I44" s="14"/>
    </row>
    <row r="45" spans="1:9" x14ac:dyDescent="0.2">
      <c r="A45" s="32">
        <v>500392</v>
      </c>
      <c r="B45" s="250">
        <f>2447+94</f>
        <v>2541</v>
      </c>
      <c r="G45" s="32"/>
      <c r="H45" s="381"/>
      <c r="I45" s="14"/>
    </row>
    <row r="46" spans="1:9" x14ac:dyDescent="0.2">
      <c r="B46" s="14">
        <f>SUM(B43:B45)</f>
        <v>5498</v>
      </c>
      <c r="G46" s="32"/>
      <c r="H46" s="381"/>
      <c r="I46" s="14"/>
    </row>
    <row r="47" spans="1:9" x14ac:dyDescent="0.2">
      <c r="B47" s="199">
        <f>+summary!G5</f>
        <v>2.09</v>
      </c>
      <c r="C47" s="199">
        <f>+B47*B46</f>
        <v>11490.82</v>
      </c>
      <c r="H47" s="381"/>
      <c r="I47" s="14"/>
    </row>
    <row r="48" spans="1:9" x14ac:dyDescent="0.2">
      <c r="C48" s="321">
        <f>+C47+C40</f>
        <v>853867.61</v>
      </c>
      <c r="E48" s="204"/>
      <c r="H48" s="381"/>
      <c r="I48" s="14"/>
    </row>
    <row r="49" spans="1:9" x14ac:dyDescent="0.2">
      <c r="E49" s="213"/>
      <c r="H49" s="381"/>
      <c r="I49" s="14"/>
    </row>
    <row r="50" spans="1:9" x14ac:dyDescent="0.2">
      <c r="E50" s="204"/>
      <c r="H50" s="381"/>
      <c r="I50" s="14"/>
    </row>
    <row r="51" spans="1:9" x14ac:dyDescent="0.2">
      <c r="C51" s="310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547">
        <v>73445.08</v>
      </c>
      <c r="D53" s="32" t="s">
        <v>119</v>
      </c>
      <c r="E53" s="50"/>
      <c r="H53" s="381">
        <v>21665</v>
      </c>
      <c r="I53" s="538">
        <v>36401</v>
      </c>
    </row>
    <row r="54" spans="1:9" x14ac:dyDescent="0.2">
      <c r="A54" s="32">
        <v>22664</v>
      </c>
      <c r="B54" s="15" t="s">
        <v>137</v>
      </c>
      <c r="C54" s="548">
        <v>23612.35</v>
      </c>
      <c r="D54" s="32" t="s">
        <v>120</v>
      </c>
      <c r="H54" s="381">
        <v>22664</v>
      </c>
      <c r="I54" s="549">
        <v>18932</v>
      </c>
    </row>
    <row r="55" spans="1:9" x14ac:dyDescent="0.2">
      <c r="H55" s="382"/>
      <c r="I55" s="16"/>
    </row>
    <row r="56" spans="1:9" x14ac:dyDescent="0.2">
      <c r="C56" s="421"/>
    </row>
    <row r="57" spans="1:9" x14ac:dyDescent="0.2">
      <c r="C57" s="315">
        <f>+C54+C53+C48+C33+C20</f>
        <v>2739649.27</v>
      </c>
      <c r="I57" s="14">
        <f>SUM(I40:I54)</f>
        <v>735681</v>
      </c>
    </row>
    <row r="61" spans="1:9" x14ac:dyDescent="0.2">
      <c r="C61" s="15">
        <f>+DEFS!F49</f>
        <v>-2816109.41</v>
      </c>
    </row>
    <row r="62" spans="1:9" x14ac:dyDescent="0.2">
      <c r="C62" s="15">
        <f>+C61+C57</f>
        <v>-76460.14000000013</v>
      </c>
      <c r="I62" s="31">
        <f>+I57+DEFS!K49</f>
        <v>292243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7" workbookViewId="0">
      <selection activeCell="B40" sqref="B40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2">
        <v>23995</v>
      </c>
      <c r="C1" s="231"/>
      <c r="D1" s="311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">
      <c r="A4" s="10">
        <v>1</v>
      </c>
      <c r="B4" s="11"/>
      <c r="C4" s="11"/>
      <c r="D4" s="11">
        <v>23592</v>
      </c>
      <c r="E4" s="11">
        <v>24000</v>
      </c>
      <c r="F4" s="11">
        <f>+E4+C4-D4-B4</f>
        <v>408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24358</v>
      </c>
      <c r="E5" s="11">
        <v>24000</v>
      </c>
      <c r="F5" s="11">
        <f t="shared" ref="F5:F34" si="0">+E5+C5-D5-B5</f>
        <v>-358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24506</v>
      </c>
      <c r="E6" s="11">
        <v>24000</v>
      </c>
      <c r="F6" s="11">
        <f t="shared" si="0"/>
        <v>-506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24638</v>
      </c>
      <c r="E7" s="11">
        <v>24000</v>
      </c>
      <c r="F7" s="11">
        <f t="shared" si="0"/>
        <v>-638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24617</v>
      </c>
      <c r="E8" s="11">
        <v>24000</v>
      </c>
      <c r="F8" s="11">
        <f t="shared" si="0"/>
        <v>-617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24627</v>
      </c>
      <c r="E9" s="11">
        <v>24000</v>
      </c>
      <c r="F9" s="11">
        <f t="shared" si="0"/>
        <v>-627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24565</v>
      </c>
      <c r="E10" s="11">
        <v>24000</v>
      </c>
      <c r="F10" s="11">
        <f t="shared" si="0"/>
        <v>-565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>
        <v>24616</v>
      </c>
      <c r="E11" s="11">
        <v>24000</v>
      </c>
      <c r="F11" s="11">
        <f t="shared" si="0"/>
        <v>-616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>
        <v>24626</v>
      </c>
      <c r="E12" s="11">
        <v>24000</v>
      </c>
      <c r="F12" s="11">
        <f t="shared" si="0"/>
        <v>-626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>
        <v>24629</v>
      </c>
      <c r="E13" s="11">
        <v>24000</v>
      </c>
      <c r="F13" s="11">
        <f t="shared" si="0"/>
        <v>-629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>
        <v>24633</v>
      </c>
      <c r="E14" s="11">
        <v>24000</v>
      </c>
      <c r="F14" s="11">
        <f t="shared" si="0"/>
        <v>-633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>
        <v>23308</v>
      </c>
      <c r="E15" s="11">
        <v>24000</v>
      </c>
      <c r="F15" s="11">
        <f t="shared" si="0"/>
        <v>692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>
        <v>24655</v>
      </c>
      <c r="E16" s="11">
        <v>24000</v>
      </c>
      <c r="F16" s="11">
        <f t="shared" si="0"/>
        <v>-655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>
        <v>25210</v>
      </c>
      <c r="E17" s="11">
        <v>24000</v>
      </c>
      <c r="F17" s="11">
        <f t="shared" si="0"/>
        <v>-1210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>
        <v>24932</v>
      </c>
      <c r="E18" s="11">
        <v>24000</v>
      </c>
      <c r="F18" s="11">
        <f t="shared" si="0"/>
        <v>-932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>
        <v>24697</v>
      </c>
      <c r="E19" s="11">
        <v>24000</v>
      </c>
      <c r="F19" s="11">
        <f t="shared" si="0"/>
        <v>-697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>
        <v>24663</v>
      </c>
      <c r="E20" s="11">
        <v>24000</v>
      </c>
      <c r="F20" s="11">
        <f t="shared" si="0"/>
        <v>-663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>
        <v>24599</v>
      </c>
      <c r="E21" s="11">
        <v>24000</v>
      </c>
      <c r="F21" s="11">
        <f t="shared" si="0"/>
        <v>-599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>
        <v>24683</v>
      </c>
      <c r="E22" s="11">
        <v>24000</v>
      </c>
      <c r="F22" s="11">
        <f t="shared" si="0"/>
        <v>-683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>
        <v>24690</v>
      </c>
      <c r="E23" s="11">
        <v>23812</v>
      </c>
      <c r="F23" s="11">
        <f t="shared" si="0"/>
        <v>-878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>
        <v>24674</v>
      </c>
      <c r="E24" s="11">
        <v>24000</v>
      </c>
      <c r="F24" s="11">
        <f t="shared" si="0"/>
        <v>-674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>
        <v>24691</v>
      </c>
      <c r="E25" s="11">
        <v>24000</v>
      </c>
      <c r="F25" s="11">
        <f t="shared" si="0"/>
        <v>-691</v>
      </c>
      <c r="I25" s="11"/>
      <c r="J25" s="24"/>
    </row>
    <row r="26" spans="1:10" x14ac:dyDescent="0.2">
      <c r="A26" s="10">
        <v>23</v>
      </c>
      <c r="B26" s="11"/>
      <c r="C26" s="11"/>
      <c r="D26" s="11">
        <v>24709</v>
      </c>
      <c r="E26" s="11">
        <v>24000</v>
      </c>
      <c r="F26" s="11">
        <f t="shared" si="0"/>
        <v>-709</v>
      </c>
      <c r="I26" s="11"/>
      <c r="J26" s="24"/>
    </row>
    <row r="27" spans="1:10" x14ac:dyDescent="0.2">
      <c r="A27" s="10">
        <v>24</v>
      </c>
      <c r="B27" s="11"/>
      <c r="C27" s="11"/>
      <c r="D27" s="11">
        <v>24684</v>
      </c>
      <c r="E27" s="11">
        <v>24000</v>
      </c>
      <c r="F27" s="11">
        <f t="shared" si="0"/>
        <v>-684</v>
      </c>
      <c r="I27" s="11"/>
      <c r="J27" s="24"/>
    </row>
    <row r="28" spans="1:10" x14ac:dyDescent="0.2">
      <c r="A28" s="10">
        <v>25</v>
      </c>
      <c r="B28" s="11"/>
      <c r="C28" s="11"/>
      <c r="D28" s="11">
        <v>24687</v>
      </c>
      <c r="E28" s="11">
        <v>24000</v>
      </c>
      <c r="F28" s="11">
        <f t="shared" si="0"/>
        <v>-687</v>
      </c>
      <c r="I28" s="11"/>
      <c r="J28" s="24"/>
    </row>
    <row r="29" spans="1:10" x14ac:dyDescent="0.2">
      <c r="A29" s="10">
        <v>26</v>
      </c>
      <c r="B29" s="11"/>
      <c r="C29" s="11"/>
      <c r="D29" s="11">
        <v>24670</v>
      </c>
      <c r="E29" s="11">
        <v>24000</v>
      </c>
      <c r="F29" s="11">
        <f t="shared" si="0"/>
        <v>-670</v>
      </c>
      <c r="I29" s="11"/>
      <c r="J29" s="24"/>
    </row>
    <row r="30" spans="1:10" x14ac:dyDescent="0.2">
      <c r="A30" s="10">
        <v>27</v>
      </c>
      <c r="B30" s="11"/>
      <c r="C30" s="11"/>
      <c r="D30" s="11">
        <v>24693</v>
      </c>
      <c r="E30" s="11">
        <v>24000</v>
      </c>
      <c r="F30" s="11">
        <f t="shared" si="0"/>
        <v>-693</v>
      </c>
      <c r="I30" s="11"/>
      <c r="J30" s="24"/>
    </row>
    <row r="31" spans="1:10" x14ac:dyDescent="0.2">
      <c r="A31" s="10">
        <v>28</v>
      </c>
      <c r="B31" s="11"/>
      <c r="C31" s="11"/>
      <c r="D31" s="11">
        <v>28607</v>
      </c>
      <c r="E31" s="11">
        <v>24350</v>
      </c>
      <c r="F31" s="11">
        <f t="shared" si="0"/>
        <v>-4257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2">
        <v>23995</v>
      </c>
      <c r="J33" s="352">
        <v>22051</v>
      </c>
      <c r="K33" s="352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37256</v>
      </c>
      <c r="I34" s="524">
        <v>-183022</v>
      </c>
      <c r="J34" s="524">
        <v>-128597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692259</v>
      </c>
      <c r="E35" s="11">
        <f>SUM(E4:E34)</f>
        <v>672162</v>
      </c>
      <c r="F35" s="11">
        <f>SUM(F4:F34)</f>
        <v>-20097</v>
      </c>
      <c r="G35" s="11"/>
      <c r="H35" s="49">
        <f>+A40</f>
        <v>37285</v>
      </c>
      <c r="I35" s="350">
        <f>+C36</f>
        <v>0</v>
      </c>
      <c r="J35" s="350">
        <f>+E36</f>
        <v>-20097</v>
      </c>
      <c r="K35" s="206"/>
      <c r="L35" s="14"/>
    </row>
    <row r="36" spans="1:13" x14ac:dyDescent="0.2">
      <c r="C36" s="25">
        <f>+C35-B35</f>
        <v>0</v>
      </c>
      <c r="E36" s="25">
        <f>+E35-D35</f>
        <v>-20097</v>
      </c>
      <c r="F36" s="25">
        <f>+E36+C36</f>
        <v>-20097</v>
      </c>
      <c r="H36" s="32"/>
      <c r="I36" s="14">
        <f>+I35+I34</f>
        <v>-183022</v>
      </c>
      <c r="J36" s="14">
        <f>+J35+J34</f>
        <v>-148694</v>
      </c>
      <c r="K36" s="14">
        <f>+J36+I36</f>
        <v>-331716</v>
      </c>
      <c r="L36" s="14"/>
    </row>
    <row r="37" spans="1:13" x14ac:dyDescent="0.2">
      <c r="C37" s="313">
        <f>+summary!G5</f>
        <v>2.09</v>
      </c>
      <c r="E37" s="104">
        <f>+C37</f>
        <v>2.09</v>
      </c>
      <c r="F37" s="138">
        <f>+F36*E37</f>
        <v>-42002.729999999996</v>
      </c>
    </row>
    <row r="38" spans="1:13" x14ac:dyDescent="0.2">
      <c r="C38" s="138">
        <f>+C37*C36</f>
        <v>0</v>
      </c>
      <c r="E38" s="136">
        <f>+E37*E36</f>
        <v>-42002.729999999996</v>
      </c>
      <c r="F38" s="138">
        <f>+E38+C38</f>
        <v>-42002.729999999996</v>
      </c>
    </row>
    <row r="39" spans="1:13" x14ac:dyDescent="0.2">
      <c r="A39" s="57">
        <v>37256</v>
      </c>
      <c r="B39" s="2" t="s">
        <v>45</v>
      </c>
      <c r="C39" s="545">
        <v>-1033420.01</v>
      </c>
      <c r="D39" s="320"/>
      <c r="E39" s="534">
        <v>-571850.34</v>
      </c>
      <c r="F39" s="319">
        <f>+E39+C39</f>
        <v>-1605270.35</v>
      </c>
    </row>
    <row r="40" spans="1:13" x14ac:dyDescent="0.2">
      <c r="A40" s="57">
        <v>37285</v>
      </c>
      <c r="B40" s="2" t="s">
        <v>45</v>
      </c>
      <c r="C40" s="314">
        <f>+C39+C38</f>
        <v>-1033420.01</v>
      </c>
      <c r="D40" s="252"/>
      <c r="E40" s="314">
        <f>+E39+E38</f>
        <v>-613853.06999999995</v>
      </c>
      <c r="F40" s="314">
        <f>+E40+C40</f>
        <v>-1647273.08</v>
      </c>
      <c r="H40" s="131"/>
    </row>
    <row r="41" spans="1:13" x14ac:dyDescent="0.2">
      <c r="C41" s="329"/>
      <c r="D41" s="246"/>
      <c r="E41" s="246"/>
      <c r="H41" s="31">
        <f>+C39+E39+F45+F46+F47+F48</f>
        <v>-2774106.6800000006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</row>
    <row r="44" spans="1:13" x14ac:dyDescent="0.2">
      <c r="C44" s="246"/>
      <c r="D44" s="246"/>
      <c r="E44" s="12">
        <v>22864</v>
      </c>
      <c r="F44" s="458">
        <v>0</v>
      </c>
      <c r="G44" s="249" t="s">
        <v>47</v>
      </c>
      <c r="J44" s="12">
        <v>22864</v>
      </c>
      <c r="K44" s="444"/>
    </row>
    <row r="45" spans="1:13" x14ac:dyDescent="0.2">
      <c r="C45" s="246"/>
      <c r="D45" s="246"/>
      <c r="E45" s="12">
        <v>20379</v>
      </c>
      <c r="F45" s="546">
        <v>-51695.87</v>
      </c>
      <c r="G45" s="249" t="s">
        <v>122</v>
      </c>
      <c r="J45" s="12">
        <v>20379</v>
      </c>
      <c r="K45" s="538">
        <v>2979</v>
      </c>
      <c r="M45" s="14"/>
    </row>
    <row r="46" spans="1:13" x14ac:dyDescent="0.2">
      <c r="C46" s="246"/>
      <c r="D46" s="246"/>
      <c r="E46" s="12">
        <v>26357</v>
      </c>
      <c r="F46" s="543">
        <f>44144.84-58339.66</f>
        <v>-14194.820000000007</v>
      </c>
      <c r="G46" s="249" t="s">
        <v>123</v>
      </c>
      <c r="J46" s="12">
        <v>26357</v>
      </c>
      <c r="K46" s="538">
        <f>26521-24566</f>
        <v>1955</v>
      </c>
    </row>
    <row r="47" spans="1:13" x14ac:dyDescent="0.2">
      <c r="C47" s="246"/>
      <c r="D47" s="246"/>
      <c r="E47" s="12">
        <v>21544</v>
      </c>
      <c r="F47" s="546">
        <v>61340.160000000003</v>
      </c>
      <c r="G47" s="249" t="s">
        <v>124</v>
      </c>
      <c r="J47" s="12">
        <v>21544</v>
      </c>
      <c r="K47" s="538">
        <v>36108</v>
      </c>
    </row>
    <row r="48" spans="1:13" x14ac:dyDescent="0.2">
      <c r="C48" s="246"/>
      <c r="D48" s="246"/>
      <c r="E48" s="12">
        <v>24532</v>
      </c>
      <c r="F48" s="544">
        <v>-1164285.8</v>
      </c>
      <c r="G48" s="249" t="s">
        <v>121</v>
      </c>
      <c r="J48" s="12">
        <v>24532</v>
      </c>
      <c r="K48" s="524">
        <v>-152764</v>
      </c>
    </row>
    <row r="49" spans="3:13" x14ac:dyDescent="0.2">
      <c r="C49" s="246"/>
      <c r="D49" s="246"/>
      <c r="F49" s="330">
        <f>SUM(F40:F48)</f>
        <v>-2816109.41</v>
      </c>
      <c r="G49" s="246"/>
      <c r="K49" s="14">
        <f>SUM(K36:K48)</f>
        <v>-443438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2739649.27</v>
      </c>
      <c r="M51" s="14">
        <f>+Duke!I57</f>
        <v>735681</v>
      </c>
    </row>
    <row r="53" spans="3:13" x14ac:dyDescent="0.2">
      <c r="F53" s="104">
        <f>+F51+F49</f>
        <v>-76460.14000000013</v>
      </c>
      <c r="M53" s="16">
        <f>+M51+K49</f>
        <v>292243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5"/>
    </row>
    <row r="63" spans="3:13" x14ac:dyDescent="0.2">
      <c r="F63" s="345"/>
    </row>
    <row r="64" spans="3:13" x14ac:dyDescent="0.2">
      <c r="F64" s="345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-152764</v>
      </c>
      <c r="C69" s="247">
        <f>+F48</f>
        <v>-1164285.8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-183022</v>
      </c>
      <c r="C73" s="247">
        <f>+C40</f>
        <v>-1033420.01</v>
      </c>
    </row>
    <row r="74" spans="1:3" x14ac:dyDescent="0.2">
      <c r="A74">
        <v>22051</v>
      </c>
      <c r="B74" s="31">
        <f>+J36</f>
        <v>-148694</v>
      </c>
      <c r="C74" s="247">
        <f>+E40</f>
        <v>-613853.06999999995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192474</v>
      </c>
      <c r="C77" s="259">
        <f>+Duke!C48</f>
        <v>853867.61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370017</v>
      </c>
      <c r="C79" s="259">
        <f>+Duke!C20</f>
        <v>1513410.51</v>
      </c>
    </row>
    <row r="81" spans="2:3" x14ac:dyDescent="0.2">
      <c r="B81" s="31">
        <f>SUM(B68:B80)</f>
        <v>292243</v>
      </c>
      <c r="C81" s="259">
        <f>SUM(C68:C80)</f>
        <v>-76460.14000000013</v>
      </c>
    </row>
    <row r="82" spans="2:3" x14ac:dyDescent="0.2">
      <c r="C82">
        <f>+C81/B81</f>
        <v>-0.26163206646523657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5" workbookViewId="0">
      <selection activeCell="H37" sqref="H37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65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6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5471</v>
      </c>
      <c r="C8" s="11">
        <v>5741</v>
      </c>
      <c r="D8" s="11">
        <v>1041</v>
      </c>
      <c r="E8" s="11">
        <v>1125</v>
      </c>
      <c r="F8" s="129">
        <v>1062</v>
      </c>
      <c r="G8" s="11">
        <v>872</v>
      </c>
      <c r="H8" s="11">
        <v>1490</v>
      </c>
      <c r="I8" s="11">
        <v>1123</v>
      </c>
      <c r="J8" s="25">
        <f>+C8-B8+E8-D8+G8-F8+I8-H8</f>
        <v>-203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5369</v>
      </c>
      <c r="C9" s="11">
        <v>5741</v>
      </c>
      <c r="D9" s="11">
        <v>815</v>
      </c>
      <c r="E9" s="11">
        <v>1125</v>
      </c>
      <c r="F9" s="129">
        <v>1031</v>
      </c>
      <c r="G9" s="11">
        <v>872</v>
      </c>
      <c r="H9" s="11">
        <v>1504</v>
      </c>
      <c r="I9" s="11">
        <v>1123</v>
      </c>
      <c r="J9" s="25">
        <f t="shared" ref="J9:J38" si="0">+C9-B9+E9-D9+G9-F9+I9-H9</f>
        <v>142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5302</v>
      </c>
      <c r="C10" s="11">
        <v>5741</v>
      </c>
      <c r="D10" s="11">
        <v>762</v>
      </c>
      <c r="E10" s="11">
        <v>1125</v>
      </c>
      <c r="F10" s="129">
        <v>986</v>
      </c>
      <c r="G10" s="11">
        <v>872</v>
      </c>
      <c r="H10" s="11">
        <v>1644</v>
      </c>
      <c r="I10" s="11">
        <v>1123</v>
      </c>
      <c r="J10" s="25">
        <f t="shared" si="0"/>
        <v>167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3429</v>
      </c>
      <c r="C11" s="11">
        <v>5741</v>
      </c>
      <c r="D11" s="11">
        <v>400</v>
      </c>
      <c r="E11" s="11">
        <v>1125</v>
      </c>
      <c r="F11" s="129">
        <v>953</v>
      </c>
      <c r="G11" s="11">
        <v>872</v>
      </c>
      <c r="H11" s="11">
        <v>1516</v>
      </c>
      <c r="I11" s="11">
        <v>1123</v>
      </c>
      <c r="J11" s="25">
        <f t="shared" si="0"/>
        <v>2563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5207</v>
      </c>
      <c r="C12" s="11">
        <v>5741</v>
      </c>
      <c r="D12" s="11"/>
      <c r="E12" s="11">
        <v>1125</v>
      </c>
      <c r="F12" s="129">
        <v>927</v>
      </c>
      <c r="G12" s="11">
        <v>872</v>
      </c>
      <c r="H12" s="11">
        <v>1465</v>
      </c>
      <c r="I12" s="11">
        <v>1123</v>
      </c>
      <c r="J12" s="25">
        <f t="shared" si="0"/>
        <v>1262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5669</v>
      </c>
      <c r="C13" s="11">
        <v>5741</v>
      </c>
      <c r="D13" s="11">
        <v>358</v>
      </c>
      <c r="E13" s="11">
        <v>1125</v>
      </c>
      <c r="F13" s="129">
        <v>921</v>
      </c>
      <c r="G13" s="11">
        <v>872</v>
      </c>
      <c r="H13" s="11">
        <v>1438</v>
      </c>
      <c r="I13" s="11">
        <v>1123</v>
      </c>
      <c r="J13" s="25">
        <f t="shared" si="0"/>
        <v>475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6151</v>
      </c>
      <c r="C14" s="11">
        <v>5741</v>
      </c>
      <c r="D14" s="11"/>
      <c r="E14" s="11">
        <v>1125</v>
      </c>
      <c r="F14" s="129">
        <v>821</v>
      </c>
      <c r="G14" s="11">
        <v>872</v>
      </c>
      <c r="H14" s="11">
        <v>1413</v>
      </c>
      <c r="I14" s="129">
        <v>1123</v>
      </c>
      <c r="J14" s="25">
        <f t="shared" si="0"/>
        <v>476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6148</v>
      </c>
      <c r="C15" s="11">
        <v>5741</v>
      </c>
      <c r="D15" s="11">
        <v>678</v>
      </c>
      <c r="E15" s="11">
        <v>1125</v>
      </c>
      <c r="F15" s="129">
        <v>1002</v>
      </c>
      <c r="G15" s="11">
        <v>872</v>
      </c>
      <c r="H15" s="11">
        <v>1398</v>
      </c>
      <c r="I15" s="11">
        <v>1123</v>
      </c>
      <c r="J15" s="25">
        <f t="shared" si="0"/>
        <v>-365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5873</v>
      </c>
      <c r="C16" s="11">
        <v>5741</v>
      </c>
      <c r="D16" s="11">
        <v>803</v>
      </c>
      <c r="E16" s="11">
        <v>1125</v>
      </c>
      <c r="F16" s="129">
        <v>979</v>
      </c>
      <c r="G16" s="11">
        <v>872</v>
      </c>
      <c r="H16" s="11">
        <v>1695</v>
      </c>
      <c r="I16" s="11">
        <v>1123</v>
      </c>
      <c r="J16" s="25">
        <f t="shared" si="0"/>
        <v>-489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5548</v>
      </c>
      <c r="C17" s="11">
        <v>5741</v>
      </c>
      <c r="D17" s="11">
        <v>1069</v>
      </c>
      <c r="E17" s="11">
        <v>1124</v>
      </c>
      <c r="F17" s="129">
        <v>985</v>
      </c>
      <c r="G17" s="11">
        <v>872</v>
      </c>
      <c r="H17" s="11">
        <v>1531</v>
      </c>
      <c r="I17" s="11">
        <v>1123</v>
      </c>
      <c r="J17" s="25">
        <f t="shared" si="0"/>
        <v>-273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5525</v>
      </c>
      <c r="C18" s="11">
        <v>5741</v>
      </c>
      <c r="D18" s="11">
        <v>1322</v>
      </c>
      <c r="E18" s="11">
        <v>125</v>
      </c>
      <c r="F18" s="129">
        <v>994</v>
      </c>
      <c r="G18" s="11">
        <v>872</v>
      </c>
      <c r="H18" s="11">
        <v>1481</v>
      </c>
      <c r="I18" s="11">
        <v>1123</v>
      </c>
      <c r="J18" s="25">
        <f t="shared" si="0"/>
        <v>-1461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5676</v>
      </c>
      <c r="C19" s="11">
        <v>5741</v>
      </c>
      <c r="D19" s="11">
        <v>1071</v>
      </c>
      <c r="E19" s="11">
        <v>125</v>
      </c>
      <c r="F19" s="129">
        <v>969</v>
      </c>
      <c r="G19" s="11">
        <v>872</v>
      </c>
      <c r="H19" s="11">
        <v>1439</v>
      </c>
      <c r="I19" s="11">
        <v>1123</v>
      </c>
      <c r="J19" s="25">
        <f t="shared" si="0"/>
        <v>-1294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5786</v>
      </c>
      <c r="C20" s="11">
        <v>5741</v>
      </c>
      <c r="D20" s="11">
        <v>746</v>
      </c>
      <c r="E20" s="11">
        <v>125</v>
      </c>
      <c r="F20" s="129">
        <v>983</v>
      </c>
      <c r="G20" s="11">
        <v>872</v>
      </c>
      <c r="H20" s="11">
        <v>1427</v>
      </c>
      <c r="I20" s="11">
        <v>1123</v>
      </c>
      <c r="J20" s="25">
        <f t="shared" si="0"/>
        <v>-1081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6107</v>
      </c>
      <c r="C21" s="11">
        <v>5741</v>
      </c>
      <c r="D21" s="11">
        <v>962</v>
      </c>
      <c r="E21" s="11">
        <v>125</v>
      </c>
      <c r="F21" s="129">
        <v>617</v>
      </c>
      <c r="G21" s="11">
        <v>872</v>
      </c>
      <c r="H21" s="11">
        <v>1418</v>
      </c>
      <c r="I21" s="11">
        <v>1123</v>
      </c>
      <c r="J21" s="25">
        <f t="shared" si="0"/>
        <v>-1243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6068</v>
      </c>
      <c r="C22" s="11">
        <v>5741</v>
      </c>
      <c r="D22" s="11">
        <v>777</v>
      </c>
      <c r="E22" s="11">
        <v>125</v>
      </c>
      <c r="F22" s="129">
        <v>811</v>
      </c>
      <c r="G22" s="11">
        <v>872</v>
      </c>
      <c r="H22" s="11">
        <v>1663</v>
      </c>
      <c r="I22" s="11">
        <v>1123</v>
      </c>
      <c r="J22" s="25">
        <f t="shared" si="0"/>
        <v>-1458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6099</v>
      </c>
      <c r="C23" s="11">
        <v>5741</v>
      </c>
      <c r="D23" s="11">
        <v>484</v>
      </c>
      <c r="E23" s="11">
        <v>95</v>
      </c>
      <c r="F23" s="129">
        <v>1066</v>
      </c>
      <c r="G23" s="11">
        <v>662</v>
      </c>
      <c r="H23" s="11">
        <v>1472</v>
      </c>
      <c r="I23" s="11">
        <v>1123</v>
      </c>
      <c r="J23" s="25">
        <f t="shared" si="0"/>
        <v>-1500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>
        <v>5842</v>
      </c>
      <c r="C24" s="11">
        <v>4241</v>
      </c>
      <c r="D24" s="11">
        <v>584</v>
      </c>
      <c r="E24" s="11">
        <v>125</v>
      </c>
      <c r="F24" s="129">
        <v>1015</v>
      </c>
      <c r="G24" s="11">
        <v>872</v>
      </c>
      <c r="H24" s="11">
        <v>1444</v>
      </c>
      <c r="I24" s="11">
        <v>1123</v>
      </c>
      <c r="J24" s="25">
        <f t="shared" si="0"/>
        <v>-2524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>
        <v>5631</v>
      </c>
      <c r="C25" s="11">
        <v>4241</v>
      </c>
      <c r="D25" s="11">
        <v>401</v>
      </c>
      <c r="E25" s="11">
        <v>125</v>
      </c>
      <c r="F25" s="129">
        <v>1000</v>
      </c>
      <c r="G25" s="11">
        <v>872</v>
      </c>
      <c r="H25" s="11">
        <v>1409</v>
      </c>
      <c r="I25" s="11">
        <v>1123</v>
      </c>
      <c r="J25" s="25">
        <f t="shared" si="0"/>
        <v>-2080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>
        <v>5880</v>
      </c>
      <c r="C26" s="11">
        <v>4241</v>
      </c>
      <c r="D26" s="11">
        <v>494</v>
      </c>
      <c r="E26" s="11">
        <v>125</v>
      </c>
      <c r="F26" s="129">
        <v>985</v>
      </c>
      <c r="G26" s="11">
        <v>872</v>
      </c>
      <c r="H26" s="11">
        <v>1397</v>
      </c>
      <c r="I26" s="11">
        <v>1123</v>
      </c>
      <c r="J26" s="25">
        <f t="shared" si="0"/>
        <v>-2395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>
        <v>5162</v>
      </c>
      <c r="C27" s="11">
        <v>4241</v>
      </c>
      <c r="D27" s="11">
        <v>540</v>
      </c>
      <c r="E27" s="11">
        <v>125</v>
      </c>
      <c r="F27" s="129">
        <v>986</v>
      </c>
      <c r="G27" s="11">
        <v>872</v>
      </c>
      <c r="H27" s="11">
        <v>1373</v>
      </c>
      <c r="I27" s="11">
        <v>1123</v>
      </c>
      <c r="J27" s="25">
        <f t="shared" si="0"/>
        <v>-1700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>
        <v>3353</v>
      </c>
      <c r="C28" s="11">
        <v>4241</v>
      </c>
      <c r="D28" s="11">
        <v>424</v>
      </c>
      <c r="E28" s="11">
        <v>125</v>
      </c>
      <c r="F28" s="129">
        <v>946</v>
      </c>
      <c r="G28" s="11">
        <v>872</v>
      </c>
      <c r="H28" s="11">
        <v>1650</v>
      </c>
      <c r="I28" s="11">
        <v>1123</v>
      </c>
      <c r="J28" s="25">
        <f t="shared" si="0"/>
        <v>-12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>
        <v>6538</v>
      </c>
      <c r="C29" s="11">
        <v>4241</v>
      </c>
      <c r="D29" s="11">
        <v>331</v>
      </c>
      <c r="E29" s="11">
        <v>125</v>
      </c>
      <c r="F29" s="129">
        <v>900</v>
      </c>
      <c r="G29" s="11">
        <v>872</v>
      </c>
      <c r="H29" s="11">
        <v>1503</v>
      </c>
      <c r="I29" s="11">
        <v>1123</v>
      </c>
      <c r="J29" s="25">
        <f t="shared" si="0"/>
        <v>-2911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>
        <v>3258</v>
      </c>
      <c r="C30" s="11">
        <v>4238</v>
      </c>
      <c r="D30" s="11">
        <v>225</v>
      </c>
      <c r="E30" s="11">
        <v>125</v>
      </c>
      <c r="F30" s="129">
        <v>995</v>
      </c>
      <c r="G30" s="11">
        <v>872</v>
      </c>
      <c r="H30" s="11">
        <v>1352</v>
      </c>
      <c r="I30" s="11">
        <v>1123</v>
      </c>
      <c r="J30" s="25">
        <f t="shared" si="0"/>
        <v>528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>
        <v>6451</v>
      </c>
      <c r="C31" s="11">
        <v>4241</v>
      </c>
      <c r="D31" s="11">
        <v>372</v>
      </c>
      <c r="E31" s="11">
        <v>125</v>
      </c>
      <c r="F31" s="129">
        <v>978</v>
      </c>
      <c r="G31" s="11">
        <v>872</v>
      </c>
      <c r="H31" s="11">
        <v>1509</v>
      </c>
      <c r="I31" s="11">
        <v>1123</v>
      </c>
      <c r="J31" s="25">
        <f t="shared" si="0"/>
        <v>-2949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>
        <v>6351</v>
      </c>
      <c r="C32" s="11">
        <v>4241</v>
      </c>
      <c r="D32" s="11">
        <v>286</v>
      </c>
      <c r="E32" s="11">
        <v>125</v>
      </c>
      <c r="F32" s="129">
        <v>952</v>
      </c>
      <c r="G32" s="11">
        <v>872</v>
      </c>
      <c r="H32" s="11">
        <v>1429</v>
      </c>
      <c r="I32" s="11">
        <v>1123</v>
      </c>
      <c r="J32" s="25">
        <f t="shared" si="0"/>
        <v>-2657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>
        <v>6094</v>
      </c>
      <c r="C33" s="11">
        <v>4241</v>
      </c>
      <c r="D33" s="11">
        <v>337</v>
      </c>
      <c r="E33" s="11">
        <v>125</v>
      </c>
      <c r="F33" s="129">
        <v>929</v>
      </c>
      <c r="G33" s="11">
        <v>872</v>
      </c>
      <c r="H33" s="11">
        <v>1410</v>
      </c>
      <c r="I33" s="11">
        <v>1123</v>
      </c>
      <c r="J33" s="25">
        <f t="shared" si="0"/>
        <v>-2409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>
        <v>5524</v>
      </c>
      <c r="C34" s="11">
        <v>4241</v>
      </c>
      <c r="D34" s="11"/>
      <c r="E34" s="11">
        <v>125</v>
      </c>
      <c r="F34" s="129">
        <v>948</v>
      </c>
      <c r="G34" s="11">
        <v>872</v>
      </c>
      <c r="H34" s="11">
        <v>1401</v>
      </c>
      <c r="I34" s="11">
        <v>1123</v>
      </c>
      <c r="J34" s="25">
        <f t="shared" si="0"/>
        <v>-1512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>
        <v>5575</v>
      </c>
      <c r="C35" s="11">
        <v>4241</v>
      </c>
      <c r="D35" s="11">
        <v>211</v>
      </c>
      <c r="E35" s="11">
        <v>125</v>
      </c>
      <c r="F35" s="129">
        <v>936</v>
      </c>
      <c r="G35" s="11">
        <v>872</v>
      </c>
      <c r="H35" s="11">
        <v>1382</v>
      </c>
      <c r="I35" s="11">
        <v>1123</v>
      </c>
      <c r="J35" s="25">
        <f t="shared" si="0"/>
        <v>-1743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>
        <v>5178</v>
      </c>
      <c r="C36" s="11">
        <v>4241</v>
      </c>
      <c r="D36" s="11">
        <v>172</v>
      </c>
      <c r="E36" s="11">
        <v>125</v>
      </c>
      <c r="F36" s="129">
        <v>924</v>
      </c>
      <c r="G36" s="11">
        <v>872</v>
      </c>
      <c r="H36" s="11">
        <v>1565</v>
      </c>
      <c r="I36" s="11">
        <v>1123</v>
      </c>
      <c r="J36" s="25">
        <f t="shared" si="0"/>
        <v>-1478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>
        <v>5190</v>
      </c>
      <c r="C37" s="11">
        <v>4241</v>
      </c>
      <c r="D37" s="11">
        <v>246</v>
      </c>
      <c r="E37" s="11">
        <v>125</v>
      </c>
      <c r="F37" s="129">
        <v>900</v>
      </c>
      <c r="G37" s="11">
        <v>872</v>
      </c>
      <c r="H37" s="11">
        <v>1464</v>
      </c>
      <c r="I37" s="11">
        <v>1123</v>
      </c>
      <c r="J37" s="25">
        <f t="shared" si="0"/>
        <v>-1439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165455</v>
      </c>
      <c r="C39" s="11">
        <f t="shared" si="1"/>
        <v>151227</v>
      </c>
      <c r="D39" s="11">
        <f t="shared" si="1"/>
        <v>15911</v>
      </c>
      <c r="E39" s="11">
        <f t="shared" si="1"/>
        <v>13719</v>
      </c>
      <c r="F39" s="129">
        <f t="shared" si="1"/>
        <v>28501</v>
      </c>
      <c r="G39" s="11">
        <f t="shared" si="1"/>
        <v>25950</v>
      </c>
      <c r="H39" s="11">
        <f t="shared" si="1"/>
        <v>44282</v>
      </c>
      <c r="I39" s="11">
        <f t="shared" si="1"/>
        <v>33690</v>
      </c>
      <c r="J39" s="25">
        <f t="shared" si="1"/>
        <v>-29563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+summary!G4</f>
        <v>2.08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-61491.040000000001</v>
      </c>
      <c r="L41"/>
      <c r="R41" s="138"/>
      <c r="X41" s="138"/>
    </row>
    <row r="42" spans="1:24" x14ac:dyDescent="0.2">
      <c r="A42" s="57">
        <v>37256</v>
      </c>
      <c r="C42" s="15"/>
      <c r="J42" s="529">
        <v>406899.92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37286</v>
      </c>
      <c r="C43" s="48"/>
      <c r="J43" s="138">
        <f>+J42+J41</f>
        <v>345408.88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149</v>
      </c>
      <c r="B46" s="32"/>
      <c r="C46" s="32"/>
      <c r="D46" s="32"/>
      <c r="L46"/>
    </row>
    <row r="47" spans="1:24" x14ac:dyDescent="0.2">
      <c r="A47" s="49">
        <f>+A42</f>
        <v>37256</v>
      </c>
      <c r="B47" s="32"/>
      <c r="C47" s="32"/>
      <c r="D47" s="524">
        <v>166968</v>
      </c>
      <c r="L47"/>
    </row>
    <row r="48" spans="1:24" x14ac:dyDescent="0.2">
      <c r="A48" s="49">
        <f>+A43</f>
        <v>37286</v>
      </c>
      <c r="B48" s="32"/>
      <c r="C48" s="32"/>
      <c r="D48" s="350">
        <f>+J39</f>
        <v>-29563</v>
      </c>
      <c r="L48"/>
    </row>
    <row r="49" spans="1:12" x14ac:dyDescent="0.2">
      <c r="A49" s="32"/>
      <c r="B49" s="32"/>
      <c r="C49" s="32"/>
      <c r="D49" s="14">
        <f>+D48+D47</f>
        <v>137405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2" workbookViewId="0">
      <selection activeCell="A44" sqref="A44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181</v>
      </c>
      <c r="C6" s="285"/>
      <c r="D6" s="34" t="s">
        <v>182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4" t="s">
        <v>10</v>
      </c>
      <c r="B7" s="429" t="s">
        <v>19</v>
      </c>
      <c r="C7" s="429" t="s">
        <v>20</v>
      </c>
      <c r="D7" s="429" t="s">
        <v>19</v>
      </c>
      <c r="E7" s="429" t="s">
        <v>20</v>
      </c>
      <c r="F7" s="429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30">
        <v>1</v>
      </c>
      <c r="B8" s="411">
        <v>13305</v>
      </c>
      <c r="C8" s="411">
        <v>1998</v>
      </c>
      <c r="D8" s="411">
        <v>-4206</v>
      </c>
      <c r="E8" s="411"/>
      <c r="F8" s="307">
        <f>+C8-B8+E8-D8</f>
        <v>-7101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30">
        <v>2</v>
      </c>
      <c r="B9" s="411">
        <v>1426</v>
      </c>
      <c r="C9" s="411">
        <v>1998</v>
      </c>
      <c r="D9" s="411">
        <v>-1924</v>
      </c>
      <c r="E9" s="411"/>
      <c r="F9" s="307">
        <f t="shared" ref="F9:F38" si="0">+C9-B9+E9-D9</f>
        <v>2496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30">
        <v>3</v>
      </c>
      <c r="B10" s="411">
        <v>2</v>
      </c>
      <c r="C10" s="411">
        <v>1333</v>
      </c>
      <c r="D10" s="411"/>
      <c r="E10" s="411"/>
      <c r="F10" s="307">
        <f t="shared" si="0"/>
        <v>1331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30">
        <v>4</v>
      </c>
      <c r="B11" s="411">
        <v>585</v>
      </c>
      <c r="C11" s="411"/>
      <c r="D11" s="411">
        <v>-861</v>
      </c>
      <c r="E11" s="411"/>
      <c r="F11" s="307">
        <f t="shared" si="0"/>
        <v>276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30">
        <v>5</v>
      </c>
      <c r="B12" s="411"/>
      <c r="C12" s="411"/>
      <c r="D12" s="411"/>
      <c r="E12" s="411"/>
      <c r="F12" s="307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30">
        <v>6</v>
      </c>
      <c r="B13" s="411"/>
      <c r="C13" s="411"/>
      <c r="D13" s="411"/>
      <c r="E13" s="411"/>
      <c r="F13" s="307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30">
        <v>7</v>
      </c>
      <c r="B14" s="411"/>
      <c r="C14" s="411"/>
      <c r="D14" s="411"/>
      <c r="E14" s="411"/>
      <c r="F14" s="307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30">
        <v>8</v>
      </c>
      <c r="B15" s="411">
        <v>801</v>
      </c>
      <c r="C15" s="411"/>
      <c r="D15" s="411"/>
      <c r="E15" s="411"/>
      <c r="F15" s="307">
        <f t="shared" si="0"/>
        <v>-801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30">
        <v>9</v>
      </c>
      <c r="B16" s="411"/>
      <c r="C16" s="411"/>
      <c r="D16" s="411"/>
      <c r="E16" s="411"/>
      <c r="F16" s="307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30">
        <v>10</v>
      </c>
      <c r="B17" s="411"/>
      <c r="C17" s="411"/>
      <c r="D17" s="411"/>
      <c r="E17" s="411"/>
      <c r="F17" s="307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30">
        <v>11</v>
      </c>
      <c r="B18" s="411"/>
      <c r="C18" s="411"/>
      <c r="D18" s="411"/>
      <c r="E18" s="411"/>
      <c r="F18" s="307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30">
        <v>12</v>
      </c>
      <c r="B19" s="411"/>
      <c r="C19" s="411"/>
      <c r="D19" s="411"/>
      <c r="E19" s="411"/>
      <c r="F19" s="30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30">
        <v>13</v>
      </c>
      <c r="B20" s="411"/>
      <c r="C20" s="411"/>
      <c r="D20" s="411"/>
      <c r="E20" s="411"/>
      <c r="F20" s="30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30">
        <v>14</v>
      </c>
      <c r="B21" s="411"/>
      <c r="C21" s="411"/>
      <c r="D21" s="411"/>
      <c r="E21" s="411"/>
      <c r="F21" s="30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30">
        <v>15</v>
      </c>
      <c r="B22" s="411"/>
      <c r="C22" s="411"/>
      <c r="D22" s="411"/>
      <c r="E22" s="411"/>
      <c r="F22" s="30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30">
        <v>16</v>
      </c>
      <c r="B23" s="411"/>
      <c r="C23" s="411"/>
      <c r="D23" s="411"/>
      <c r="E23" s="411"/>
      <c r="F23" s="30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30">
        <v>17</v>
      </c>
      <c r="B24" s="411"/>
      <c r="C24" s="411"/>
      <c r="D24" s="411"/>
      <c r="E24" s="411"/>
      <c r="F24" s="30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30">
        <v>18</v>
      </c>
      <c r="B25" s="411">
        <v>1092</v>
      </c>
      <c r="C25" s="411"/>
      <c r="D25" s="411"/>
      <c r="E25" s="411"/>
      <c r="F25" s="307">
        <f t="shared" si="0"/>
        <v>-1092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30">
        <v>19</v>
      </c>
      <c r="B26" s="411"/>
      <c r="C26" s="411"/>
      <c r="D26" s="411"/>
      <c r="E26" s="411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30">
        <v>20</v>
      </c>
      <c r="B27" s="437"/>
      <c r="C27" s="411"/>
      <c r="D27" s="411"/>
      <c r="E27" s="411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30">
        <v>21</v>
      </c>
      <c r="B28" s="411"/>
      <c r="C28" s="411"/>
      <c r="D28" s="411"/>
      <c r="E28" s="411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30">
        <v>22</v>
      </c>
      <c r="B29" s="411"/>
      <c r="C29" s="411"/>
      <c r="D29" s="411"/>
      <c r="E29" s="411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30">
        <v>23</v>
      </c>
      <c r="B30" s="411"/>
      <c r="C30" s="411"/>
      <c r="D30" s="411"/>
      <c r="E30" s="411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30">
        <v>24</v>
      </c>
      <c r="B31" s="411"/>
      <c r="C31" s="411"/>
      <c r="D31" s="411"/>
      <c r="E31" s="411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30">
        <v>25</v>
      </c>
      <c r="B32" s="411"/>
      <c r="C32" s="411"/>
      <c r="D32" s="411"/>
      <c r="E32" s="411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30">
        <v>26</v>
      </c>
      <c r="B33" s="411"/>
      <c r="C33" s="411"/>
      <c r="D33" s="411"/>
      <c r="E33" s="411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30">
        <v>27</v>
      </c>
      <c r="B34" s="411">
        <v>4419</v>
      </c>
      <c r="C34" s="411"/>
      <c r="D34" s="411"/>
      <c r="E34" s="411"/>
      <c r="F34" s="307">
        <f t="shared" si="0"/>
        <v>-4419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30">
        <v>28</v>
      </c>
      <c r="B35" s="411">
        <v>5331</v>
      </c>
      <c r="C35" s="411"/>
      <c r="D35" s="411"/>
      <c r="E35" s="411"/>
      <c r="F35" s="307">
        <f t="shared" si="0"/>
        <v>-5331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30">
        <v>29</v>
      </c>
      <c r="B36" s="411"/>
      <c r="C36" s="411"/>
      <c r="D36" s="411"/>
      <c r="E36" s="411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30">
        <v>30</v>
      </c>
      <c r="B37" s="411"/>
      <c r="C37" s="411"/>
      <c r="D37" s="411"/>
      <c r="E37" s="411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30">
        <v>31</v>
      </c>
      <c r="B38" s="411"/>
      <c r="C38" s="411"/>
      <c r="D38" s="411"/>
      <c r="E38" s="411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30"/>
      <c r="B39" s="411">
        <f>SUM(B8:B38)</f>
        <v>26961</v>
      </c>
      <c r="C39" s="411">
        <f>SUM(C8:C38)</f>
        <v>5329</v>
      </c>
      <c r="D39" s="411">
        <f>SUM(D8:D38)</f>
        <v>-6991</v>
      </c>
      <c r="E39" s="411">
        <f>SUM(E8:E38)</f>
        <v>0</v>
      </c>
      <c r="F39" s="411">
        <f>SUM(F8:F38)</f>
        <v>-14641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1"/>
      <c r="B40" s="285"/>
      <c r="C40" s="432"/>
      <c r="D40" s="432"/>
      <c r="E40" s="432"/>
      <c r="F40" s="433">
        <f>+summary!G4</f>
        <v>2.08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34">
        <f>+F40*F39</f>
        <v>-30453.280000000002</v>
      </c>
      <c r="J41" s="138"/>
      <c r="N41" s="138"/>
      <c r="R41" s="138"/>
      <c r="V41" s="138"/>
      <c r="Z41" s="138"/>
    </row>
    <row r="42" spans="1:26" ht="15" customHeight="1" x14ac:dyDescent="0.2">
      <c r="A42" s="56">
        <v>37256</v>
      </c>
      <c r="B42" s="285"/>
      <c r="C42" s="435"/>
      <c r="D42" s="435"/>
      <c r="E42" s="435"/>
      <c r="F42" s="526">
        <v>180189.83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37285</v>
      </c>
      <c r="B43" s="285"/>
      <c r="C43" s="436"/>
      <c r="D43" s="436"/>
      <c r="E43" s="436"/>
      <c r="F43" s="417">
        <f>+F42+F41</f>
        <v>149736.54999999999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149</v>
      </c>
      <c r="B46" s="32"/>
      <c r="C46" s="32"/>
      <c r="D46" s="32"/>
      <c r="E46" s="11"/>
    </row>
    <row r="47" spans="1:26" x14ac:dyDescent="0.2">
      <c r="A47" s="49">
        <f>+A42</f>
        <v>37256</v>
      </c>
      <c r="B47" s="32"/>
      <c r="C47" s="32"/>
      <c r="D47" s="524">
        <v>-354919</v>
      </c>
      <c r="E47" s="11"/>
    </row>
    <row r="48" spans="1:26" x14ac:dyDescent="0.2">
      <c r="A48" s="49">
        <f>+A43</f>
        <v>37285</v>
      </c>
      <c r="B48" s="32"/>
      <c r="C48" s="32"/>
      <c r="D48" s="350">
        <f>+F39</f>
        <v>-14641</v>
      </c>
      <c r="E48" s="11"/>
    </row>
    <row r="49" spans="1:5" x14ac:dyDescent="0.2">
      <c r="A49" s="32"/>
      <c r="B49" s="32"/>
      <c r="C49" s="32"/>
      <c r="D49" s="14">
        <f>+D48+D47</f>
        <v>-369560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67"/>
  <sheetViews>
    <sheetView tabSelected="1" workbookViewId="0">
      <selection activeCell="C56" sqref="C56"/>
    </sheetView>
  </sheetViews>
  <sheetFormatPr defaultRowHeight="12.75" x14ac:dyDescent="0.2"/>
  <cols>
    <col min="1" max="1" width="25.85546875" style="285" customWidth="1"/>
    <col min="2" max="2" width="11.140625" style="582" bestFit="1" customWidth="1"/>
    <col min="3" max="3" width="9.7109375" style="583" customWidth="1"/>
    <col min="4" max="4" width="5.140625" style="584" customWidth="1"/>
    <col min="5" max="5" width="11.140625" style="285" bestFit="1" customWidth="1"/>
    <col min="6" max="7" width="12.85546875" style="285" bestFit="1" customWidth="1"/>
    <col min="8" max="8" width="9.140625" style="285"/>
    <col min="9" max="9" width="9.28515625" style="285" bestFit="1" customWidth="1"/>
    <col min="10" max="10" width="11.28515625" style="285" bestFit="1" customWidth="1"/>
    <col min="11" max="11" width="8.42578125" style="285" customWidth="1"/>
    <col min="12" max="12" width="5.140625" style="285" customWidth="1"/>
    <col min="13" max="13" width="9.140625" style="285"/>
    <col min="14" max="14" width="9.85546875" style="586" bestFit="1" customWidth="1"/>
    <col min="15" max="15" width="9" style="587" bestFit="1" customWidth="1"/>
    <col min="16" max="16384" width="9.140625" style="285"/>
  </cols>
  <sheetData>
    <row r="2" spans="1:33" ht="17.100000000000001" customHeight="1" x14ac:dyDescent="0.2">
      <c r="A2" s="34" t="s">
        <v>140</v>
      </c>
      <c r="F2" s="363" t="s">
        <v>78</v>
      </c>
      <c r="G2" s="585"/>
    </row>
    <row r="3" spans="1:33" ht="15" customHeight="1" x14ac:dyDescent="0.2">
      <c r="F3" s="588" t="s">
        <v>29</v>
      </c>
      <c r="G3" s="589">
        <f>+'[3]1001'!$K$39</f>
        <v>2.0699999999999998</v>
      </c>
      <c r="J3" s="374">
        <f ca="1">NOW()</f>
        <v>37288.489497106479</v>
      </c>
    </row>
    <row r="4" spans="1:33" ht="15" customHeight="1" x14ac:dyDescent="0.2">
      <c r="A4" s="34" t="s">
        <v>145</v>
      </c>
      <c r="C4" s="34" t="s">
        <v>5</v>
      </c>
      <c r="F4" s="590" t="s">
        <v>30</v>
      </c>
      <c r="G4" s="591">
        <f>+'[3]1001'!$M$39</f>
        <v>2.08</v>
      </c>
    </row>
    <row r="5" spans="1:33" ht="15" customHeight="1" x14ac:dyDescent="0.2">
      <c r="B5" s="592"/>
      <c r="F5" s="588" t="s">
        <v>117</v>
      </c>
      <c r="G5" s="589">
        <f>+'[3]1001'!$E$39</f>
        <v>2.09</v>
      </c>
    </row>
    <row r="6" spans="1:33" ht="12" customHeight="1" x14ac:dyDescent="0.2">
      <c r="C6" s="440"/>
    </row>
    <row r="7" spans="1:33" ht="15" customHeight="1" x14ac:dyDescent="0.2">
      <c r="A7" s="335" t="s">
        <v>89</v>
      </c>
      <c r="B7" s="336" t="s">
        <v>16</v>
      </c>
      <c r="C7" s="337" t="s">
        <v>0</v>
      </c>
      <c r="D7" s="5" t="s">
        <v>146</v>
      </c>
      <c r="E7" s="335" t="s">
        <v>90</v>
      </c>
      <c r="F7" s="338" t="s">
        <v>322</v>
      </c>
      <c r="G7" s="338" t="s">
        <v>101</v>
      </c>
      <c r="H7" s="335" t="s">
        <v>98</v>
      </c>
    </row>
    <row r="8" spans="1:33" ht="15" customHeight="1" x14ac:dyDescent="0.2">
      <c r="A8" s="204" t="s">
        <v>249</v>
      </c>
      <c r="B8" s="346">
        <f>+Duke!$C$20</f>
        <v>1513410.51</v>
      </c>
      <c r="C8" s="206">
        <f>+B8/$G$5</f>
        <v>724119.86124401924</v>
      </c>
      <c r="D8" s="364">
        <f>+Duke!A7</f>
        <v>37283</v>
      </c>
      <c r="E8" s="204" t="s">
        <v>85</v>
      </c>
      <c r="F8" s="204" t="s">
        <v>153</v>
      </c>
      <c r="G8" s="204" t="s">
        <v>100</v>
      </c>
      <c r="H8" s="204" t="s">
        <v>333</v>
      </c>
      <c r="I8" s="70"/>
      <c r="J8" s="47"/>
      <c r="K8" s="32"/>
      <c r="L8" s="32"/>
      <c r="M8" s="32"/>
      <c r="N8" s="380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">
      <c r="A9" s="204" t="s">
        <v>256</v>
      </c>
      <c r="B9" s="346">
        <f>+Duke!$C$54+Duke!$C$53+Duke!$C$48+Duke!$C$33</f>
        <v>1226238.76</v>
      </c>
      <c r="C9" s="206">
        <f>+B9/$G$5</f>
        <v>586717.11004784692</v>
      </c>
      <c r="D9" s="364">
        <f>+DEFS!A40</f>
        <v>37285</v>
      </c>
      <c r="E9" s="204" t="s">
        <v>85</v>
      </c>
      <c r="F9" s="204" t="s">
        <v>153</v>
      </c>
      <c r="G9" s="204" t="s">
        <v>100</v>
      </c>
      <c r="H9" s="204" t="s">
        <v>332</v>
      </c>
      <c r="I9" s="32"/>
      <c r="J9" s="47"/>
      <c r="K9" s="32"/>
      <c r="L9" s="32"/>
      <c r="M9" s="32"/>
      <c r="N9" s="380"/>
      <c r="O9" s="70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">
      <c r="A10" s="32" t="s">
        <v>82</v>
      </c>
      <c r="B10" s="346">
        <f>+PNM!$D$23</f>
        <v>786688.88</v>
      </c>
      <c r="C10" s="275">
        <f>+B10/$G$4</f>
        <v>378215.80769230769</v>
      </c>
      <c r="D10" s="365">
        <f>+PNM!A23</f>
        <v>37286</v>
      </c>
      <c r="E10" s="32" t="s">
        <v>85</v>
      </c>
      <c r="F10" s="32" t="s">
        <v>323</v>
      </c>
      <c r="G10" s="32" t="s">
        <v>115</v>
      </c>
      <c r="H10" s="32"/>
      <c r="I10" s="32"/>
      <c r="J10" s="32"/>
      <c r="K10" s="32"/>
      <c r="L10" s="32"/>
      <c r="M10" s="32"/>
      <c r="N10" s="380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">
      <c r="A11" s="32" t="s">
        <v>80</v>
      </c>
      <c r="B11" s="346">
        <f>+Conoco!$F$41</f>
        <v>465198.21</v>
      </c>
      <c r="C11" s="275">
        <f>+B11/$G$4</f>
        <v>223652.98557692309</v>
      </c>
      <c r="D11" s="364">
        <f>+Conoco!A41</f>
        <v>37286</v>
      </c>
      <c r="E11" s="32" t="s">
        <v>85</v>
      </c>
      <c r="F11" s="32" t="s">
        <v>324</v>
      </c>
      <c r="G11" s="32" t="s">
        <v>113</v>
      </c>
      <c r="H11" s="32" t="s">
        <v>143</v>
      </c>
      <c r="I11" s="32"/>
      <c r="J11" s="32"/>
      <c r="K11" s="32"/>
      <c r="L11" s="32"/>
      <c r="M11" s="32"/>
      <c r="N11" s="380"/>
      <c r="O11" s="70"/>
      <c r="P11" s="32"/>
      <c r="Q11" s="32"/>
      <c r="R11" s="32"/>
      <c r="S11" s="32"/>
      <c r="T11" s="32"/>
      <c r="U11" s="15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">
      <c r="A12" s="32" t="s">
        <v>94</v>
      </c>
      <c r="B12" s="346">
        <f>+C12*$G$4</f>
        <v>373393.28</v>
      </c>
      <c r="C12" s="275">
        <f>+Mojave!D40</f>
        <v>179516</v>
      </c>
      <c r="D12" s="365">
        <f>+Mojave!A40</f>
        <v>37285</v>
      </c>
      <c r="E12" s="32" t="s">
        <v>84</v>
      </c>
      <c r="F12" s="32" t="s">
        <v>154</v>
      </c>
      <c r="G12" s="32" t="s">
        <v>100</v>
      </c>
      <c r="H12" s="32"/>
      <c r="I12" s="32"/>
      <c r="J12" s="32"/>
      <c r="K12" s="32"/>
      <c r="L12" s="32"/>
      <c r="M12" s="32"/>
      <c r="N12" s="380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5" customHeight="1" x14ac:dyDescent="0.2">
      <c r="A13" s="32" t="s">
        <v>2</v>
      </c>
      <c r="B13" s="346">
        <f>+mewborne!$J$43</f>
        <v>345408.88</v>
      </c>
      <c r="C13" s="275">
        <f>+B13/$G$4</f>
        <v>166061.96153846153</v>
      </c>
      <c r="D13" s="365">
        <f>+mewborne!A43</f>
        <v>37286</v>
      </c>
      <c r="E13" s="32" t="s">
        <v>85</v>
      </c>
      <c r="F13" s="32" t="s">
        <v>323</v>
      </c>
      <c r="G13" s="32" t="s">
        <v>99</v>
      </c>
      <c r="H13" s="32"/>
      <c r="I13" s="32"/>
      <c r="J13" s="32"/>
      <c r="K13" s="32"/>
      <c r="L13" s="32"/>
      <c r="M13" s="32"/>
      <c r="N13" s="380"/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5" customHeight="1" x14ac:dyDescent="0.2">
      <c r="A14" s="32" t="s">
        <v>107</v>
      </c>
      <c r="B14" s="346">
        <f>+KN_Westar!F41</f>
        <v>305000.43</v>
      </c>
      <c r="C14" s="275">
        <f>+B14/$G$4</f>
        <v>146634.8221153846</v>
      </c>
      <c r="D14" s="365">
        <f>+KN_Westar!A41</f>
        <v>37277</v>
      </c>
      <c r="E14" s="32" t="s">
        <v>85</v>
      </c>
      <c r="F14" s="32" t="s">
        <v>154</v>
      </c>
      <c r="G14" s="32" t="s">
        <v>100</v>
      </c>
      <c r="H14" s="32"/>
      <c r="I14" s="32"/>
      <c r="J14" s="32"/>
      <c r="K14" s="32"/>
      <c r="L14" s="32"/>
      <c r="M14" s="32"/>
      <c r="N14" s="380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">
      <c r="A15" s="32" t="s">
        <v>88</v>
      </c>
      <c r="B15" s="346">
        <f>+C15*$G$5</f>
        <v>283426.99</v>
      </c>
      <c r="C15" s="275">
        <f>+NGPL!F38</f>
        <v>135611</v>
      </c>
      <c r="D15" s="365">
        <f>+NGPL!A38</f>
        <v>37285</v>
      </c>
      <c r="E15" s="204" t="s">
        <v>84</v>
      </c>
      <c r="F15" s="32" t="s">
        <v>153</v>
      </c>
      <c r="G15" s="32" t="s">
        <v>115</v>
      </c>
      <c r="H15" s="32"/>
      <c r="I15" s="32"/>
      <c r="J15" s="32"/>
      <c r="K15" s="32"/>
      <c r="L15" s="32"/>
      <c r="M15" s="32"/>
      <c r="N15" s="380">
        <f>+B8+B9+B41</f>
        <v>-76460.14000000013</v>
      </c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">
      <c r="A16" s="204" t="s">
        <v>32</v>
      </c>
      <c r="B16" s="346">
        <f>+C16*$G$4</f>
        <v>196730.56</v>
      </c>
      <c r="C16" s="206">
        <f>+SoCal!F40</f>
        <v>94582</v>
      </c>
      <c r="D16" s="364">
        <f>+SoCal!A40</f>
        <v>37286</v>
      </c>
      <c r="E16" s="204" t="s">
        <v>84</v>
      </c>
      <c r="F16" s="204" t="s">
        <v>153</v>
      </c>
      <c r="G16" s="204" t="s">
        <v>102</v>
      </c>
      <c r="H16" s="32"/>
      <c r="I16" s="32"/>
      <c r="J16" s="32"/>
      <c r="K16" s="32"/>
      <c r="L16" s="32"/>
      <c r="M16" s="32"/>
      <c r="N16" s="380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">
      <c r="A17" s="32" t="s">
        <v>207</v>
      </c>
      <c r="B17" s="346">
        <f>+Dominion!D41</f>
        <v>174389.26</v>
      </c>
      <c r="C17" s="275">
        <f>+B17/$G$5</f>
        <v>83439.837320574166</v>
      </c>
      <c r="D17" s="365">
        <f>+Dominion!A41</f>
        <v>37286</v>
      </c>
      <c r="E17" s="32" t="s">
        <v>85</v>
      </c>
      <c r="F17" s="32" t="s">
        <v>323</v>
      </c>
      <c r="G17" s="32" t="s">
        <v>99</v>
      </c>
      <c r="H17" s="32"/>
      <c r="I17" s="32"/>
      <c r="J17" s="32"/>
      <c r="K17" s="32"/>
      <c r="L17" s="32"/>
      <c r="M17" s="32"/>
      <c r="N17" s="380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">
      <c r="A18" s="32" t="s">
        <v>31</v>
      </c>
      <c r="B18" s="346">
        <f>+C18*$G$5</f>
        <v>154454.55299999999</v>
      </c>
      <c r="C18" s="275">
        <f>+Lonestar!F43</f>
        <v>73901.7</v>
      </c>
      <c r="D18" s="364">
        <f>+Lonestar!A43</f>
        <v>37285</v>
      </c>
      <c r="E18" s="32" t="s">
        <v>84</v>
      </c>
      <c r="F18" s="32" t="s">
        <v>324</v>
      </c>
      <c r="G18" s="32" t="s">
        <v>102</v>
      </c>
      <c r="H18" s="32" t="s">
        <v>309</v>
      </c>
      <c r="I18" s="32"/>
      <c r="J18" s="32"/>
      <c r="K18" s="32"/>
      <c r="L18" s="32"/>
      <c r="M18" s="32"/>
      <c r="N18" s="380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">
      <c r="A19" s="32" t="s">
        <v>210</v>
      </c>
      <c r="B19" s="346">
        <f>+Devon!D41</f>
        <v>148248.79999999999</v>
      </c>
      <c r="C19" s="275">
        <f>+B19/$G$5</f>
        <v>70932.440191387563</v>
      </c>
      <c r="D19" s="365">
        <f>+Devon!A41</f>
        <v>37286</v>
      </c>
      <c r="E19" s="32" t="s">
        <v>85</v>
      </c>
      <c r="F19" s="32" t="s">
        <v>324</v>
      </c>
      <c r="G19" s="32" t="s">
        <v>99</v>
      </c>
      <c r="H19" s="32"/>
      <c r="I19" s="32"/>
      <c r="J19" s="32"/>
      <c r="K19" s="32"/>
      <c r="L19" s="32"/>
      <c r="M19" s="32"/>
      <c r="N19" s="380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">
      <c r="A20" s="32" t="s">
        <v>3</v>
      </c>
      <c r="B20" s="346">
        <f>+'Amoco Abo'!$F$43</f>
        <v>149736.54999999999</v>
      </c>
      <c r="C20" s="275">
        <f>+B20/$G$4</f>
        <v>71988.725961538454</v>
      </c>
      <c r="D20" s="365">
        <f>+'Amoco Abo'!A43</f>
        <v>37285</v>
      </c>
      <c r="E20" s="32" t="s">
        <v>85</v>
      </c>
      <c r="F20" s="32" t="s">
        <v>153</v>
      </c>
      <c r="G20" s="32" t="s">
        <v>115</v>
      </c>
      <c r="H20" s="32"/>
      <c r="I20" s="32"/>
      <c r="J20" s="32"/>
      <c r="K20" s="32"/>
      <c r="L20" s="32"/>
      <c r="M20" s="32"/>
      <c r="N20" s="380"/>
      <c r="O20" s="70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3.5" customHeight="1" x14ac:dyDescent="0.2">
      <c r="A21" s="443" t="s">
        <v>79</v>
      </c>
      <c r="B21" s="510">
        <f>+Agave!$D$24</f>
        <v>119385.54000000001</v>
      </c>
      <c r="C21" s="464">
        <f>+B21/$G$4</f>
        <v>57396.894230769234</v>
      </c>
      <c r="D21" s="463">
        <f>+Agave!A24</f>
        <v>37285</v>
      </c>
      <c r="E21" s="443" t="s">
        <v>85</v>
      </c>
      <c r="F21" s="443" t="s">
        <v>324</v>
      </c>
      <c r="G21" s="443" t="s">
        <v>102</v>
      </c>
      <c r="H21" s="443"/>
      <c r="I21" s="32"/>
      <c r="J21" s="32"/>
      <c r="K21" s="32"/>
      <c r="L21" s="32"/>
      <c r="M21" s="32"/>
      <c r="N21" s="380"/>
      <c r="O21" s="70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">
      <c r="A22" s="204" t="s">
        <v>330</v>
      </c>
      <c r="B22" s="346">
        <f>+Plains!$N$43</f>
        <v>107948.28</v>
      </c>
      <c r="C22" s="206">
        <f>+B22/$G$4</f>
        <v>51898.211538461539</v>
      </c>
      <c r="D22" s="364">
        <f>+Plains!A43</f>
        <v>37256</v>
      </c>
      <c r="E22" s="204" t="s">
        <v>85</v>
      </c>
      <c r="F22" s="204"/>
      <c r="G22" s="204" t="s">
        <v>100</v>
      </c>
      <c r="H22" s="204" t="s">
        <v>331</v>
      </c>
      <c r="I22" s="32"/>
      <c r="J22" s="32"/>
      <c r="K22" s="32"/>
      <c r="L22" s="32"/>
      <c r="M22" s="32" t="s">
        <v>244</v>
      </c>
      <c r="N22" s="380">
        <v>23995</v>
      </c>
      <c r="O22" s="70">
        <v>-1023166</v>
      </c>
      <c r="P22" s="32" t="s">
        <v>246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">
      <c r="A23" s="32" t="s">
        <v>218</v>
      </c>
      <c r="B23" s="346">
        <f>+Amarillo!P41</f>
        <v>91691</v>
      </c>
      <c r="C23" s="275">
        <f>+B23/$G$4</f>
        <v>44082.211538461539</v>
      </c>
      <c r="D23" s="365">
        <f>+Amarillo!A41</f>
        <v>37286</v>
      </c>
      <c r="E23" s="32" t="s">
        <v>85</v>
      </c>
      <c r="F23" s="32" t="s">
        <v>324</v>
      </c>
      <c r="G23" s="32" t="s">
        <v>113</v>
      </c>
      <c r="H23" s="32"/>
      <c r="I23" s="32"/>
      <c r="J23" s="32"/>
      <c r="K23" s="32"/>
      <c r="L23" s="32"/>
      <c r="M23" s="32" t="s">
        <v>244</v>
      </c>
      <c r="N23" s="380">
        <v>22864</v>
      </c>
      <c r="O23" s="70">
        <v>-58339.66</v>
      </c>
      <c r="P23" s="32" t="s">
        <v>247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ht="12.95" customHeight="1" x14ac:dyDescent="0.2">
      <c r="A24" s="32" t="s">
        <v>129</v>
      </c>
      <c r="B24" s="346">
        <f>+EPFS!D41</f>
        <v>88473.42</v>
      </c>
      <c r="C24" s="206">
        <f>+B24/$G$5</f>
        <v>42331.779904306219</v>
      </c>
      <c r="D24" s="364">
        <f>+EPFS!A41</f>
        <v>37286</v>
      </c>
      <c r="E24" s="32" t="s">
        <v>85</v>
      </c>
      <c r="F24" s="32" t="s">
        <v>154</v>
      </c>
      <c r="G24" s="32" t="s">
        <v>102</v>
      </c>
      <c r="H24" s="32"/>
      <c r="I24" s="15"/>
      <c r="J24" s="32"/>
      <c r="K24" s="32"/>
      <c r="L24" s="32"/>
      <c r="M24" s="32" t="s">
        <v>244</v>
      </c>
      <c r="N24" s="380">
        <v>20379</v>
      </c>
      <c r="O24" s="70">
        <v>-51695.87</v>
      </c>
      <c r="P24" s="32" t="s">
        <v>247</v>
      </c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</row>
    <row r="25" spans="1:33" ht="13.5" customHeight="1" x14ac:dyDescent="0.2">
      <c r="A25" s="32" t="s">
        <v>114</v>
      </c>
      <c r="B25" s="346">
        <f>+C25*$G$4</f>
        <v>58248.32</v>
      </c>
      <c r="C25" s="206">
        <f>+'PG&amp;E'!D40</f>
        <v>28004</v>
      </c>
      <c r="D25" s="365">
        <f>+'PG&amp;E'!A40</f>
        <v>37286</v>
      </c>
      <c r="E25" s="32" t="s">
        <v>84</v>
      </c>
      <c r="F25" s="32" t="s">
        <v>154</v>
      </c>
      <c r="G25" s="32" t="s">
        <v>102</v>
      </c>
      <c r="H25" s="32"/>
      <c r="I25" s="204"/>
      <c r="J25" s="32"/>
      <c r="K25" s="32"/>
      <c r="L25" s="32"/>
      <c r="M25" s="32" t="s">
        <v>244</v>
      </c>
      <c r="N25" s="380">
        <v>26357</v>
      </c>
      <c r="O25" s="70">
        <v>44144.84</v>
      </c>
      <c r="P25" s="32" t="s">
        <v>247</v>
      </c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</row>
    <row r="26" spans="1:33" ht="13.5" customHeight="1" x14ac:dyDescent="0.2">
      <c r="A26" s="204" t="s">
        <v>87</v>
      </c>
      <c r="B26" s="346">
        <f>+NNG!$D$24</f>
        <v>51850.18</v>
      </c>
      <c r="C26" s="275">
        <f>+B26/$G$4</f>
        <v>24927.971153846152</v>
      </c>
      <c r="D26" s="364">
        <f>+NNG!A24</f>
        <v>37285</v>
      </c>
      <c r="E26" s="204" t="s">
        <v>85</v>
      </c>
      <c r="F26" s="204" t="s">
        <v>323</v>
      </c>
      <c r="G26" s="204" t="s">
        <v>100</v>
      </c>
      <c r="H26" s="204"/>
      <c r="I26" s="32"/>
      <c r="J26" s="32"/>
      <c r="K26" s="32"/>
      <c r="L26" s="32"/>
      <c r="M26" s="32" t="s">
        <v>244</v>
      </c>
      <c r="N26" s="380">
        <v>21544</v>
      </c>
      <c r="O26" s="70">
        <v>61340.160000000003</v>
      </c>
      <c r="P26" s="32" t="s">
        <v>247</v>
      </c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pans="1:33" s="593" customFormat="1" ht="13.5" customHeight="1" x14ac:dyDescent="0.2">
      <c r="A27" s="32" t="s">
        <v>23</v>
      </c>
      <c r="B27" s="346">
        <f>+C27*$G$3</f>
        <v>45314.369999999995</v>
      </c>
      <c r="C27" s="348">
        <f>+'Red C'!$F$45</f>
        <v>21891</v>
      </c>
      <c r="D27" s="364">
        <f>+'Red C'!A45</f>
        <v>37285</v>
      </c>
      <c r="E27" s="204" t="s">
        <v>84</v>
      </c>
      <c r="F27" s="32" t="s">
        <v>153</v>
      </c>
      <c r="G27" s="32" t="s">
        <v>115</v>
      </c>
      <c r="H27" s="32"/>
      <c r="I27" s="204"/>
      <c r="J27" s="204"/>
      <c r="K27" s="204"/>
      <c r="L27" s="204"/>
      <c r="M27" s="204" t="s">
        <v>243</v>
      </c>
      <c r="N27" s="471">
        <v>24268</v>
      </c>
      <c r="O27" s="273">
        <v>1481856.66</v>
      </c>
      <c r="P27" s="273">
        <f>+O27</f>
        <v>1481856.66</v>
      </c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</row>
    <row r="28" spans="1:33" s="593" customFormat="1" ht="13.5" customHeight="1" x14ac:dyDescent="0.2">
      <c r="A28" s="32" t="s">
        <v>110</v>
      </c>
      <c r="B28" s="346">
        <f>+C28*$G$4</f>
        <v>36580.959999999999</v>
      </c>
      <c r="C28" s="275">
        <f>+CIG!D42</f>
        <v>17587</v>
      </c>
      <c r="D28" s="365">
        <f>+CIG!A42</f>
        <v>37278</v>
      </c>
      <c r="E28" s="204" t="s">
        <v>84</v>
      </c>
      <c r="F28" s="32" t="s">
        <v>154</v>
      </c>
      <c r="G28" s="32" t="s">
        <v>113</v>
      </c>
      <c r="H28" s="32"/>
      <c r="I28" s="204"/>
      <c r="J28" s="204"/>
      <c r="K28" s="204"/>
      <c r="L28" s="204"/>
      <c r="M28" s="204"/>
      <c r="N28" s="471"/>
      <c r="O28" s="273"/>
      <c r="P28" s="273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s="593" customFormat="1" ht="13.5" customHeight="1" x14ac:dyDescent="0.2">
      <c r="A29" s="204" t="s">
        <v>109</v>
      </c>
      <c r="B29" s="346">
        <f>+Continental!F43</f>
        <v>29738</v>
      </c>
      <c r="C29" s="206">
        <f t="shared" ref="C29:C35" si="0">+B29/$G$4</f>
        <v>14297.115384615385</v>
      </c>
      <c r="D29" s="364">
        <f>+Continental!A43</f>
        <v>37286</v>
      </c>
      <c r="E29" s="204" t="s">
        <v>85</v>
      </c>
      <c r="F29" s="204" t="s">
        <v>154</v>
      </c>
      <c r="G29" s="204" t="s">
        <v>115</v>
      </c>
      <c r="H29" s="204"/>
      <c r="I29" s="204"/>
      <c r="J29" s="204"/>
      <c r="K29" s="204"/>
      <c r="L29" s="204"/>
      <c r="M29" s="204" t="s">
        <v>245</v>
      </c>
      <c r="N29" s="471">
        <v>24361</v>
      </c>
      <c r="O29" s="273">
        <v>811179.69</v>
      </c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</row>
    <row r="30" spans="1:33" s="593" customFormat="1" ht="13.5" customHeight="1" x14ac:dyDescent="0.2">
      <c r="A30" s="32" t="s">
        <v>320</v>
      </c>
      <c r="B30" s="346">
        <f>+Stratland!$D$41</f>
        <v>33990.339999999997</v>
      </c>
      <c r="C30" s="275">
        <f t="shared" si="0"/>
        <v>16341.509615384613</v>
      </c>
      <c r="D30" s="364">
        <f>+Stratland!A41</f>
        <v>37271</v>
      </c>
      <c r="E30" s="32" t="s">
        <v>85</v>
      </c>
      <c r="F30" s="32" t="s">
        <v>323</v>
      </c>
      <c r="G30" s="32" t="s">
        <v>102</v>
      </c>
      <c r="H30" s="32"/>
      <c r="I30" s="204"/>
      <c r="J30" s="204"/>
      <c r="K30" s="204"/>
      <c r="L30" s="204"/>
      <c r="M30" s="204"/>
      <c r="N30" s="471"/>
      <c r="O30" s="273"/>
      <c r="P30" s="273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</row>
    <row r="31" spans="1:33" ht="13.5" customHeight="1" x14ac:dyDescent="0.2">
      <c r="A31" s="204" t="s">
        <v>71</v>
      </c>
      <c r="B31" s="347">
        <f>+transcol!$D$43</f>
        <v>29433.96</v>
      </c>
      <c r="C31" s="348">
        <f t="shared" si="0"/>
        <v>14150.942307692307</v>
      </c>
      <c r="D31" s="364">
        <f>+transcol!A43</f>
        <v>37285</v>
      </c>
      <c r="E31" s="204" t="s">
        <v>85</v>
      </c>
      <c r="F31" s="204" t="s">
        <v>153</v>
      </c>
      <c r="G31" s="204" t="s">
        <v>115</v>
      </c>
      <c r="H31" s="32"/>
      <c r="I31" s="204"/>
      <c r="J31" s="32"/>
      <c r="K31" s="32"/>
      <c r="L31" s="32"/>
      <c r="M31" s="32" t="s">
        <v>244</v>
      </c>
      <c r="N31" s="380">
        <v>26357</v>
      </c>
      <c r="O31" s="70">
        <v>44144.84</v>
      </c>
      <c r="P31" s="32" t="s">
        <v>247</v>
      </c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</row>
    <row r="32" spans="1:33" s="593" customFormat="1" ht="13.5" customHeight="1" x14ac:dyDescent="0.2">
      <c r="A32" s="32" t="s">
        <v>302</v>
      </c>
      <c r="B32" s="346">
        <f>+'WTG inc'!N43</f>
        <v>29167.530000000002</v>
      </c>
      <c r="C32" s="275">
        <f t="shared" si="0"/>
        <v>14022.850961538463</v>
      </c>
      <c r="D32" s="365">
        <f>+'WTG inc'!A43</f>
        <v>37285</v>
      </c>
      <c r="E32" s="32" t="s">
        <v>85</v>
      </c>
      <c r="F32" s="32" t="s">
        <v>153</v>
      </c>
      <c r="G32" s="32" t="s">
        <v>115</v>
      </c>
      <c r="H32" s="204"/>
      <c r="I32" s="204"/>
      <c r="J32" s="204"/>
      <c r="K32" s="204"/>
      <c r="L32" s="204"/>
      <c r="M32" s="204"/>
      <c r="N32" s="471"/>
      <c r="O32" s="273"/>
      <c r="P32" s="204"/>
      <c r="Q32" s="204"/>
      <c r="R32" s="204"/>
      <c r="S32" s="204"/>
      <c r="T32" s="204"/>
      <c r="U32" s="204"/>
      <c r="V32" s="204"/>
      <c r="W32" s="204"/>
      <c r="X32" s="204"/>
      <c r="Y32" s="204"/>
      <c r="Z32" s="204"/>
      <c r="AA32" s="204"/>
      <c r="AB32" s="204"/>
      <c r="AC32" s="204"/>
      <c r="AD32" s="204"/>
      <c r="AE32" s="204"/>
      <c r="AF32" s="204"/>
      <c r="AG32" s="204"/>
    </row>
    <row r="33" spans="1:33" ht="15" customHeight="1" x14ac:dyDescent="0.2">
      <c r="A33" s="204" t="s">
        <v>139</v>
      </c>
      <c r="B33" s="346">
        <f>+'Citizens-Griffith'!D41</f>
        <v>7181.2400000000052</v>
      </c>
      <c r="C33" s="275">
        <f t="shared" si="0"/>
        <v>3452.5192307692332</v>
      </c>
      <c r="D33" s="364">
        <f>+'Citizens-Griffith'!A41</f>
        <v>37286</v>
      </c>
      <c r="E33" s="204" t="s">
        <v>85</v>
      </c>
      <c r="F33" s="204" t="s">
        <v>324</v>
      </c>
      <c r="G33" s="204" t="s">
        <v>99</v>
      </c>
      <c r="H33" s="204"/>
      <c r="I33" s="32"/>
      <c r="J33" s="32"/>
      <c r="K33" s="32"/>
      <c r="L33" s="32"/>
      <c r="M33" s="32"/>
      <c r="N33" s="380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s="593" customFormat="1" ht="13.5" customHeight="1" x14ac:dyDescent="0.2">
      <c r="A34" s="204" t="s">
        <v>147</v>
      </c>
      <c r="B34" s="346">
        <f>+PGETX!$H$39</f>
        <v>10062.320000000007</v>
      </c>
      <c r="C34" s="275">
        <f>+B34/$G$4</f>
        <v>4837.6538461538494</v>
      </c>
      <c r="D34" s="364">
        <f>+PGETX!E39</f>
        <v>37286</v>
      </c>
      <c r="E34" s="204" t="s">
        <v>85</v>
      </c>
      <c r="F34" s="204" t="s">
        <v>154</v>
      </c>
      <c r="G34" s="204" t="s">
        <v>102</v>
      </c>
      <c r="H34" s="204"/>
      <c r="I34" s="204"/>
      <c r="J34" s="204"/>
      <c r="K34" s="204"/>
      <c r="L34" s="204"/>
      <c r="M34" s="204"/>
      <c r="N34" s="471"/>
      <c r="O34" s="273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204"/>
      <c r="AA34" s="204"/>
      <c r="AB34" s="204"/>
      <c r="AC34" s="204"/>
      <c r="AD34" s="204"/>
      <c r="AE34" s="204"/>
      <c r="AF34" s="204"/>
      <c r="AG34" s="204"/>
    </row>
    <row r="35" spans="1:33" s="593" customFormat="1" ht="13.5" customHeight="1" x14ac:dyDescent="0.2">
      <c r="A35" s="32" t="s">
        <v>103</v>
      </c>
      <c r="B35" s="346">
        <f>+EOG!$J$41</f>
        <v>24200.53</v>
      </c>
      <c r="C35" s="275">
        <f t="shared" si="0"/>
        <v>11634.870192307691</v>
      </c>
      <c r="D35" s="364">
        <f>+EOG!A41</f>
        <v>37285</v>
      </c>
      <c r="E35" s="32" t="s">
        <v>85</v>
      </c>
      <c r="F35" s="32" t="s">
        <v>323</v>
      </c>
      <c r="G35" s="32" t="s">
        <v>102</v>
      </c>
      <c r="H35" s="32"/>
      <c r="I35" s="204"/>
      <c r="J35" s="204"/>
      <c r="K35" s="204"/>
      <c r="L35" s="204"/>
      <c r="M35" s="204"/>
      <c r="N35" s="471"/>
      <c r="O35" s="273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</row>
    <row r="36" spans="1:33" ht="13.5" customHeight="1" x14ac:dyDescent="0.2">
      <c r="A36" s="32" t="s">
        <v>131</v>
      </c>
      <c r="B36" s="346">
        <f>+SidR!D41</f>
        <v>4498.8900000000003</v>
      </c>
      <c r="C36" s="275">
        <f>+B36/$G$5</f>
        <v>2152.5789473684213</v>
      </c>
      <c r="D36" s="365">
        <f>+SidR!A41</f>
        <v>37286</v>
      </c>
      <c r="E36" s="32" t="s">
        <v>85</v>
      </c>
      <c r="F36" s="32" t="s">
        <v>152</v>
      </c>
      <c r="G36" s="32" t="s">
        <v>102</v>
      </c>
      <c r="H36" s="32"/>
      <c r="I36" s="32"/>
      <c r="J36" s="32"/>
      <c r="K36" s="32"/>
      <c r="L36" s="32"/>
      <c r="M36" s="32"/>
      <c r="N36" s="380"/>
      <c r="O36" s="70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spans="1:33" s="593" customFormat="1" ht="13.5" customHeight="1" x14ac:dyDescent="0.2">
      <c r="A37" s="204" t="s">
        <v>33</v>
      </c>
      <c r="B37" s="349">
        <f>+'El Paso'!C39*summary!G4+'El Paso'!E39*summary!G3</f>
        <v>6714.0000000000291</v>
      </c>
      <c r="C37" s="71">
        <f>+'El Paso'!H39</f>
        <v>2933</v>
      </c>
      <c r="D37" s="364">
        <f>+'El Paso'!A39</f>
        <v>37285</v>
      </c>
      <c r="E37" s="204" t="s">
        <v>84</v>
      </c>
      <c r="F37" s="204" t="s">
        <v>154</v>
      </c>
      <c r="G37" s="204" t="s">
        <v>100</v>
      </c>
      <c r="H37" s="204"/>
      <c r="I37" s="204"/>
      <c r="J37" s="204"/>
      <c r="K37" s="204"/>
      <c r="L37" s="204"/>
      <c r="M37" s="204"/>
      <c r="N37" s="471"/>
      <c r="O37" s="273"/>
      <c r="P37" s="204"/>
      <c r="Q37" s="204"/>
      <c r="R37" s="204"/>
      <c r="S37" s="204"/>
      <c r="T37" s="204"/>
      <c r="U37" s="204"/>
      <c r="V37" s="204"/>
      <c r="W37" s="204"/>
      <c r="X37" s="204"/>
      <c r="Y37" s="204"/>
      <c r="Z37" s="204"/>
      <c r="AA37" s="204"/>
      <c r="AB37" s="204"/>
      <c r="AC37" s="204"/>
      <c r="AD37" s="204"/>
      <c r="AE37" s="204"/>
      <c r="AF37" s="204"/>
      <c r="AG37" s="204"/>
    </row>
    <row r="38" spans="1:33" ht="18" customHeight="1" x14ac:dyDescent="0.2">
      <c r="A38" s="32" t="s">
        <v>96</v>
      </c>
      <c r="B38" s="47">
        <f>SUM(B8:B37)</f>
        <v>6896804.5429999996</v>
      </c>
      <c r="C38" s="69">
        <f>SUM(C8:C37)</f>
        <v>3307316.3605401181</v>
      </c>
      <c r="D38" s="203"/>
      <c r="E38" s="32"/>
      <c r="F38" s="32"/>
      <c r="G38" s="32"/>
      <c r="H38" s="32"/>
      <c r="I38" s="32"/>
      <c r="J38" s="32"/>
      <c r="K38" s="32"/>
      <c r="L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ht="15" customHeight="1" x14ac:dyDescent="0.2">
      <c r="A39" s="32"/>
      <c r="B39" s="47"/>
      <c r="C39" s="69"/>
      <c r="D39" s="203"/>
      <c r="E39" s="32"/>
      <c r="F39" s="351"/>
      <c r="G39" s="351"/>
      <c r="H39" s="32"/>
      <c r="I39" s="32"/>
      <c r="J39" s="32"/>
      <c r="K39" s="32"/>
      <c r="L39" s="32"/>
      <c r="M39" s="32"/>
      <c r="N39" s="380"/>
      <c r="O39" s="70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5" customHeight="1" x14ac:dyDescent="0.2">
      <c r="A40" s="335" t="s">
        <v>89</v>
      </c>
      <c r="B40" s="336" t="s">
        <v>16</v>
      </c>
      <c r="C40" s="337" t="s">
        <v>0</v>
      </c>
      <c r="D40" s="344" t="s">
        <v>146</v>
      </c>
      <c r="E40" s="335" t="s">
        <v>90</v>
      </c>
      <c r="F40" s="338" t="s">
        <v>101</v>
      </c>
      <c r="G40" s="338" t="s">
        <v>101</v>
      </c>
      <c r="H40" s="335" t="s">
        <v>98</v>
      </c>
      <c r="I40" s="32"/>
      <c r="J40" s="32"/>
      <c r="K40" s="32"/>
      <c r="L40" s="32"/>
      <c r="M40" s="32"/>
      <c r="N40" s="380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5" customHeight="1" x14ac:dyDescent="0.2">
      <c r="A41" s="204" t="s">
        <v>248</v>
      </c>
      <c r="B41" s="347">
        <f>+DEFS!$C$40+DEFS!$E$40+DEFS!$F$44+DEFS!$F$45+DEFS!$F$46+DEFS!$F$47+DEFS!$F$48</f>
        <v>-2816109.41</v>
      </c>
      <c r="C41" s="348">
        <f>+B41/$G$5</f>
        <v>-1347420.7703349283</v>
      </c>
      <c r="D41" s="364">
        <f>+DEFS!A40</f>
        <v>37285</v>
      </c>
      <c r="E41" s="204" t="s">
        <v>85</v>
      </c>
      <c r="F41" s="32" t="s">
        <v>153</v>
      </c>
      <c r="G41" s="32" t="s">
        <v>100</v>
      </c>
      <c r="H41" s="32" t="s">
        <v>333</v>
      </c>
      <c r="I41" s="32"/>
      <c r="J41" s="32"/>
      <c r="K41" s="32"/>
      <c r="L41" s="32"/>
      <c r="M41" s="32"/>
      <c r="N41" s="380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2.95" customHeight="1" x14ac:dyDescent="0.2">
      <c r="A42" s="204" t="s">
        <v>135</v>
      </c>
      <c r="B42" s="346">
        <f>+Citizens!D18</f>
        <v>-549367.83000000007</v>
      </c>
      <c r="C42" s="206">
        <f>+B42/$G$4</f>
        <v>-264119.14903846156</v>
      </c>
      <c r="D42" s="364">
        <f>+Citizens!A18</f>
        <v>37282</v>
      </c>
      <c r="E42" s="204" t="s">
        <v>85</v>
      </c>
      <c r="F42" s="204" t="s">
        <v>324</v>
      </c>
      <c r="G42" s="204" t="s">
        <v>99</v>
      </c>
      <c r="H42" s="352"/>
      <c r="I42" s="32"/>
      <c r="J42" s="32"/>
      <c r="K42" s="32"/>
      <c r="L42" s="32"/>
      <c r="M42" s="32"/>
      <c r="N42" s="380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2.95" customHeight="1" x14ac:dyDescent="0.2">
      <c r="A43" s="32" t="s">
        <v>133</v>
      </c>
      <c r="B43" s="346">
        <f>+'NS Steel'!D41</f>
        <v>-292882.92</v>
      </c>
      <c r="C43" s="206">
        <f>+B43/$G$4</f>
        <v>-140809.09615384613</v>
      </c>
      <c r="D43" s="365">
        <f>+'NS Steel'!A41</f>
        <v>37284</v>
      </c>
      <c r="E43" s="32" t="s">
        <v>85</v>
      </c>
      <c r="F43" s="32" t="s">
        <v>154</v>
      </c>
      <c r="G43" s="32" t="s">
        <v>100</v>
      </c>
      <c r="H43" s="352"/>
      <c r="I43" s="32"/>
      <c r="J43" s="32"/>
      <c r="K43" s="32"/>
      <c r="L43" s="32"/>
      <c r="M43" s="32"/>
      <c r="N43" s="380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5" customHeight="1" x14ac:dyDescent="0.2">
      <c r="A44" s="204" t="s">
        <v>260</v>
      </c>
      <c r="B44" s="346">
        <f>+MiVida_Rich!D41</f>
        <v>-203736.06</v>
      </c>
      <c r="C44" s="206">
        <f>+B44/$G$5</f>
        <v>-97481.368421052641</v>
      </c>
      <c r="D44" s="364">
        <f>+MiVida_Rich!A41</f>
        <v>37256</v>
      </c>
      <c r="E44" s="204" t="s">
        <v>85</v>
      </c>
      <c r="F44" s="204" t="s">
        <v>152</v>
      </c>
      <c r="G44" s="204" t="s">
        <v>102</v>
      </c>
      <c r="H44" s="352"/>
      <c r="I44" s="32"/>
      <c r="J44" s="32"/>
      <c r="K44" s="32"/>
      <c r="L44" s="32"/>
      <c r="M44" s="32"/>
      <c r="N44" s="380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ht="12.95" customHeight="1" x14ac:dyDescent="0.2">
      <c r="A45" s="32" t="s">
        <v>216</v>
      </c>
      <c r="B45" s="346">
        <f>+crosstex!F41</f>
        <v>-124051.87999999999</v>
      </c>
      <c r="C45" s="206">
        <f>+B45/$G$4</f>
        <v>-59640.326923076915</v>
      </c>
      <c r="D45" s="365">
        <f>+crosstex!A41</f>
        <v>37284</v>
      </c>
      <c r="E45" s="32" t="s">
        <v>85</v>
      </c>
      <c r="F45" s="32" t="s">
        <v>152</v>
      </c>
      <c r="G45" s="32" t="s">
        <v>100</v>
      </c>
      <c r="H45" s="352"/>
      <c r="I45" s="32"/>
      <c r="J45" s="32"/>
      <c r="K45" s="32"/>
      <c r="L45" s="32"/>
      <c r="M45" s="32"/>
      <c r="N45" s="380"/>
      <c r="O45" s="70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</row>
    <row r="46" spans="1:33" s="594" customFormat="1" ht="13.5" customHeight="1" x14ac:dyDescent="0.2">
      <c r="A46" s="32" t="s">
        <v>6</v>
      </c>
      <c r="B46" s="346">
        <f>+Oasis!$D$40</f>
        <v>-41507.360000000001</v>
      </c>
      <c r="C46" s="206">
        <f>+B46/$G$5</f>
        <v>-19859.980861244021</v>
      </c>
      <c r="D46" s="365">
        <f>+Oasis!A40</f>
        <v>37285</v>
      </c>
      <c r="E46" s="32" t="s">
        <v>85</v>
      </c>
      <c r="F46" s="32" t="s">
        <v>154</v>
      </c>
      <c r="G46" s="32" t="s">
        <v>102</v>
      </c>
      <c r="H46" s="32"/>
      <c r="I46" s="249"/>
      <c r="J46" s="249"/>
      <c r="K46" s="249"/>
      <c r="L46" s="249"/>
      <c r="M46" s="32"/>
      <c r="N46" s="471"/>
      <c r="O46" s="273"/>
      <c r="P46" s="249"/>
      <c r="Q46" s="249"/>
      <c r="R46" s="249"/>
      <c r="S46" s="249"/>
      <c r="T46" s="249"/>
      <c r="U46" s="249"/>
      <c r="V46" s="249"/>
      <c r="W46" s="249"/>
      <c r="X46" s="249"/>
      <c r="Y46" s="249"/>
      <c r="Z46" s="249"/>
      <c r="AA46" s="249"/>
      <c r="AB46" s="249"/>
      <c r="AC46" s="249"/>
      <c r="AD46" s="249"/>
      <c r="AE46" s="249"/>
      <c r="AF46" s="249"/>
      <c r="AG46" s="249"/>
    </row>
    <row r="47" spans="1:33" ht="13.5" customHeight="1" x14ac:dyDescent="0.2">
      <c r="A47" s="204" t="s">
        <v>204</v>
      </c>
      <c r="B47" s="347">
        <f>+WTGmktg!J43</f>
        <v>-38263.050000000003</v>
      </c>
      <c r="C47" s="206">
        <f>+B47/$G$4</f>
        <v>-18395.697115384617</v>
      </c>
      <c r="D47" s="364">
        <f>+WTGmktg!A43</f>
        <v>37285</v>
      </c>
      <c r="E47" s="32" t="s">
        <v>85</v>
      </c>
      <c r="F47" s="204" t="s">
        <v>153</v>
      </c>
      <c r="G47" s="204" t="s">
        <v>115</v>
      </c>
      <c r="H47" s="204"/>
      <c r="I47" s="32"/>
      <c r="J47" s="32"/>
      <c r="K47" s="32"/>
      <c r="L47" s="32"/>
      <c r="M47" s="32"/>
      <c r="N47" s="380"/>
      <c r="O47" s="70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</row>
    <row r="48" spans="1:33" ht="13.5" customHeight="1" x14ac:dyDescent="0.2">
      <c r="A48" s="32" t="s">
        <v>297</v>
      </c>
      <c r="B48" s="346">
        <f>+SWGasTrans!$D$41</f>
        <v>-20365.09</v>
      </c>
      <c r="C48" s="275">
        <f>+B48/$G$4</f>
        <v>-9790.9086538461543</v>
      </c>
      <c r="D48" s="364">
        <f>+SWGasTrans!A41</f>
        <v>37285</v>
      </c>
      <c r="E48" s="32" t="s">
        <v>85</v>
      </c>
      <c r="F48" s="32" t="s">
        <v>153</v>
      </c>
      <c r="G48" s="32" t="s">
        <v>99</v>
      </c>
      <c r="H48" s="32"/>
      <c r="I48" s="32"/>
      <c r="J48" s="32"/>
      <c r="K48" s="32"/>
      <c r="L48" s="32"/>
      <c r="M48" s="32"/>
      <c r="N48" s="380"/>
      <c r="O48" s="70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ht="13.5" customHeight="1" x14ac:dyDescent="0.2">
      <c r="A49" s="32" t="s">
        <v>1</v>
      </c>
      <c r="B49" s="346">
        <f>+C49*$G$3</f>
        <v>-17849.609999999997</v>
      </c>
      <c r="C49" s="206">
        <f>+NW!$F$41</f>
        <v>-8623</v>
      </c>
      <c r="D49" s="364">
        <f>+NW!B41</f>
        <v>37284</v>
      </c>
      <c r="E49" s="32" t="s">
        <v>84</v>
      </c>
      <c r="F49" s="32" t="s">
        <v>153</v>
      </c>
      <c r="G49" s="32" t="s">
        <v>115</v>
      </c>
      <c r="H49" s="352"/>
      <c r="I49" s="32"/>
      <c r="J49" s="32"/>
      <c r="K49" s="32"/>
      <c r="L49" s="32"/>
      <c r="M49" s="32"/>
      <c r="N49" s="380"/>
      <c r="O49" s="70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</row>
    <row r="50" spans="1:33" ht="13.5" customHeight="1" x14ac:dyDescent="0.2">
      <c r="A50" s="204" t="s">
        <v>95</v>
      </c>
      <c r="B50" s="346">
        <f>+burlington!D42</f>
        <v>-13308.599999999991</v>
      </c>
      <c r="C50" s="275">
        <f>+B50/$G$3</f>
        <v>-6429.2753623188364</v>
      </c>
      <c r="D50" s="364">
        <f>+burlington!A42</f>
        <v>37286</v>
      </c>
      <c r="E50" s="204" t="s">
        <v>85</v>
      </c>
      <c r="F50" s="32" t="s">
        <v>154</v>
      </c>
      <c r="G50" s="32" t="s">
        <v>113</v>
      </c>
      <c r="H50" s="32"/>
      <c r="I50" s="32"/>
      <c r="J50" s="32"/>
      <c r="K50" s="32"/>
      <c r="L50" s="32"/>
      <c r="M50" s="32"/>
      <c r="N50" s="380"/>
      <c r="O50" s="70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</row>
    <row r="51" spans="1:33" ht="13.5" customHeight="1" x14ac:dyDescent="0.2">
      <c r="A51" s="204" t="s">
        <v>127</v>
      </c>
      <c r="B51" s="346">
        <f>+Calpine!D41</f>
        <v>-7948.4700000000012</v>
      </c>
      <c r="C51" s="206">
        <f>+B51/$G$4</f>
        <v>-3821.3798076923081</v>
      </c>
      <c r="D51" s="364">
        <f>+Calpine!A41</f>
        <v>37286</v>
      </c>
      <c r="E51" s="204" t="s">
        <v>85</v>
      </c>
      <c r="F51" s="204" t="s">
        <v>153</v>
      </c>
      <c r="G51" s="204" t="s">
        <v>99</v>
      </c>
      <c r="H51" s="204"/>
      <c r="I51" s="32"/>
      <c r="J51" s="32"/>
      <c r="K51" s="32"/>
      <c r="L51" s="32"/>
      <c r="M51" s="32"/>
      <c r="N51" s="380"/>
      <c r="O51" s="70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</row>
    <row r="52" spans="1:33" s="593" customFormat="1" ht="13.5" customHeight="1" x14ac:dyDescent="0.2">
      <c r="A52" s="204" t="s">
        <v>28</v>
      </c>
      <c r="B52" s="346">
        <f>+C52*$G$3</f>
        <v>30006.719999999998</v>
      </c>
      <c r="C52" s="275">
        <f>+williams!J40</f>
        <v>14496</v>
      </c>
      <c r="D52" s="364">
        <f>+williams!A40</f>
        <v>37286</v>
      </c>
      <c r="E52" s="204" t="s">
        <v>85</v>
      </c>
      <c r="F52" s="204" t="s">
        <v>154</v>
      </c>
      <c r="G52" s="204" t="s">
        <v>313</v>
      </c>
      <c r="H52" s="32"/>
      <c r="I52" s="204"/>
      <c r="J52" s="204"/>
      <c r="K52" s="204"/>
      <c r="L52" s="204"/>
      <c r="M52" s="204"/>
      <c r="N52" s="471"/>
      <c r="O52" s="273"/>
      <c r="P52" s="273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  <c r="AG52" s="204"/>
    </row>
    <row r="53" spans="1:33" ht="13.5" customHeight="1" x14ac:dyDescent="0.2">
      <c r="A53" s="204" t="s">
        <v>142</v>
      </c>
      <c r="B53" s="347">
        <f>+C53*$G$4</f>
        <v>-6412.64</v>
      </c>
      <c r="C53" s="348">
        <f>+PEPL!D41</f>
        <v>-3083</v>
      </c>
      <c r="D53" s="364">
        <f>+PEPL!A41</f>
        <v>37285</v>
      </c>
      <c r="E53" s="204" t="s">
        <v>84</v>
      </c>
      <c r="F53" s="204" t="s">
        <v>324</v>
      </c>
      <c r="G53" s="204" t="s">
        <v>100</v>
      </c>
      <c r="H53" s="32"/>
      <c r="I53" s="32"/>
      <c r="J53" s="32"/>
      <c r="K53" s="32"/>
      <c r="L53" s="32"/>
      <c r="M53" s="32"/>
      <c r="N53" s="380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ht="13.5" customHeight="1" x14ac:dyDescent="0.2">
      <c r="A54" s="32" t="s">
        <v>311</v>
      </c>
      <c r="B54" s="349">
        <f>+C54*$G$3</f>
        <v>-9925.65</v>
      </c>
      <c r="C54" s="71">
        <f>+Amoco!D40</f>
        <v>-4795</v>
      </c>
      <c r="D54" s="365">
        <f>+Amoco!A40</f>
        <v>37286</v>
      </c>
      <c r="E54" s="32" t="s">
        <v>84</v>
      </c>
      <c r="F54" s="32" t="s">
        <v>153</v>
      </c>
      <c r="G54" s="32" t="s">
        <v>115</v>
      </c>
      <c r="H54" s="32"/>
      <c r="I54" s="32"/>
      <c r="J54" s="32"/>
      <c r="K54" s="32"/>
      <c r="L54" s="32"/>
      <c r="M54" s="32"/>
      <c r="N54" s="380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5" customHeight="1" x14ac:dyDescent="0.2">
      <c r="A55" s="32" t="s">
        <v>97</v>
      </c>
      <c r="B55" s="346">
        <f>SUM(B41:B54)</f>
        <v>-4111721.8499999996</v>
      </c>
      <c r="C55" s="206">
        <f>SUM(C41:C54)</f>
        <v>-1969772.9526718513</v>
      </c>
      <c r="D55" s="353"/>
      <c r="E55" s="32"/>
      <c r="F55" s="32"/>
      <c r="G55" s="32"/>
      <c r="H55" s="32"/>
      <c r="I55" s="32"/>
      <c r="J55" s="32"/>
      <c r="K55" s="32"/>
      <c r="L55" s="32"/>
      <c r="M55" s="32"/>
      <c r="N55" s="380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x14ac:dyDescent="0.2">
      <c r="A56" s="32"/>
      <c r="B56" s="349"/>
      <c r="C56" s="71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80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ht="13.5" thickBot="1" x14ac:dyDescent="0.25">
      <c r="A57" s="2" t="s">
        <v>91</v>
      </c>
      <c r="B57" s="354">
        <f>+B55+B38</f>
        <v>2785082.693</v>
      </c>
      <c r="C57" s="355">
        <f>+C55+C38</f>
        <v>1337543.4078682668</v>
      </c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80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ht="12" customHeight="1" thickTop="1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80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">
      <c r="A59" s="2" t="s">
        <v>92</v>
      </c>
      <c r="B59" s="47"/>
      <c r="C59" s="291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80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80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">
      <c r="A61" s="32"/>
      <c r="B61" s="47"/>
      <c r="C61" s="69"/>
      <c r="D61" s="203"/>
      <c r="E61" s="32"/>
      <c r="F61" s="32"/>
      <c r="G61" s="32"/>
      <c r="H61" s="32"/>
      <c r="I61" s="32"/>
      <c r="J61" s="32"/>
      <c r="K61" s="32"/>
      <c r="L61" s="32"/>
      <c r="M61" s="32"/>
      <c r="N61" s="380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">
      <c r="A62" s="32"/>
      <c r="B62" s="47"/>
      <c r="C62" s="69"/>
      <c r="D62" s="203"/>
      <c r="E62" s="32"/>
      <c r="F62" s="32"/>
      <c r="G62" s="32"/>
      <c r="H62" s="32"/>
      <c r="I62" s="32"/>
      <c r="J62" s="32"/>
      <c r="K62" s="32"/>
      <c r="L62" s="32"/>
      <c r="M62" s="32"/>
      <c r="N62" s="380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">
      <c r="A63" s="32"/>
      <c r="B63" s="47"/>
      <c r="C63" s="69"/>
      <c r="D63" s="203"/>
      <c r="E63" s="32"/>
      <c r="F63" s="32"/>
      <c r="G63" s="32"/>
      <c r="H63" s="32"/>
      <c r="I63" s="32"/>
      <c r="J63" s="32"/>
      <c r="K63" s="32"/>
      <c r="L63" s="32"/>
      <c r="M63" s="32"/>
      <c r="N63" s="380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">
      <c r="B64" s="47"/>
      <c r="C64" s="69"/>
      <c r="D64" s="203"/>
      <c r="E64" s="32"/>
      <c r="F64" s="32"/>
      <c r="G64" s="32"/>
      <c r="H64" s="32"/>
      <c r="I64" s="32"/>
      <c r="J64" s="32"/>
      <c r="K64" s="32"/>
      <c r="L64" s="32"/>
      <c r="M64" s="32"/>
      <c r="N64" s="380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">
      <c r="B65" s="47"/>
      <c r="C65" s="14"/>
      <c r="D65" s="203"/>
      <c r="E65" s="136"/>
      <c r="F65" s="32"/>
      <c r="G65" s="32"/>
      <c r="H65" s="32"/>
      <c r="I65" s="32"/>
      <c r="J65" s="32"/>
      <c r="K65" s="32"/>
      <c r="L65" s="32"/>
      <c r="M65" s="32"/>
      <c r="N65" s="380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">
      <c r="B66" s="47"/>
      <c r="C66" s="69"/>
      <c r="D66" s="203"/>
      <c r="E66" s="32"/>
      <c r="F66" s="32"/>
      <c r="G66" s="32"/>
      <c r="H66" s="32"/>
      <c r="I66" s="32"/>
      <c r="J66" s="32"/>
      <c r="K66" s="32"/>
      <c r="L66" s="32"/>
      <c r="M66" s="32"/>
      <c r="N66" s="380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">
      <c r="A67" s="32"/>
      <c r="B67" s="47"/>
      <c r="C67" s="69"/>
      <c r="D67" s="203"/>
      <c r="E67" s="32"/>
      <c r="F67" s="32"/>
      <c r="G67" s="32"/>
      <c r="H67" s="32"/>
      <c r="I67" s="32"/>
      <c r="J67" s="32"/>
      <c r="K67" s="32"/>
      <c r="L67" s="32"/>
      <c r="M67" s="32"/>
      <c r="N67" s="380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">
      <c r="A68" s="32"/>
      <c r="B68" s="47"/>
      <c r="C68" s="69"/>
      <c r="D68" s="203"/>
      <c r="E68" s="32"/>
      <c r="F68" s="32"/>
      <c r="G68" s="32"/>
      <c r="H68" s="32"/>
      <c r="I68" s="32"/>
      <c r="J68" s="32"/>
      <c r="K68" s="32"/>
      <c r="L68" s="32"/>
      <c r="M68" s="32"/>
      <c r="N68" s="380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">
      <c r="I69" s="32"/>
      <c r="J69" s="32"/>
      <c r="K69" s="32"/>
      <c r="L69" s="32"/>
      <c r="M69" s="32"/>
      <c r="N69" s="380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">
      <c r="I70" s="32"/>
      <c r="J70" s="32"/>
      <c r="K70" s="32"/>
      <c r="L70" s="32"/>
      <c r="M70" s="32"/>
      <c r="N70" s="380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">
      <c r="I71" s="32"/>
      <c r="J71" s="32"/>
      <c r="K71" s="32"/>
      <c r="L71" s="32"/>
      <c r="M71" s="32"/>
      <c r="N71" s="380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">
      <c r="I72" s="32"/>
      <c r="J72" s="32"/>
      <c r="K72" s="32"/>
      <c r="L72" s="32"/>
      <c r="M72" s="32"/>
      <c r="N72" s="380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">
      <c r="I73" s="32"/>
      <c r="J73" s="32"/>
      <c r="K73" s="32"/>
      <c r="L73" s="32"/>
      <c r="M73" s="32"/>
      <c r="N73" s="380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">
      <c r="I74" s="32"/>
      <c r="J74" s="32"/>
      <c r="K74" s="32"/>
      <c r="L74" s="32"/>
      <c r="M74" s="32"/>
      <c r="N74" s="380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">
      <c r="I75" s="32"/>
      <c r="J75" s="32"/>
      <c r="K75" s="32"/>
      <c r="L75" s="32"/>
      <c r="M75" s="32"/>
      <c r="N75" s="380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">
      <c r="I76" s="32"/>
      <c r="J76" s="32"/>
      <c r="K76" s="32"/>
      <c r="L76" s="32"/>
      <c r="M76" s="32"/>
      <c r="N76" s="380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">
      <c r="I77" s="32"/>
      <c r="J77" s="32"/>
      <c r="K77" s="32"/>
      <c r="L77" s="32"/>
      <c r="M77" s="32"/>
      <c r="N77" s="380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">
      <c r="I78" s="32"/>
      <c r="J78" s="32"/>
      <c r="K78" s="32"/>
      <c r="L78" s="32"/>
      <c r="M78" s="32"/>
      <c r="N78" s="380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">
      <c r="I79" s="32"/>
      <c r="J79" s="32"/>
      <c r="K79" s="32"/>
      <c r="L79" s="32"/>
      <c r="M79" s="32"/>
      <c r="N79" s="380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">
      <c r="I80" s="32"/>
      <c r="J80" s="32"/>
      <c r="K80" s="32"/>
      <c r="L80" s="32"/>
      <c r="M80" s="32"/>
      <c r="N80" s="380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9:33" x14ac:dyDescent="0.2">
      <c r="I81" s="32"/>
      <c r="J81" s="32"/>
      <c r="K81" s="32"/>
      <c r="L81" s="32"/>
      <c r="M81" s="32"/>
      <c r="N81" s="380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9:33" x14ac:dyDescent="0.2">
      <c r="I82" s="32"/>
      <c r="J82" s="32"/>
      <c r="K82" s="32"/>
      <c r="L82" s="32"/>
      <c r="M82" s="32"/>
      <c r="N82" s="380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9:33" x14ac:dyDescent="0.2">
      <c r="I83" s="32"/>
      <c r="J83" s="32"/>
      <c r="K83" s="32"/>
      <c r="L83" s="32"/>
      <c r="M83" s="32"/>
      <c r="N83" s="380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9:33" x14ac:dyDescent="0.2">
      <c r="I84" s="32"/>
      <c r="J84" s="32"/>
      <c r="K84" s="32"/>
      <c r="L84" s="32"/>
      <c r="M84" s="32"/>
      <c r="N84" s="380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9:33" x14ac:dyDescent="0.2">
      <c r="I85" s="32"/>
      <c r="J85" s="32"/>
      <c r="K85" s="32"/>
      <c r="L85" s="32"/>
      <c r="M85" s="32"/>
      <c r="N85" s="380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9:33" x14ac:dyDescent="0.2">
      <c r="I86" s="32"/>
      <c r="J86" s="32"/>
      <c r="K86" s="32"/>
      <c r="L86" s="32"/>
      <c r="M86" s="32"/>
      <c r="N86" s="380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9:33" x14ac:dyDescent="0.2">
      <c r="I87" s="32"/>
      <c r="J87" s="32"/>
      <c r="K87" s="32"/>
      <c r="L87" s="32"/>
      <c r="M87" s="32"/>
      <c r="N87" s="380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9:33" x14ac:dyDescent="0.2">
      <c r="I88" s="32"/>
      <c r="J88" s="32"/>
      <c r="K88" s="32"/>
      <c r="L88" s="32"/>
      <c r="M88" s="32"/>
      <c r="N88" s="380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9:33" x14ac:dyDescent="0.2">
      <c r="I89" s="32"/>
      <c r="J89" s="32"/>
      <c r="K89" s="32"/>
      <c r="L89" s="32"/>
      <c r="M89" s="32"/>
      <c r="N89" s="380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9:33" x14ac:dyDescent="0.2">
      <c r="I90" s="32"/>
      <c r="J90" s="32"/>
      <c r="K90" s="32"/>
      <c r="L90" s="32"/>
      <c r="M90" s="32"/>
      <c r="N90" s="380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9:33" x14ac:dyDescent="0.2">
      <c r="I91" s="32"/>
      <c r="J91" s="32"/>
      <c r="K91" s="32"/>
      <c r="L91" s="32"/>
      <c r="M91" s="32"/>
      <c r="N91" s="380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9:33" x14ac:dyDescent="0.2">
      <c r="I92" s="32"/>
      <c r="J92" s="32"/>
      <c r="K92" s="32"/>
      <c r="L92" s="32"/>
      <c r="M92" s="32"/>
      <c r="N92" s="380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9:33" x14ac:dyDescent="0.2">
      <c r="I93" s="32"/>
      <c r="J93" s="32"/>
      <c r="K93" s="32"/>
      <c r="L93" s="32"/>
      <c r="M93" s="32"/>
      <c r="N93" s="380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9:33" x14ac:dyDescent="0.2">
      <c r="I94" s="32"/>
      <c r="J94" s="32"/>
      <c r="K94" s="32"/>
      <c r="L94" s="32"/>
      <c r="M94" s="32"/>
      <c r="N94" s="380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9:33" x14ac:dyDescent="0.2">
      <c r="I95" s="32"/>
      <c r="J95" s="32"/>
      <c r="K95" s="32"/>
      <c r="L95" s="32"/>
      <c r="M95" s="32"/>
      <c r="N95" s="380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9:33" x14ac:dyDescent="0.2">
      <c r="I96" s="32"/>
      <c r="J96" s="32"/>
      <c r="K96" s="32"/>
      <c r="L96" s="32"/>
      <c r="M96" s="32"/>
      <c r="N96" s="380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">
      <c r="I97" s="32"/>
      <c r="J97" s="32"/>
      <c r="K97" s="32"/>
      <c r="L97" s="32"/>
      <c r="M97" s="32"/>
      <c r="N97" s="380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">
      <c r="I98" s="32"/>
      <c r="J98" s="32"/>
      <c r="K98" s="32"/>
      <c r="L98" s="32"/>
      <c r="M98" s="32"/>
      <c r="N98" s="380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">
      <c r="I99" s="32"/>
      <c r="J99" s="32"/>
      <c r="K99" s="32"/>
      <c r="L99" s="32"/>
      <c r="M99" s="32"/>
      <c r="N99" s="380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">
      <c r="I100" s="32"/>
      <c r="J100" s="32"/>
      <c r="K100" s="32"/>
      <c r="L100" s="32"/>
      <c r="M100" s="32"/>
      <c r="N100" s="380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">
      <c r="I101" s="32"/>
      <c r="J101" s="32"/>
      <c r="K101" s="32"/>
      <c r="L101" s="32"/>
      <c r="M101" s="32"/>
      <c r="N101" s="380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">
      <c r="A102" s="2" t="s">
        <v>263</v>
      </c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80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">
      <c r="A103" s="32" t="s">
        <v>261</v>
      </c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80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">
      <c r="A104" s="32" t="s">
        <v>262</v>
      </c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80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">
      <c r="A105" s="32"/>
      <c r="B105" s="356"/>
      <c r="C105" s="357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80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">
      <c r="A106" s="2" t="s">
        <v>264</v>
      </c>
      <c r="B106" s="75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80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">
      <c r="A107" s="32" t="s">
        <v>265</v>
      </c>
      <c r="B107" s="75">
        <v>16841.21</v>
      </c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80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">
      <c r="A108" s="32" t="s">
        <v>267</v>
      </c>
      <c r="B108" s="75">
        <v>-8065.83</v>
      </c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80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">
      <c r="A109" s="32" t="s">
        <v>268</v>
      </c>
      <c r="B109" s="528">
        <v>-725.46</v>
      </c>
      <c r="C109" s="69"/>
      <c r="D109" s="358"/>
      <c r="E109" s="32"/>
      <c r="F109" s="32"/>
      <c r="G109" s="32"/>
      <c r="H109" s="32"/>
      <c r="I109" s="32"/>
      <c r="J109" s="32"/>
      <c r="K109" s="32"/>
      <c r="L109" s="32"/>
      <c r="M109" s="32"/>
      <c r="N109" s="380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">
      <c r="A110" s="32" t="s">
        <v>275</v>
      </c>
      <c r="B110" s="525">
        <v>107948.28</v>
      </c>
      <c r="C110" s="291"/>
      <c r="D110" s="359"/>
      <c r="E110" s="32"/>
      <c r="F110" s="32"/>
      <c r="G110" s="32"/>
      <c r="H110" s="32"/>
      <c r="I110" s="32"/>
      <c r="J110" s="32"/>
      <c r="K110" s="32"/>
      <c r="L110" s="32"/>
      <c r="M110" s="32"/>
      <c r="N110" s="380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">
      <c r="A111" s="32" t="s">
        <v>273</v>
      </c>
      <c r="B111" s="528">
        <v>-1777.19</v>
      </c>
      <c r="C111" s="291"/>
      <c r="D111" s="360"/>
      <c r="E111" s="32"/>
      <c r="F111" s="32"/>
      <c r="G111" s="32"/>
      <c r="H111" s="32"/>
      <c r="I111" s="32"/>
      <c r="J111" s="32"/>
      <c r="K111" s="32"/>
      <c r="L111" s="32"/>
      <c r="M111" s="32"/>
      <c r="N111" s="380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">
      <c r="A112" s="32" t="s">
        <v>276</v>
      </c>
      <c r="B112" s="528">
        <v>2429.75</v>
      </c>
      <c r="C112" s="291"/>
      <c r="D112" s="361"/>
      <c r="E112" s="32"/>
      <c r="F112" s="32"/>
      <c r="G112" s="32"/>
      <c r="H112" s="32"/>
      <c r="I112" s="32"/>
      <c r="J112" s="32"/>
      <c r="K112" s="32"/>
      <c r="L112" s="32"/>
      <c r="M112" s="32"/>
      <c r="N112" s="380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">
      <c r="A113" s="32" t="s">
        <v>280</v>
      </c>
      <c r="B113" s="528">
        <v>6695.6</v>
      </c>
      <c r="C113" s="496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80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">
      <c r="A114" s="32" t="s">
        <v>283</v>
      </c>
      <c r="B114" s="528">
        <v>48174.22</v>
      </c>
      <c r="C114" s="496"/>
      <c r="D114" s="358"/>
      <c r="E114" s="32"/>
      <c r="F114" s="32"/>
      <c r="G114" s="32"/>
      <c r="H114" s="32"/>
      <c r="I114" s="32"/>
      <c r="J114" s="32"/>
      <c r="K114" s="32"/>
      <c r="L114" s="32"/>
      <c r="M114" s="32"/>
      <c r="N114" s="380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">
      <c r="A115" s="32" t="s">
        <v>287</v>
      </c>
      <c r="B115" s="525">
        <v>-2165.34</v>
      </c>
      <c r="C115" s="496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80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">
      <c r="A116" s="32" t="s">
        <v>291</v>
      </c>
      <c r="B116" s="525">
        <v>-17015.8</v>
      </c>
      <c r="C116" s="496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80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">
      <c r="A117" s="32" t="s">
        <v>292</v>
      </c>
      <c r="B117" s="525">
        <v>8356.0499999999993</v>
      </c>
      <c r="C117" s="595"/>
      <c r="D117" s="358"/>
      <c r="E117" s="32"/>
      <c r="F117" s="32"/>
      <c r="G117" s="32"/>
      <c r="H117" s="32"/>
      <c r="I117" s="32"/>
      <c r="J117" s="32"/>
      <c r="K117" s="32"/>
      <c r="L117" s="32"/>
      <c r="M117" s="32"/>
      <c r="N117" s="380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">
      <c r="A118" s="32" t="s">
        <v>294</v>
      </c>
      <c r="B118" s="541">
        <f>775*2.25</f>
        <v>1743.75</v>
      </c>
      <c r="C118" s="595"/>
      <c r="D118" s="358"/>
      <c r="E118" s="32"/>
      <c r="F118" s="32"/>
      <c r="G118" s="32"/>
      <c r="H118" s="32"/>
      <c r="I118" s="32"/>
      <c r="J118" s="32"/>
      <c r="K118" s="32"/>
      <c r="L118" s="32"/>
      <c r="M118" s="32"/>
      <c r="N118" s="380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">
      <c r="A119" s="32" t="s">
        <v>298</v>
      </c>
      <c r="B119" s="525">
        <v>0</v>
      </c>
      <c r="C119" s="595"/>
      <c r="D119" s="358"/>
      <c r="E119" s="32"/>
      <c r="F119" s="32"/>
      <c r="G119" s="32"/>
      <c r="H119" s="32"/>
      <c r="I119" s="32"/>
      <c r="J119" s="32"/>
      <c r="K119" s="32"/>
      <c r="L119" s="32"/>
      <c r="M119" s="32"/>
      <c r="N119" s="380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">
      <c r="A120" s="32" t="s">
        <v>290</v>
      </c>
      <c r="B120" s="15">
        <f>44144.84-58339.66</f>
        <v>-14194.820000000007</v>
      </c>
      <c r="C120" s="595">
        <v>26357</v>
      </c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80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">
      <c r="A121" s="32" t="s">
        <v>290</v>
      </c>
      <c r="B121" s="15">
        <v>-51695.87</v>
      </c>
      <c r="C121" s="595">
        <v>20379</v>
      </c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80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">
      <c r="A122" s="32" t="s">
        <v>290</v>
      </c>
      <c r="B122" s="15">
        <v>61340.160000000003</v>
      </c>
      <c r="C122" s="595">
        <v>21544</v>
      </c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80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">
      <c r="A123" s="32" t="s">
        <v>315</v>
      </c>
      <c r="B123" s="525">
        <v>-2475.85</v>
      </c>
      <c r="C123" s="595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80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">
      <c r="A124" s="32" t="s">
        <v>299</v>
      </c>
      <c r="B124" s="525">
        <v>2493.64</v>
      </c>
      <c r="C124" s="595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80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">
      <c r="A125" s="32" t="s">
        <v>300</v>
      </c>
      <c r="B125" s="435">
        <v>8282.6</v>
      </c>
      <c r="C125" s="595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80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">
      <c r="A126" s="32" t="s">
        <v>286</v>
      </c>
      <c r="B126" s="435">
        <v>-7228.77</v>
      </c>
      <c r="C126" s="496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80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">
      <c r="A127" s="32" t="s">
        <v>285</v>
      </c>
      <c r="B127" s="15">
        <v>249009.74</v>
      </c>
      <c r="C127" s="496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80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">
      <c r="A128" s="32" t="s">
        <v>279</v>
      </c>
      <c r="B128" s="525">
        <f>1974.11-1974.11</f>
        <v>0</v>
      </c>
      <c r="C128" s="496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80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">
      <c r="A129" s="32" t="s">
        <v>266</v>
      </c>
      <c r="B129" s="528">
        <v>-35893</v>
      </c>
      <c r="C129" s="496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80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">
      <c r="A130" s="32" t="s">
        <v>274</v>
      </c>
      <c r="B130" s="75">
        <v>27281.87</v>
      </c>
      <c r="C130" s="496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80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">
      <c r="A131" s="32" t="s">
        <v>277</v>
      </c>
      <c r="B131" s="75">
        <v>-2614.58</v>
      </c>
      <c r="C131" s="496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80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">
      <c r="A132" s="32" t="s">
        <v>278</v>
      </c>
      <c r="B132" s="75">
        <v>-177733.88</v>
      </c>
      <c r="C132" s="496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80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">
      <c r="A133" s="32" t="s">
        <v>281</v>
      </c>
      <c r="B133" s="15">
        <v>3338.45</v>
      </c>
      <c r="C133" s="496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80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">
      <c r="A134" s="32" t="s">
        <v>282</v>
      </c>
      <c r="B134" s="15">
        <v>15325.21</v>
      </c>
      <c r="C134" s="496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80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">
      <c r="A135" s="32" t="s">
        <v>284</v>
      </c>
      <c r="B135" s="15">
        <v>-33878.81</v>
      </c>
      <c r="C135" s="496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80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">
      <c r="A136" s="32" t="s">
        <v>288</v>
      </c>
      <c r="B136" s="15">
        <v>-726.96</v>
      </c>
      <c r="C136" s="496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80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">
      <c r="A137" s="32" t="s">
        <v>289</v>
      </c>
      <c r="B137" s="47">
        <v>-4405.4799999999996</v>
      </c>
      <c r="C137" s="496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80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">
      <c r="A138" s="32" t="s">
        <v>316</v>
      </c>
      <c r="B138" s="527">
        <v>4000.5</v>
      </c>
      <c r="C138" s="496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80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">
      <c r="A139" s="32" t="s">
        <v>317</v>
      </c>
      <c r="B139" s="527">
        <v>-725.46</v>
      </c>
      <c r="C139" s="496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80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80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">
      <c r="A141" s="32"/>
      <c r="B141" s="16">
        <f>SUM(B107:B140)</f>
        <v>201937.93000000005</v>
      </c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80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80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80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80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">
      <c r="A145" s="32" t="s">
        <v>269</v>
      </c>
      <c r="B145" s="497" t="s">
        <v>271</v>
      </c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80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">
      <c r="A146" s="32" t="s">
        <v>270</v>
      </c>
      <c r="B146" s="497" t="s">
        <v>272</v>
      </c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80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">
      <c r="A147" s="32" t="s">
        <v>321</v>
      </c>
      <c r="B147" s="47">
        <v>-3863.86</v>
      </c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80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">
      <c r="A148" s="32" t="s">
        <v>293</v>
      </c>
      <c r="B148" s="435">
        <v>17432.3</v>
      </c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80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80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80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80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80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80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80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80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80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80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80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80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80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80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80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80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80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80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80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80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80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80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80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80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80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80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80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80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80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80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80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80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80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80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80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80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80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80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80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80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80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80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80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80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80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80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80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80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80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80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80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80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80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80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80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80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80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80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80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80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80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80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80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80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80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80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80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80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80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80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80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80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80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80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80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80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80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80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80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80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80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80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80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80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80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80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80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80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80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80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80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80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80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80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80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80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80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80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80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80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80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80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80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80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80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80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80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80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80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80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80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80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80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80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80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80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80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80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80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80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80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80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80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80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80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80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80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80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80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80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80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80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80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80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80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80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80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80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80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80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80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80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80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80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80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80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80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80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80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80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80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80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80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80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80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80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80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80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80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80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80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80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80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80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80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80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80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80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80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80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  <row r="318" spans="1:33" x14ac:dyDescent="0.2">
      <c r="A318" s="32"/>
      <c r="B318" s="47"/>
      <c r="C318" s="69"/>
      <c r="D318" s="203"/>
      <c r="E318" s="32"/>
      <c r="F318" s="32"/>
      <c r="G318" s="32"/>
      <c r="H318" s="32"/>
      <c r="I318" s="32"/>
      <c r="J318" s="32"/>
      <c r="K318" s="32"/>
      <c r="L318" s="32"/>
      <c r="M318" s="32"/>
      <c r="N318" s="380"/>
      <c r="O318" s="70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</row>
    <row r="319" spans="1:33" x14ac:dyDescent="0.2">
      <c r="A319" s="32"/>
      <c r="B319" s="47"/>
      <c r="C319" s="69"/>
      <c r="D319" s="203"/>
      <c r="E319" s="32"/>
      <c r="F319" s="32"/>
      <c r="G319" s="32"/>
      <c r="H319" s="32"/>
      <c r="I319" s="32"/>
      <c r="J319" s="32"/>
      <c r="K319" s="32"/>
      <c r="L319" s="32"/>
      <c r="M319" s="32"/>
      <c r="N319" s="380"/>
      <c r="O319" s="70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</row>
    <row r="320" spans="1:33" x14ac:dyDescent="0.2">
      <c r="A320" s="32"/>
      <c r="B320" s="47"/>
      <c r="C320" s="69"/>
      <c r="D320" s="203"/>
      <c r="E320" s="32"/>
      <c r="F320" s="32"/>
      <c r="G320" s="32"/>
      <c r="H320" s="32"/>
      <c r="I320" s="32"/>
      <c r="J320" s="32"/>
      <c r="K320" s="32"/>
      <c r="L320" s="32"/>
      <c r="M320" s="32"/>
      <c r="N320" s="380"/>
      <c r="O320" s="70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</row>
    <row r="321" spans="1:33" x14ac:dyDescent="0.2">
      <c r="A321" s="32"/>
      <c r="B321" s="47"/>
      <c r="C321" s="69"/>
      <c r="D321" s="203"/>
      <c r="E321" s="32"/>
      <c r="F321" s="32"/>
      <c r="G321" s="32"/>
      <c r="H321" s="32"/>
      <c r="I321" s="32"/>
      <c r="J321" s="32"/>
      <c r="K321" s="32"/>
      <c r="L321" s="32"/>
      <c r="M321" s="32"/>
      <c r="N321" s="380"/>
      <c r="O321" s="70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</row>
    <row r="322" spans="1:33" x14ac:dyDescent="0.2">
      <c r="A322" s="32"/>
      <c r="B322" s="47"/>
      <c r="C322" s="69"/>
      <c r="D322" s="203"/>
      <c r="E322" s="32"/>
      <c r="F322" s="32"/>
      <c r="G322" s="32"/>
      <c r="H322" s="32"/>
      <c r="I322" s="32"/>
      <c r="J322" s="32"/>
      <c r="K322" s="32"/>
      <c r="L322" s="32"/>
      <c r="M322" s="32"/>
      <c r="N322" s="380"/>
      <c r="O322" s="70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</row>
    <row r="323" spans="1:33" x14ac:dyDescent="0.2">
      <c r="A323" s="32"/>
      <c r="B323" s="47"/>
      <c r="C323" s="69"/>
      <c r="D323" s="203"/>
      <c r="E323" s="32"/>
      <c r="F323" s="32"/>
      <c r="G323" s="32"/>
      <c r="H323" s="32"/>
      <c r="I323" s="32"/>
      <c r="J323" s="32"/>
      <c r="K323" s="32"/>
      <c r="L323" s="32"/>
      <c r="M323" s="32"/>
      <c r="N323" s="380"/>
      <c r="O323" s="70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</row>
    <row r="324" spans="1:33" x14ac:dyDescent="0.2">
      <c r="A324" s="32"/>
      <c r="B324" s="47"/>
      <c r="C324" s="69"/>
      <c r="D324" s="203"/>
      <c r="E324" s="32"/>
      <c r="F324" s="32"/>
      <c r="G324" s="32"/>
      <c r="H324" s="32"/>
      <c r="I324" s="32"/>
      <c r="J324" s="32"/>
      <c r="K324" s="32"/>
      <c r="L324" s="32"/>
      <c r="M324" s="32"/>
      <c r="N324" s="380"/>
      <c r="O324" s="70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</row>
    <row r="325" spans="1:33" x14ac:dyDescent="0.2">
      <c r="A325" s="32"/>
      <c r="B325" s="47"/>
      <c r="C325" s="69"/>
      <c r="D325" s="203"/>
      <c r="E325" s="32"/>
      <c r="F325" s="32"/>
      <c r="G325" s="32"/>
      <c r="H325" s="32"/>
      <c r="I325" s="32"/>
      <c r="J325" s="32"/>
      <c r="K325" s="32"/>
      <c r="L325" s="32"/>
      <c r="M325" s="32"/>
      <c r="N325" s="380"/>
      <c r="O325" s="70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</row>
    <row r="326" spans="1:33" x14ac:dyDescent="0.2">
      <c r="A326" s="32"/>
      <c r="B326" s="47"/>
      <c r="C326" s="69"/>
      <c r="D326" s="203"/>
      <c r="E326" s="32"/>
      <c r="F326" s="32"/>
      <c r="G326" s="32"/>
      <c r="H326" s="32"/>
      <c r="I326" s="32"/>
      <c r="J326" s="32"/>
      <c r="K326" s="32"/>
      <c r="L326" s="32"/>
      <c r="M326" s="32"/>
      <c r="N326" s="380"/>
      <c r="O326" s="70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</row>
    <row r="327" spans="1:33" x14ac:dyDescent="0.2">
      <c r="A327" s="32"/>
      <c r="B327" s="47"/>
      <c r="C327" s="69"/>
      <c r="D327" s="203"/>
      <c r="E327" s="32"/>
      <c r="F327" s="32"/>
      <c r="G327" s="32"/>
      <c r="H327" s="32"/>
      <c r="I327" s="32"/>
      <c r="J327" s="32"/>
      <c r="K327" s="32"/>
      <c r="L327" s="32"/>
      <c r="M327" s="32"/>
      <c r="N327" s="380"/>
      <c r="O327" s="70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</row>
    <row r="328" spans="1:33" x14ac:dyDescent="0.2">
      <c r="A328" s="32"/>
      <c r="B328" s="47"/>
      <c r="C328" s="69"/>
      <c r="D328" s="203"/>
      <c r="E328" s="32"/>
      <c r="F328" s="32"/>
      <c r="G328" s="32"/>
      <c r="H328" s="32"/>
      <c r="I328" s="32"/>
      <c r="J328" s="32"/>
      <c r="K328" s="32"/>
      <c r="L328" s="32"/>
      <c r="M328" s="32"/>
      <c r="N328" s="380"/>
      <c r="O328" s="70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</row>
    <row r="329" spans="1:33" x14ac:dyDescent="0.2">
      <c r="A329" s="32"/>
      <c r="B329" s="47"/>
      <c r="C329" s="69"/>
      <c r="D329" s="203"/>
      <c r="E329" s="32"/>
      <c r="F329" s="32"/>
      <c r="G329" s="32"/>
      <c r="H329" s="32"/>
      <c r="I329" s="32"/>
      <c r="J329" s="32"/>
      <c r="K329" s="32"/>
      <c r="L329" s="32"/>
      <c r="M329" s="32"/>
      <c r="N329" s="380"/>
      <c r="O329" s="70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</row>
    <row r="330" spans="1:33" x14ac:dyDescent="0.2">
      <c r="A330" s="32"/>
      <c r="B330" s="47"/>
      <c r="C330" s="69"/>
      <c r="D330" s="203"/>
      <c r="E330" s="32"/>
      <c r="F330" s="32"/>
      <c r="G330" s="32"/>
      <c r="H330" s="32"/>
      <c r="I330" s="32"/>
      <c r="J330" s="32"/>
      <c r="K330" s="32"/>
      <c r="L330" s="32"/>
      <c r="M330" s="32"/>
      <c r="N330" s="380"/>
      <c r="O330" s="70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</row>
    <row r="331" spans="1:33" x14ac:dyDescent="0.2">
      <c r="A331" s="32"/>
      <c r="B331" s="47"/>
      <c r="C331" s="69"/>
      <c r="D331" s="203"/>
      <c r="E331" s="32"/>
      <c r="F331" s="32"/>
      <c r="G331" s="32"/>
      <c r="H331" s="32"/>
      <c r="I331" s="32"/>
      <c r="J331" s="32"/>
      <c r="K331" s="32"/>
      <c r="L331" s="32"/>
      <c r="M331" s="32"/>
      <c r="N331" s="380"/>
      <c r="O331" s="70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</row>
    <row r="332" spans="1:33" x14ac:dyDescent="0.2">
      <c r="A332" s="32"/>
      <c r="B332" s="47"/>
      <c r="C332" s="69"/>
      <c r="D332" s="203"/>
      <c r="E332" s="32"/>
      <c r="F332" s="32"/>
      <c r="G332" s="32"/>
      <c r="H332" s="32"/>
      <c r="I332" s="32"/>
      <c r="J332" s="32"/>
      <c r="K332" s="32"/>
      <c r="L332" s="32"/>
      <c r="M332" s="32"/>
      <c r="N332" s="380"/>
      <c r="O332" s="70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</row>
    <row r="333" spans="1:33" x14ac:dyDescent="0.2">
      <c r="A333" s="32"/>
      <c r="B333" s="47"/>
      <c r="C333" s="69"/>
      <c r="D333" s="203"/>
      <c r="E333" s="32"/>
      <c r="F333" s="32"/>
      <c r="G333" s="32"/>
      <c r="H333" s="32"/>
      <c r="I333" s="32"/>
      <c r="J333" s="32"/>
      <c r="K333" s="32"/>
      <c r="L333" s="32"/>
      <c r="M333" s="32"/>
      <c r="N333" s="380"/>
      <c r="O333" s="70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</row>
    <row r="334" spans="1:33" x14ac:dyDescent="0.2">
      <c r="A334" s="32"/>
      <c r="B334" s="47"/>
      <c r="C334" s="69"/>
      <c r="D334" s="203"/>
      <c r="E334" s="32"/>
      <c r="F334" s="32"/>
      <c r="G334" s="32"/>
      <c r="H334" s="32"/>
      <c r="I334" s="32"/>
      <c r="J334" s="32"/>
      <c r="K334" s="32"/>
      <c r="L334" s="32"/>
      <c r="M334" s="32"/>
      <c r="N334" s="380"/>
      <c r="O334" s="70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</row>
    <row r="335" spans="1:33" x14ac:dyDescent="0.2">
      <c r="A335" s="32"/>
      <c r="B335" s="47"/>
      <c r="C335" s="69"/>
      <c r="D335" s="203"/>
      <c r="E335" s="32"/>
      <c r="F335" s="32"/>
      <c r="G335" s="32"/>
      <c r="H335" s="32"/>
      <c r="I335" s="32"/>
      <c r="J335" s="32"/>
      <c r="K335" s="32"/>
      <c r="L335" s="32"/>
      <c r="M335" s="32"/>
      <c r="N335" s="380"/>
      <c r="O335" s="70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</row>
    <row r="336" spans="1:33" x14ac:dyDescent="0.2">
      <c r="A336" s="32"/>
      <c r="B336" s="47"/>
      <c r="C336" s="69"/>
      <c r="D336" s="203"/>
      <c r="E336" s="32"/>
      <c r="F336" s="32"/>
      <c r="G336" s="32"/>
      <c r="H336" s="32"/>
      <c r="I336" s="32"/>
      <c r="J336" s="32"/>
      <c r="K336" s="32"/>
      <c r="L336" s="32"/>
      <c r="M336" s="32"/>
      <c r="N336" s="380"/>
      <c r="O336" s="70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</row>
    <row r="337" spans="1:33" x14ac:dyDescent="0.2">
      <c r="A337" s="32"/>
      <c r="B337" s="47"/>
      <c r="C337" s="69"/>
      <c r="D337" s="203"/>
      <c r="E337" s="32"/>
      <c r="F337" s="32"/>
      <c r="G337" s="32"/>
      <c r="H337" s="32"/>
      <c r="I337" s="32"/>
      <c r="J337" s="32"/>
      <c r="K337" s="32"/>
      <c r="L337" s="32"/>
      <c r="M337" s="32"/>
      <c r="N337" s="380"/>
      <c r="O337" s="70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</row>
    <row r="338" spans="1:33" x14ac:dyDescent="0.2">
      <c r="A338" s="32"/>
      <c r="B338" s="47"/>
      <c r="C338" s="69"/>
      <c r="D338" s="203"/>
      <c r="E338" s="32"/>
      <c r="F338" s="32"/>
      <c r="G338" s="32"/>
      <c r="H338" s="32"/>
      <c r="I338" s="32"/>
      <c r="J338" s="32"/>
      <c r="K338" s="32"/>
      <c r="L338" s="32"/>
      <c r="M338" s="32"/>
      <c r="N338" s="380"/>
      <c r="O338" s="70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</row>
    <row r="339" spans="1:33" x14ac:dyDescent="0.2">
      <c r="A339" s="32"/>
      <c r="B339" s="47"/>
      <c r="C339" s="69"/>
      <c r="D339" s="203"/>
      <c r="E339" s="32"/>
      <c r="F339" s="32"/>
      <c r="G339" s="32"/>
      <c r="H339" s="32"/>
      <c r="I339" s="32"/>
      <c r="J339" s="32"/>
      <c r="K339" s="32"/>
      <c r="L339" s="32"/>
      <c r="M339" s="32"/>
      <c r="N339" s="380"/>
      <c r="O339" s="70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</row>
    <row r="340" spans="1:33" x14ac:dyDescent="0.2">
      <c r="A340" s="32"/>
      <c r="B340" s="47"/>
      <c r="C340" s="69"/>
      <c r="D340" s="203"/>
      <c r="E340" s="32"/>
      <c r="F340" s="32"/>
      <c r="G340" s="32"/>
      <c r="H340" s="32"/>
      <c r="I340" s="32"/>
      <c r="J340" s="32"/>
      <c r="K340" s="32"/>
      <c r="L340" s="32"/>
      <c r="M340" s="32"/>
      <c r="N340" s="380"/>
      <c r="O340" s="70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</row>
    <row r="341" spans="1:33" x14ac:dyDescent="0.2">
      <c r="A341" s="32"/>
      <c r="B341" s="47"/>
      <c r="C341" s="69"/>
      <c r="D341" s="203"/>
      <c r="E341" s="32"/>
      <c r="F341" s="32"/>
      <c r="G341" s="32"/>
      <c r="H341" s="32"/>
      <c r="I341" s="32"/>
      <c r="J341" s="32"/>
      <c r="K341" s="32"/>
      <c r="L341" s="32"/>
      <c r="M341" s="32"/>
      <c r="N341" s="380"/>
      <c r="O341" s="70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</row>
    <row r="342" spans="1:33" x14ac:dyDescent="0.2">
      <c r="A342" s="32"/>
      <c r="B342" s="47"/>
      <c r="C342" s="69"/>
      <c r="D342" s="203"/>
      <c r="E342" s="32"/>
      <c r="F342" s="32"/>
      <c r="G342" s="32"/>
      <c r="H342" s="32"/>
      <c r="I342" s="32"/>
      <c r="J342" s="32"/>
      <c r="K342" s="32"/>
      <c r="L342" s="32"/>
      <c r="M342" s="32"/>
      <c r="N342" s="380"/>
      <c r="O342" s="70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</row>
    <row r="343" spans="1:33" x14ac:dyDescent="0.2">
      <c r="A343" s="32"/>
      <c r="B343" s="47"/>
      <c r="C343" s="69"/>
      <c r="D343" s="203"/>
      <c r="E343" s="32"/>
      <c r="F343" s="32"/>
      <c r="G343" s="32"/>
      <c r="H343" s="32"/>
      <c r="I343" s="32"/>
      <c r="J343" s="32"/>
      <c r="K343" s="32"/>
      <c r="L343" s="32"/>
      <c r="M343" s="32"/>
      <c r="N343" s="380"/>
      <c r="O343" s="70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</row>
    <row r="344" spans="1:33" x14ac:dyDescent="0.2">
      <c r="A344" s="32"/>
      <c r="B344" s="47"/>
      <c r="C344" s="69"/>
      <c r="D344" s="203"/>
      <c r="E344" s="32"/>
      <c r="F344" s="32"/>
      <c r="G344" s="32"/>
      <c r="H344" s="32"/>
      <c r="I344" s="32"/>
      <c r="J344" s="32"/>
      <c r="K344" s="32"/>
      <c r="L344" s="32"/>
      <c r="M344" s="32"/>
      <c r="N344" s="380"/>
      <c r="O344" s="70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</row>
    <row r="345" spans="1:33" x14ac:dyDescent="0.2">
      <c r="A345" s="32"/>
      <c r="B345" s="47"/>
      <c r="C345" s="69"/>
      <c r="D345" s="203"/>
      <c r="E345" s="32"/>
      <c r="F345" s="32"/>
      <c r="G345" s="32"/>
      <c r="H345" s="32"/>
      <c r="I345" s="32"/>
      <c r="J345" s="32"/>
      <c r="K345" s="32"/>
      <c r="L345" s="32"/>
      <c r="M345" s="32"/>
      <c r="N345" s="380"/>
      <c r="O345" s="70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</row>
    <row r="346" spans="1:33" x14ac:dyDescent="0.2">
      <c r="A346" s="32"/>
      <c r="B346" s="47"/>
      <c r="C346" s="69"/>
      <c r="D346" s="203"/>
      <c r="E346" s="32"/>
      <c r="F346" s="32"/>
      <c r="G346" s="32"/>
      <c r="H346" s="32"/>
      <c r="I346" s="32"/>
      <c r="J346" s="32"/>
      <c r="K346" s="32"/>
      <c r="L346" s="32"/>
      <c r="M346" s="32"/>
      <c r="N346" s="380"/>
      <c r="O346" s="70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</row>
    <row r="347" spans="1:33" x14ac:dyDescent="0.2">
      <c r="A347" s="32"/>
      <c r="B347" s="47"/>
      <c r="C347" s="69"/>
      <c r="D347" s="203"/>
      <c r="E347" s="32"/>
      <c r="F347" s="32"/>
      <c r="G347" s="32"/>
      <c r="H347" s="32"/>
      <c r="I347" s="32"/>
      <c r="J347" s="32"/>
      <c r="K347" s="32"/>
      <c r="L347" s="32"/>
      <c r="M347" s="32"/>
      <c r="N347" s="380"/>
      <c r="O347" s="70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</row>
    <row r="348" spans="1:33" x14ac:dyDescent="0.2">
      <c r="A348" s="32"/>
      <c r="B348" s="47"/>
      <c r="C348" s="69"/>
      <c r="D348" s="203"/>
      <c r="E348" s="32"/>
      <c r="F348" s="32"/>
      <c r="G348" s="32"/>
      <c r="H348" s="32"/>
      <c r="I348" s="32"/>
      <c r="J348" s="32"/>
      <c r="K348" s="32"/>
      <c r="L348" s="32"/>
      <c r="M348" s="32"/>
      <c r="N348" s="380"/>
      <c r="O348" s="70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</row>
    <row r="349" spans="1:33" x14ac:dyDescent="0.2">
      <c r="A349" s="32"/>
      <c r="B349" s="47"/>
      <c r="C349" s="69"/>
      <c r="D349" s="203"/>
      <c r="E349" s="32"/>
      <c r="F349" s="32"/>
      <c r="G349" s="32"/>
      <c r="H349" s="32"/>
      <c r="I349" s="32"/>
      <c r="J349" s="32"/>
      <c r="K349" s="32"/>
      <c r="L349" s="32"/>
      <c r="M349" s="32"/>
      <c r="N349" s="380"/>
      <c r="O349" s="70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</row>
    <row r="350" spans="1:33" x14ac:dyDescent="0.2">
      <c r="A350" s="32"/>
      <c r="B350" s="47"/>
      <c r="C350" s="69"/>
      <c r="D350" s="203"/>
      <c r="E350" s="32"/>
      <c r="F350" s="32"/>
      <c r="G350" s="32"/>
      <c r="H350" s="32"/>
      <c r="I350" s="32"/>
      <c r="J350" s="32"/>
      <c r="K350" s="32"/>
      <c r="L350" s="32"/>
      <c r="M350" s="32"/>
      <c r="N350" s="380"/>
      <c r="O350" s="70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</row>
    <row r="351" spans="1:33" x14ac:dyDescent="0.2">
      <c r="A351" s="32"/>
      <c r="B351" s="47"/>
      <c r="C351" s="69"/>
      <c r="D351" s="203"/>
      <c r="E351" s="32"/>
      <c r="F351" s="32"/>
      <c r="G351" s="32"/>
      <c r="H351" s="32"/>
      <c r="I351" s="32"/>
      <c r="J351" s="32"/>
      <c r="K351" s="32"/>
      <c r="L351" s="32"/>
      <c r="M351" s="32"/>
      <c r="N351" s="380"/>
      <c r="O351" s="70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</row>
    <row r="352" spans="1:33" x14ac:dyDescent="0.2">
      <c r="A352" s="32"/>
      <c r="B352" s="47"/>
      <c r="C352" s="69"/>
      <c r="D352" s="203"/>
      <c r="E352" s="32"/>
      <c r="F352" s="32"/>
      <c r="G352" s="32"/>
      <c r="H352" s="32"/>
      <c r="I352" s="32"/>
      <c r="J352" s="32"/>
      <c r="K352" s="32"/>
      <c r="L352" s="32"/>
      <c r="M352" s="32"/>
      <c r="N352" s="380"/>
      <c r="O352" s="70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</row>
    <row r="353" spans="1:33" x14ac:dyDescent="0.2">
      <c r="A353" s="32"/>
      <c r="B353" s="47"/>
      <c r="C353" s="69"/>
      <c r="D353" s="203"/>
      <c r="E353" s="32"/>
      <c r="F353" s="32"/>
      <c r="G353" s="32"/>
      <c r="H353" s="32"/>
      <c r="I353" s="32"/>
      <c r="J353" s="32"/>
      <c r="K353" s="32"/>
      <c r="L353" s="32"/>
      <c r="M353" s="32"/>
      <c r="N353" s="380"/>
      <c r="O353" s="70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</row>
    <row r="354" spans="1:33" x14ac:dyDescent="0.2">
      <c r="A354" s="32"/>
      <c r="B354" s="47"/>
      <c r="C354" s="69"/>
      <c r="D354" s="203"/>
      <c r="E354" s="32"/>
      <c r="F354" s="32"/>
      <c r="G354" s="32"/>
      <c r="H354" s="32"/>
      <c r="I354" s="32"/>
      <c r="J354" s="32"/>
      <c r="K354" s="32"/>
      <c r="L354" s="32"/>
      <c r="M354" s="32"/>
      <c r="N354" s="380"/>
      <c r="O354" s="70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</row>
    <row r="355" spans="1:33" x14ac:dyDescent="0.2">
      <c r="A355" s="32"/>
      <c r="B355" s="47"/>
      <c r="C355" s="69"/>
      <c r="D355" s="203"/>
      <c r="E355" s="32"/>
      <c r="F355" s="32"/>
      <c r="G355" s="32"/>
      <c r="H355" s="32"/>
      <c r="I355" s="32"/>
      <c r="J355" s="32"/>
      <c r="K355" s="32"/>
      <c r="L355" s="32"/>
      <c r="M355" s="32"/>
      <c r="N355" s="380"/>
      <c r="O355" s="70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</row>
    <row r="356" spans="1:33" x14ac:dyDescent="0.2">
      <c r="A356" s="32"/>
      <c r="B356" s="47"/>
      <c r="C356" s="69"/>
      <c r="D356" s="203"/>
      <c r="E356" s="32"/>
      <c r="F356" s="32"/>
      <c r="G356" s="32"/>
      <c r="H356" s="32"/>
      <c r="I356" s="32"/>
      <c r="J356" s="32"/>
      <c r="K356" s="32"/>
      <c r="L356" s="32"/>
      <c r="M356" s="32"/>
      <c r="N356" s="380"/>
      <c r="O356" s="70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</row>
    <row r="357" spans="1:33" x14ac:dyDescent="0.2">
      <c r="A357" s="32"/>
      <c r="B357" s="47"/>
      <c r="C357" s="69"/>
      <c r="D357" s="203"/>
      <c r="E357" s="32"/>
      <c r="F357" s="32"/>
      <c r="G357" s="32"/>
      <c r="H357" s="32"/>
      <c r="I357" s="32"/>
      <c r="J357" s="32"/>
      <c r="K357" s="32"/>
      <c r="L357" s="32"/>
      <c r="M357" s="32"/>
      <c r="N357" s="380"/>
      <c r="O357" s="70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</row>
    <row r="358" spans="1:33" x14ac:dyDescent="0.2">
      <c r="A358" s="32"/>
      <c r="B358" s="47"/>
      <c r="C358" s="69"/>
      <c r="D358" s="203"/>
      <c r="E358" s="32"/>
      <c r="F358" s="32"/>
      <c r="G358" s="32"/>
      <c r="H358" s="32"/>
      <c r="I358" s="32"/>
      <c r="J358" s="32"/>
      <c r="K358" s="32"/>
      <c r="L358" s="32"/>
      <c r="M358" s="32"/>
      <c r="N358" s="380"/>
      <c r="O358" s="70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</row>
    <row r="359" spans="1:33" x14ac:dyDescent="0.2">
      <c r="A359" s="32"/>
      <c r="B359" s="47"/>
      <c r="C359" s="69"/>
      <c r="D359" s="203"/>
      <c r="E359" s="32"/>
      <c r="F359" s="32"/>
      <c r="G359" s="32"/>
      <c r="H359" s="32"/>
      <c r="I359" s="32"/>
      <c r="J359" s="32"/>
      <c r="K359" s="32"/>
      <c r="L359" s="32"/>
      <c r="M359" s="32"/>
      <c r="N359" s="380"/>
      <c r="O359" s="70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</row>
    <row r="360" spans="1:33" x14ac:dyDescent="0.2">
      <c r="A360" s="32"/>
      <c r="B360" s="47"/>
      <c r="C360" s="69"/>
      <c r="D360" s="203"/>
      <c r="E360" s="32"/>
      <c r="F360" s="32"/>
      <c r="G360" s="32"/>
      <c r="H360" s="32"/>
      <c r="I360" s="32"/>
      <c r="J360" s="32"/>
      <c r="K360" s="32"/>
      <c r="L360" s="32"/>
      <c r="M360" s="32"/>
      <c r="N360" s="380"/>
      <c r="O360" s="70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</row>
    <row r="361" spans="1:33" x14ac:dyDescent="0.2">
      <c r="A361" s="32"/>
      <c r="B361" s="47"/>
      <c r="C361" s="69"/>
      <c r="D361" s="203"/>
      <c r="E361" s="32"/>
      <c r="F361" s="32"/>
      <c r="G361" s="32"/>
      <c r="H361" s="32"/>
      <c r="I361" s="32"/>
      <c r="J361" s="32"/>
      <c r="K361" s="32"/>
      <c r="L361" s="32"/>
      <c r="M361" s="32"/>
      <c r="N361" s="380"/>
      <c r="O361" s="70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</row>
    <row r="362" spans="1:33" x14ac:dyDescent="0.2">
      <c r="A362" s="32"/>
      <c r="B362" s="47"/>
      <c r="C362" s="69"/>
      <c r="D362" s="203"/>
      <c r="E362" s="32"/>
      <c r="F362" s="32"/>
      <c r="G362" s="32"/>
      <c r="H362" s="32"/>
      <c r="I362" s="32"/>
      <c r="J362" s="32"/>
      <c r="K362" s="32"/>
      <c r="L362" s="32"/>
      <c r="M362" s="32"/>
      <c r="N362" s="380"/>
      <c r="O362" s="70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</row>
    <row r="363" spans="1:33" x14ac:dyDescent="0.2">
      <c r="A363" s="32"/>
      <c r="B363" s="47"/>
      <c r="C363" s="69"/>
      <c r="D363" s="203"/>
      <c r="E363" s="32"/>
      <c r="F363" s="32"/>
      <c r="G363" s="32"/>
      <c r="H363" s="32"/>
      <c r="I363" s="32"/>
      <c r="J363" s="32"/>
      <c r="K363" s="32"/>
      <c r="L363" s="32"/>
      <c r="M363" s="32"/>
      <c r="N363" s="380"/>
      <c r="O363" s="70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</row>
    <row r="364" spans="1:33" x14ac:dyDescent="0.2">
      <c r="A364" s="32"/>
      <c r="B364" s="47"/>
      <c r="C364" s="69"/>
      <c r="D364" s="203"/>
      <c r="E364" s="32"/>
      <c r="F364" s="32"/>
      <c r="G364" s="32"/>
      <c r="H364" s="32"/>
      <c r="I364" s="32"/>
      <c r="J364" s="32"/>
      <c r="K364" s="32"/>
      <c r="L364" s="32"/>
      <c r="M364" s="32"/>
      <c r="N364" s="380"/>
      <c r="O364" s="70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</row>
    <row r="365" spans="1:33" x14ac:dyDescent="0.2">
      <c r="A365" s="32"/>
      <c r="B365" s="47"/>
      <c r="C365" s="69"/>
      <c r="D365" s="203"/>
      <c r="E365" s="32"/>
      <c r="F365" s="32"/>
      <c r="G365" s="32"/>
      <c r="H365" s="32"/>
      <c r="I365" s="32"/>
      <c r="J365" s="32"/>
      <c r="K365" s="32"/>
      <c r="L365" s="32"/>
      <c r="M365" s="32"/>
      <c r="N365" s="380"/>
      <c r="O365" s="70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</row>
    <row r="366" spans="1:33" x14ac:dyDescent="0.2">
      <c r="A366" s="32"/>
      <c r="B366" s="47"/>
      <c r="C366" s="69"/>
      <c r="D366" s="203"/>
      <c r="E366" s="32"/>
      <c r="F366" s="32"/>
      <c r="G366" s="32"/>
      <c r="H366" s="32"/>
      <c r="I366" s="32"/>
      <c r="J366" s="32"/>
      <c r="K366" s="32"/>
      <c r="L366" s="32"/>
      <c r="M366" s="32"/>
      <c r="N366" s="380"/>
      <c r="O366" s="70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</row>
    <row r="367" spans="1:33" x14ac:dyDescent="0.2">
      <c r="A367" s="32"/>
      <c r="B367" s="47"/>
      <c r="C367" s="69"/>
      <c r="D367" s="203"/>
      <c r="E367" s="32"/>
      <c r="F367" s="32"/>
      <c r="G367" s="32"/>
      <c r="H367" s="32"/>
      <c r="I367" s="32"/>
      <c r="J367" s="32"/>
      <c r="K367" s="32"/>
      <c r="L367" s="32"/>
      <c r="M367" s="32"/>
      <c r="N367" s="380"/>
      <c r="O367" s="70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B10" sqref="B10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>
        <v>-289215</v>
      </c>
      <c r="C6" s="80"/>
      <c r="D6" s="80">
        <f t="shared" ref="D6:D14" si="0">+C6-B6</f>
        <v>289215</v>
      </c>
    </row>
    <row r="7" spans="1:4" x14ac:dyDescent="0.2">
      <c r="A7" s="32">
        <v>3531</v>
      </c>
      <c r="B7" s="309">
        <v>-955181</v>
      </c>
      <c r="C7" s="80">
        <v>-337957</v>
      </c>
      <c r="D7" s="80">
        <f t="shared" si="0"/>
        <v>617224</v>
      </c>
    </row>
    <row r="8" spans="1:4" x14ac:dyDescent="0.2">
      <c r="A8" s="32">
        <v>60667</v>
      </c>
      <c r="B8" s="309">
        <v>-208894</v>
      </c>
      <c r="C8" s="80">
        <v>-1132059</v>
      </c>
      <c r="D8" s="80">
        <f t="shared" si="0"/>
        <v>-923165</v>
      </c>
    </row>
    <row r="9" spans="1:4" x14ac:dyDescent="0.2">
      <c r="A9" s="32">
        <v>60749</v>
      </c>
      <c r="B9" s="309">
        <v>91003</v>
      </c>
      <c r="C9" s="80">
        <v>-216671</v>
      </c>
      <c r="D9" s="80">
        <f t="shared" si="0"/>
        <v>-307674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-327596</v>
      </c>
      <c r="C11" s="80"/>
      <c r="D11" s="80">
        <f t="shared" si="0"/>
        <v>327596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3196</v>
      </c>
    </row>
    <row r="19" spans="1:5" x14ac:dyDescent="0.2">
      <c r="A19" s="32" t="s">
        <v>81</v>
      </c>
      <c r="B19" s="69"/>
      <c r="C19" s="69"/>
      <c r="D19" s="73">
        <f>+summary!G4</f>
        <v>2.08</v>
      </c>
    </row>
    <row r="20" spans="1:5" x14ac:dyDescent="0.2">
      <c r="B20" s="69"/>
      <c r="C20" s="69"/>
      <c r="D20" s="75">
        <f>+D19*D18</f>
        <v>6647.68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37256</v>
      </c>
      <c r="B22" s="69"/>
      <c r="C22" s="80"/>
      <c r="D22" s="537">
        <v>45202.5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37285</v>
      </c>
      <c r="B24" s="69"/>
      <c r="C24" s="69"/>
      <c r="D24" s="332">
        <f>+D22+D20</f>
        <v>51850.18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538">
        <v>20090</v>
      </c>
    </row>
    <row r="33" spans="1:4" x14ac:dyDescent="0.2">
      <c r="A33" s="49">
        <f>+A24</f>
        <v>37285</v>
      </c>
      <c r="D33" s="350">
        <f>+D18</f>
        <v>3196</v>
      </c>
    </row>
    <row r="34" spans="1:4" x14ac:dyDescent="0.2">
      <c r="D34" s="14">
        <f>+D33+D32</f>
        <v>23286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2" workbookViewId="0">
      <selection activeCell="A24" sqref="A24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5" customWidth="1"/>
  </cols>
  <sheetData>
    <row r="3" spans="1:13" x14ac:dyDescent="0.2">
      <c r="A3" s="3" t="s">
        <v>83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9236</v>
      </c>
      <c r="B5" s="90">
        <v>-108258</v>
      </c>
      <c r="C5" s="90">
        <v>-77140</v>
      </c>
      <c r="D5" s="90">
        <f t="shared" ref="D5:D13" si="0">+C5-B5</f>
        <v>31118</v>
      </c>
      <c r="E5" s="69"/>
      <c r="F5" s="201"/>
    </row>
    <row r="6" spans="1:13" x14ac:dyDescent="0.2">
      <c r="A6" s="87">
        <v>9238</v>
      </c>
      <c r="B6" s="90">
        <v>-14493</v>
      </c>
      <c r="C6" s="90">
        <v>-30000</v>
      </c>
      <c r="D6" s="90">
        <f t="shared" si="0"/>
        <v>-15507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">
      <c r="A7" s="87">
        <v>56422</v>
      </c>
      <c r="B7" s="90">
        <v>-2879781</v>
      </c>
      <c r="C7" s="90">
        <v>-2926567</v>
      </c>
      <c r="D7" s="90">
        <f t="shared" si="0"/>
        <v>-46786</v>
      </c>
      <c r="E7" s="275"/>
      <c r="F7" s="201"/>
    </row>
    <row r="8" spans="1:13" x14ac:dyDescent="0.2">
      <c r="A8" s="87">
        <v>58710</v>
      </c>
      <c r="B8" s="90">
        <v>-190943</v>
      </c>
      <c r="C8" s="90">
        <v>-197084</v>
      </c>
      <c r="D8" s="90">
        <f t="shared" si="0"/>
        <v>-6141</v>
      </c>
      <c r="E8" s="275"/>
      <c r="F8" s="201"/>
    </row>
    <row r="9" spans="1:13" x14ac:dyDescent="0.2">
      <c r="A9" s="87">
        <v>60921</v>
      </c>
      <c r="B9" s="90">
        <v>-1328045</v>
      </c>
      <c r="C9" s="90">
        <v>-1260629</v>
      </c>
      <c r="D9" s="90">
        <f t="shared" si="0"/>
        <v>67416</v>
      </c>
      <c r="E9" s="275"/>
      <c r="F9" s="201"/>
    </row>
    <row r="10" spans="1:13" x14ac:dyDescent="0.2">
      <c r="A10" s="87">
        <v>78026</v>
      </c>
      <c r="B10" s="90"/>
      <c r="C10" s="90"/>
      <c r="D10" s="90">
        <f t="shared" si="0"/>
        <v>0</v>
      </c>
      <c r="E10" s="275"/>
      <c r="F10" s="467"/>
    </row>
    <row r="11" spans="1:13" x14ac:dyDescent="0.2">
      <c r="A11" s="87">
        <v>500084</v>
      </c>
      <c r="B11" s="90">
        <v>-71420</v>
      </c>
      <c r="C11" s="90">
        <v>-90000</v>
      </c>
      <c r="D11" s="90">
        <f t="shared" si="0"/>
        <v>-18580</v>
      </c>
      <c r="E11" s="276"/>
      <c r="F11" s="467"/>
    </row>
    <row r="12" spans="1:13" x14ac:dyDescent="0.2">
      <c r="A12" s="317">
        <v>500085</v>
      </c>
      <c r="B12" s="90">
        <v>-12987</v>
      </c>
      <c r="C12" s="90"/>
      <c r="D12" s="90">
        <f t="shared" si="0"/>
        <v>12987</v>
      </c>
      <c r="E12" s="275"/>
      <c r="F12" s="467"/>
    </row>
    <row r="13" spans="1:13" x14ac:dyDescent="0.2">
      <c r="A13" s="87">
        <v>500097</v>
      </c>
      <c r="B13" s="90">
        <v>-105000</v>
      </c>
      <c r="C13" s="90">
        <v>-120000</v>
      </c>
      <c r="D13" s="90">
        <f t="shared" si="0"/>
        <v>-15000</v>
      </c>
      <c r="E13" s="275"/>
      <c r="F13" s="467"/>
    </row>
    <row r="14" spans="1:13" x14ac:dyDescent="0.2">
      <c r="A14" s="87"/>
      <c r="B14" s="90"/>
      <c r="C14" s="90"/>
      <c r="D14" s="90"/>
      <c r="E14" s="275"/>
      <c r="F14" s="467"/>
    </row>
    <row r="15" spans="1:13" x14ac:dyDescent="0.2">
      <c r="A15" s="87"/>
      <c r="B15" s="90"/>
      <c r="C15" s="90"/>
      <c r="D15" s="90"/>
      <c r="E15" s="275"/>
      <c r="F15" s="467"/>
    </row>
    <row r="16" spans="1:13" x14ac:dyDescent="0.2">
      <c r="A16" s="87"/>
      <c r="B16" s="88"/>
      <c r="C16" s="88"/>
      <c r="D16" s="94"/>
      <c r="E16" s="275"/>
      <c r="F16" s="467"/>
    </row>
    <row r="17" spans="1:7" x14ac:dyDescent="0.2">
      <c r="A17" s="87"/>
      <c r="B17" s="88"/>
      <c r="C17" s="88"/>
      <c r="D17" s="88">
        <f>SUM(D5:D16)</f>
        <v>9507</v>
      </c>
      <c r="E17" s="275"/>
      <c r="F17" s="467"/>
    </row>
    <row r="18" spans="1:7" x14ac:dyDescent="0.2">
      <c r="A18" s="87" t="s">
        <v>81</v>
      </c>
      <c r="B18" s="88"/>
      <c r="C18" s="88"/>
      <c r="D18" s="95">
        <f>+summary!G4</f>
        <v>2.08</v>
      </c>
      <c r="E18" s="277"/>
      <c r="F18" s="467"/>
    </row>
    <row r="19" spans="1:7" x14ac:dyDescent="0.2">
      <c r="A19" s="87"/>
      <c r="B19" s="88"/>
      <c r="C19" s="88"/>
      <c r="D19" s="96">
        <f>+D18*D17</f>
        <v>19774.560000000001</v>
      </c>
      <c r="E19" s="207"/>
      <c r="F19" s="467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37256</v>
      </c>
      <c r="B21" s="88"/>
      <c r="C21" s="88"/>
      <c r="D21" s="530">
        <v>766914.32</v>
      </c>
      <c r="E21" s="207"/>
      <c r="F21" s="468"/>
    </row>
    <row r="22" spans="1:7" x14ac:dyDescent="0.2">
      <c r="A22" s="87"/>
      <c r="B22" s="88"/>
      <c r="C22" s="88"/>
      <c r="D22" s="308"/>
      <c r="E22" s="207"/>
      <c r="F22" s="468"/>
    </row>
    <row r="23" spans="1:7" ht="13.5" thickBot="1" x14ac:dyDescent="0.25">
      <c r="A23" s="99">
        <v>37286</v>
      </c>
      <c r="B23" s="88"/>
      <c r="C23" s="88"/>
      <c r="D23" s="318">
        <f>+D21+D19</f>
        <v>786688.88</v>
      </c>
      <c r="E23" s="207"/>
      <c r="F23" s="468"/>
    </row>
    <row r="24" spans="1:7" ht="13.5" thickTop="1" x14ac:dyDescent="0.2">
      <c r="E24" s="278"/>
    </row>
    <row r="25" spans="1:7" x14ac:dyDescent="0.2">
      <c r="E25" s="506"/>
    </row>
    <row r="27" spans="1:7" x14ac:dyDescent="0.2">
      <c r="A27" s="32" t="s">
        <v>149</v>
      </c>
      <c r="B27" s="32"/>
      <c r="C27" s="32"/>
      <c r="D27" s="32"/>
    </row>
    <row r="28" spans="1:7" x14ac:dyDescent="0.2">
      <c r="A28" s="49">
        <f>+A21</f>
        <v>37256</v>
      </c>
      <c r="B28" s="32"/>
      <c r="C28" s="32"/>
      <c r="D28" s="524">
        <v>307322</v>
      </c>
    </row>
    <row r="29" spans="1:7" x14ac:dyDescent="0.2">
      <c r="A29" s="49">
        <f>+A23</f>
        <v>37286</v>
      </c>
      <c r="B29" s="32"/>
      <c r="C29" s="32"/>
      <c r="D29" s="350">
        <f>+D17</f>
        <v>9507</v>
      </c>
    </row>
    <row r="30" spans="1:7" x14ac:dyDescent="0.2">
      <c r="A30" s="32"/>
      <c r="B30" s="32"/>
      <c r="C30" s="32"/>
      <c r="D30" s="14">
        <f>+D29+D28</f>
        <v>316829</v>
      </c>
      <c r="E30" s="345"/>
    </row>
    <row r="31" spans="1:7" x14ac:dyDescent="0.2">
      <c r="A31" s="139"/>
      <c r="B31" s="119"/>
      <c r="C31" s="140"/>
      <c r="D31" s="555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/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1"/>
      <c r="E36" s="69"/>
      <c r="F36" s="201"/>
      <c r="G36" s="32"/>
    </row>
    <row r="37" spans="1:7" x14ac:dyDescent="0.2">
      <c r="B37" s="69"/>
      <c r="C37" s="69"/>
      <c r="D37" s="291"/>
      <c r="E37" s="69"/>
      <c r="F37" s="201"/>
      <c r="G37" s="32"/>
    </row>
    <row r="38" spans="1:7" x14ac:dyDescent="0.2">
      <c r="B38" s="69"/>
      <c r="C38" s="69"/>
      <c r="D38" s="291"/>
      <c r="E38" s="69"/>
      <c r="F38" s="201"/>
      <c r="G38" s="32"/>
    </row>
    <row r="39" spans="1:7" x14ac:dyDescent="0.2">
      <c r="B39" s="69"/>
      <c r="C39" s="69"/>
      <c r="D39" s="291"/>
      <c r="E39" s="69"/>
      <c r="F39" s="201"/>
      <c r="G39" s="32"/>
    </row>
    <row r="40" spans="1:7" x14ac:dyDescent="0.2">
      <c r="B40" s="69"/>
      <c r="C40" s="69"/>
      <c r="D40" s="291"/>
      <c r="E40" s="69"/>
      <c r="F40" s="201"/>
      <c r="G40" s="32"/>
    </row>
    <row r="41" spans="1:7" x14ac:dyDescent="0.2">
      <c r="B41" s="69"/>
      <c r="C41" s="69"/>
      <c r="D41" s="291"/>
      <c r="E41" s="69"/>
      <c r="F41" s="201"/>
      <c r="G41" s="32"/>
    </row>
    <row r="42" spans="1:7" x14ac:dyDescent="0.2">
      <c r="B42" s="69"/>
      <c r="C42" s="69"/>
      <c r="D42" s="291"/>
      <c r="E42" s="69"/>
      <c r="F42" s="201"/>
      <c r="G42" s="32"/>
    </row>
    <row r="43" spans="1:7" x14ac:dyDescent="0.2">
      <c r="B43" s="69"/>
      <c r="C43" s="69"/>
      <c r="D43" s="291"/>
      <c r="E43" s="69"/>
      <c r="F43" s="201"/>
      <c r="G43" s="32"/>
    </row>
    <row r="44" spans="1:7" x14ac:dyDescent="0.2">
      <c r="B44" s="69"/>
      <c r="C44" s="69"/>
      <c r="D44" s="292"/>
      <c r="E44" s="275"/>
      <c r="F44" s="467"/>
      <c r="G44" s="204"/>
    </row>
    <row r="45" spans="1:7" x14ac:dyDescent="0.2">
      <c r="B45" s="69"/>
      <c r="C45" s="69"/>
      <c r="D45" s="292"/>
      <c r="E45" s="275"/>
      <c r="F45" s="467"/>
      <c r="G45" s="204"/>
    </row>
    <row r="46" spans="1:7" x14ac:dyDescent="0.2">
      <c r="A46" s="32"/>
      <c r="B46" s="69"/>
      <c r="C46" s="69"/>
      <c r="D46" s="275"/>
      <c r="E46" s="275"/>
      <c r="F46" s="467"/>
      <c r="G46" s="204"/>
    </row>
    <row r="47" spans="1:7" x14ac:dyDescent="0.2">
      <c r="A47" s="32"/>
      <c r="B47" s="69"/>
      <c r="C47" s="69"/>
      <c r="D47" s="277"/>
      <c r="E47" s="277"/>
      <c r="F47" s="467"/>
      <c r="G47" s="204"/>
    </row>
    <row r="48" spans="1:7" x14ac:dyDescent="0.2">
      <c r="B48" s="69"/>
      <c r="C48" s="69"/>
      <c r="D48" s="275"/>
      <c r="E48" s="275"/>
      <c r="F48" s="467"/>
      <c r="G48" s="204"/>
    </row>
    <row r="49" spans="1:7" x14ac:dyDescent="0.2">
      <c r="B49" s="69"/>
      <c r="C49" s="69"/>
      <c r="D49" s="275"/>
      <c r="E49" s="275"/>
      <c r="F49" s="467"/>
      <c r="G49" s="204"/>
    </row>
    <row r="50" spans="1:7" x14ac:dyDescent="0.2">
      <c r="C50" s="289"/>
      <c r="D50" s="289"/>
      <c r="E50" s="289"/>
      <c r="F50" s="469"/>
      <c r="G50" s="290"/>
    </row>
    <row r="51" spans="1:7" x14ac:dyDescent="0.2">
      <c r="A51" s="32"/>
      <c r="C51" s="289"/>
      <c r="D51" s="289"/>
      <c r="E51" s="289"/>
      <c r="F51" s="469"/>
    </row>
    <row r="52" spans="1:7" x14ac:dyDescent="0.2">
      <c r="A52" s="32"/>
      <c r="C52" s="289"/>
      <c r="D52" s="289"/>
      <c r="E52" s="289"/>
      <c r="F52" s="469"/>
    </row>
    <row r="53" spans="1:7" x14ac:dyDescent="0.2">
      <c r="A53" s="32"/>
      <c r="C53" s="289"/>
      <c r="D53" s="289"/>
      <c r="E53" s="289"/>
      <c r="F53" s="469"/>
    </row>
    <row r="54" spans="1:7" x14ac:dyDescent="0.2">
      <c r="A54" s="32"/>
      <c r="C54" s="289"/>
      <c r="D54" s="289"/>
      <c r="E54" s="289"/>
      <c r="F54" s="469"/>
    </row>
    <row r="55" spans="1:7" x14ac:dyDescent="0.2">
      <c r="A55" s="32"/>
      <c r="C55" s="289"/>
      <c r="D55" s="289"/>
      <c r="E55" s="278"/>
      <c r="F55" s="422"/>
    </row>
    <row r="56" spans="1:7" x14ac:dyDescent="0.2">
      <c r="C56" s="289"/>
      <c r="D56" s="289"/>
      <c r="E56" s="278"/>
      <c r="F56" s="422"/>
    </row>
    <row r="57" spans="1:7" x14ac:dyDescent="0.2">
      <c r="C57" s="289"/>
      <c r="D57" s="289"/>
      <c r="E57" s="278"/>
      <c r="F57" s="422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70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68"/>
    </row>
    <row r="101" spans="1:6" x14ac:dyDescent="0.2">
      <c r="A101" s="32"/>
      <c r="E101" s="63"/>
      <c r="F101" s="468"/>
    </row>
    <row r="102" spans="1:6" ht="13.5" thickBot="1" x14ac:dyDescent="0.25">
      <c r="A102" s="32"/>
      <c r="D102" s="68"/>
      <c r="E102" s="68"/>
      <c r="F102" s="468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70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68"/>
    </row>
    <row r="127" spans="1:6" x14ac:dyDescent="0.2">
      <c r="A127" s="32"/>
      <c r="D127" s="75"/>
      <c r="E127" s="75"/>
      <c r="F127" s="468"/>
    </row>
    <row r="128" spans="1:6" ht="13.5" thickBot="1" x14ac:dyDescent="0.25">
      <c r="A128" s="32"/>
      <c r="D128" s="77"/>
      <c r="E128" s="77"/>
      <c r="F128" s="468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70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68"/>
    </row>
    <row r="152" spans="1:6" x14ac:dyDescent="0.2">
      <c r="A152" s="32"/>
      <c r="D152" s="75"/>
      <c r="E152" s="75"/>
      <c r="F152" s="468"/>
    </row>
    <row r="153" spans="1:6" ht="13.5" thickBot="1" x14ac:dyDescent="0.25">
      <c r="A153" s="32"/>
      <c r="D153" s="77"/>
      <c r="E153" s="77"/>
      <c r="F153" s="468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70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68"/>
    </row>
    <row r="177" spans="1:6" x14ac:dyDescent="0.2">
      <c r="A177" s="32"/>
      <c r="D177" s="75"/>
      <c r="E177" s="75"/>
      <c r="F177" s="468"/>
    </row>
    <row r="178" spans="1:6" ht="13.5" thickBot="1" x14ac:dyDescent="0.25">
      <c r="A178" s="32"/>
      <c r="D178" s="77"/>
      <c r="E178" s="77"/>
      <c r="F178" s="468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70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68"/>
    </row>
    <row r="201" spans="1:6" x14ac:dyDescent="0.2">
      <c r="A201" s="32"/>
      <c r="D201" s="75"/>
      <c r="E201" s="75"/>
      <c r="F201" s="468"/>
    </row>
    <row r="202" spans="1:6" ht="13.5" thickBot="1" x14ac:dyDescent="0.25">
      <c r="A202" s="32"/>
      <c r="D202" s="83"/>
      <c r="E202" s="77"/>
      <c r="F202" s="468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70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68"/>
    </row>
    <row r="227" spans="1:6" x14ac:dyDescent="0.2">
      <c r="A227" s="32"/>
      <c r="D227" s="75"/>
      <c r="E227" s="75"/>
      <c r="F227" s="468"/>
    </row>
    <row r="228" spans="1:6" ht="13.5" thickBot="1" x14ac:dyDescent="0.25">
      <c r="A228" s="32"/>
      <c r="D228" s="83"/>
      <c r="E228" s="77"/>
      <c r="F228" s="468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70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68"/>
    </row>
    <row r="251" spans="1:6" x14ac:dyDescent="0.2">
      <c r="A251" s="32"/>
      <c r="D251" s="75"/>
      <c r="E251" s="75"/>
      <c r="F251" s="468"/>
    </row>
    <row r="252" spans="1:6" ht="13.5" thickBot="1" x14ac:dyDescent="0.25">
      <c r="A252" s="32"/>
      <c r="D252" s="86"/>
      <c r="E252" s="77"/>
      <c r="F252" s="468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70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68"/>
    </row>
    <row r="275" spans="1:6" x14ac:dyDescent="0.2">
      <c r="A275" s="87"/>
      <c r="B275" s="88"/>
      <c r="C275" s="88"/>
      <c r="D275" s="96"/>
      <c r="E275" s="75"/>
      <c r="F275" s="468"/>
    </row>
    <row r="276" spans="1:6" ht="13.5" thickBot="1" x14ac:dyDescent="0.25">
      <c r="A276" s="87"/>
      <c r="B276" s="88"/>
      <c r="C276" s="88"/>
      <c r="D276" s="98"/>
      <c r="E276" s="77"/>
      <c r="F276" s="468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70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68"/>
    </row>
    <row r="300" spans="1:6" x14ac:dyDescent="0.2">
      <c r="A300" s="87"/>
      <c r="B300" s="88"/>
      <c r="C300" s="88"/>
      <c r="D300" s="96"/>
      <c r="E300" s="75"/>
      <c r="F300" s="468"/>
    </row>
    <row r="301" spans="1:6" ht="13.5" thickBot="1" x14ac:dyDescent="0.25">
      <c r="A301" s="87"/>
      <c r="B301" s="88"/>
      <c r="C301" s="88"/>
      <c r="D301" s="98"/>
      <c r="E301" s="77"/>
      <c r="F301" s="468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70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68"/>
    </row>
    <row r="327" spans="1:6" x14ac:dyDescent="0.2">
      <c r="A327" s="87"/>
      <c r="B327" s="88"/>
      <c r="C327" s="88"/>
      <c r="D327" s="96"/>
      <c r="E327" s="75"/>
      <c r="F327" s="468"/>
    </row>
    <row r="328" spans="1:6" ht="13.5" thickBot="1" x14ac:dyDescent="0.25">
      <c r="A328" s="87"/>
      <c r="B328" s="88"/>
      <c r="C328" s="88"/>
      <c r="D328" s="98"/>
      <c r="E328" s="77"/>
      <c r="F328" s="468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5" workbookViewId="0">
      <selection activeCell="D31" sqref="D31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  <col min="9" max="9" width="11.85546875" bestFit="1" customWidth="1"/>
    <col min="10" max="11" width="10" bestFit="1" customWidth="1"/>
    <col min="12" max="12" width="9.42578125" bestFit="1" customWidth="1"/>
    <col min="14" max="14" width="12" bestFit="1" customWidth="1"/>
    <col min="17" max="18" width="10.5703125" bestFit="1" customWidth="1"/>
    <col min="19" max="19" width="9.28515625" bestFit="1" customWidth="1"/>
    <col min="21" max="21" width="11.42578125" bestFit="1" customWidth="1"/>
  </cols>
  <sheetData>
    <row r="1" spans="1:24" x14ac:dyDescent="0.2">
      <c r="B1">
        <v>52862</v>
      </c>
      <c r="D1">
        <v>6828</v>
      </c>
    </row>
    <row r="2" spans="1:24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5" t="s">
        <v>49</v>
      </c>
    </row>
    <row r="3" spans="1:24" x14ac:dyDescent="0.2">
      <c r="A3">
        <v>1</v>
      </c>
      <c r="B3" s="90">
        <v>43413</v>
      </c>
      <c r="C3" s="90">
        <v>45338</v>
      </c>
      <c r="D3" s="90"/>
      <c r="E3" s="90"/>
      <c r="F3" s="90">
        <f>+E3-D3+C3-B3</f>
        <v>1925</v>
      </c>
    </row>
    <row r="4" spans="1:24" x14ac:dyDescent="0.2">
      <c r="A4">
        <v>2</v>
      </c>
      <c r="B4" s="90">
        <v>45284</v>
      </c>
      <c r="C4" s="90">
        <v>45338</v>
      </c>
      <c r="D4" s="90"/>
      <c r="E4" s="90"/>
      <c r="F4" s="90">
        <f t="shared" ref="F4:F22" si="0">+E4-D4+C4-B4</f>
        <v>54</v>
      </c>
    </row>
    <row r="5" spans="1:24" x14ac:dyDescent="0.2">
      <c r="A5">
        <v>3</v>
      </c>
      <c r="B5" s="90">
        <v>34397</v>
      </c>
      <c r="C5" s="90">
        <v>34338</v>
      </c>
      <c r="D5" s="90"/>
      <c r="E5" s="90"/>
      <c r="F5" s="90">
        <f t="shared" si="0"/>
        <v>-59</v>
      </c>
    </row>
    <row r="6" spans="1:24" x14ac:dyDescent="0.2">
      <c r="A6">
        <v>4</v>
      </c>
      <c r="B6" s="90">
        <v>64090</v>
      </c>
      <c r="C6" s="90">
        <v>66519</v>
      </c>
      <c r="D6" s="90"/>
      <c r="E6" s="90"/>
      <c r="F6" s="90">
        <f t="shared" si="0"/>
        <v>2429</v>
      </c>
      <c r="I6" t="s">
        <v>235</v>
      </c>
      <c r="P6" t="s">
        <v>236</v>
      </c>
    </row>
    <row r="7" spans="1:24" x14ac:dyDescent="0.2">
      <c r="A7">
        <v>5</v>
      </c>
      <c r="B7" s="90">
        <v>66505</v>
      </c>
      <c r="C7" s="90">
        <v>66519</v>
      </c>
      <c r="D7" s="90">
        <v>-21381</v>
      </c>
      <c r="E7" s="90">
        <v>-20000</v>
      </c>
      <c r="F7" s="90">
        <f t="shared" si="0"/>
        <v>1395</v>
      </c>
    </row>
    <row r="8" spans="1:24" x14ac:dyDescent="0.2">
      <c r="A8">
        <v>6</v>
      </c>
      <c r="B8" s="90">
        <v>62713</v>
      </c>
      <c r="C8" s="90">
        <v>66519</v>
      </c>
      <c r="D8" s="90">
        <v>-21994</v>
      </c>
      <c r="E8" s="90">
        <v>-20000</v>
      </c>
      <c r="F8" s="90">
        <f t="shared" si="0"/>
        <v>5800</v>
      </c>
      <c r="I8" s="87" t="s">
        <v>39</v>
      </c>
      <c r="J8" s="87" t="s">
        <v>19</v>
      </c>
      <c r="K8" s="87" t="s">
        <v>20</v>
      </c>
      <c r="L8" s="87" t="s">
        <v>49</v>
      </c>
      <c r="M8" s="87" t="s">
        <v>15</v>
      </c>
      <c r="N8" s="87" t="s">
        <v>27</v>
      </c>
      <c r="O8" s="87"/>
      <c r="P8" s="87" t="s">
        <v>39</v>
      </c>
      <c r="Q8" s="87" t="s">
        <v>19</v>
      </c>
      <c r="R8" s="87" t="s">
        <v>20</v>
      </c>
      <c r="S8" s="87" t="s">
        <v>49</v>
      </c>
      <c r="T8" s="87" t="s">
        <v>15</v>
      </c>
      <c r="U8" s="87" t="s">
        <v>27</v>
      </c>
    </row>
    <row r="9" spans="1:24" ht="15.75" customHeight="1" x14ac:dyDescent="0.2">
      <c r="A9">
        <v>7</v>
      </c>
      <c r="B9" s="90">
        <v>67373</v>
      </c>
      <c r="C9" s="90">
        <v>66519</v>
      </c>
      <c r="D9" s="90">
        <v>-20031</v>
      </c>
      <c r="E9" s="90">
        <v>-20000</v>
      </c>
      <c r="F9" s="90">
        <f t="shared" si="0"/>
        <v>-823</v>
      </c>
      <c r="I9" s="447"/>
      <c r="J9" s="327"/>
      <c r="K9" s="327"/>
      <c r="L9" s="327"/>
      <c r="M9" s="446"/>
      <c r="N9" s="446"/>
      <c r="O9" s="446"/>
      <c r="P9" s="447"/>
      <c r="Q9" s="327"/>
      <c r="R9" s="327"/>
      <c r="S9" s="327"/>
      <c r="T9" s="446"/>
      <c r="U9" s="446"/>
    </row>
    <row r="10" spans="1:24" x14ac:dyDescent="0.2">
      <c r="A10">
        <v>8</v>
      </c>
      <c r="B10" s="90">
        <v>60189</v>
      </c>
      <c r="C10" s="90">
        <v>63115</v>
      </c>
      <c r="D10" s="90">
        <v>-1852</v>
      </c>
      <c r="E10" s="90"/>
      <c r="F10" s="90">
        <f t="shared" si="0"/>
        <v>4778</v>
      </c>
      <c r="I10" s="447">
        <v>37012</v>
      </c>
      <c r="J10" s="327">
        <v>1103057</v>
      </c>
      <c r="K10" s="327">
        <v>1120793</v>
      </c>
      <c r="L10" s="327">
        <f>+K10-J10</f>
        <v>17736</v>
      </c>
      <c r="M10" s="446">
        <v>4.01</v>
      </c>
      <c r="N10" s="446">
        <f>+L10*M10</f>
        <v>71121.36</v>
      </c>
      <c r="O10" s="446"/>
      <c r="P10" s="447">
        <v>37012</v>
      </c>
      <c r="Q10" s="327">
        <v>-202726</v>
      </c>
      <c r="R10" s="327">
        <v>-185000</v>
      </c>
      <c r="S10" s="327">
        <f t="shared" ref="S10:S15" si="1">+R10-Q10</f>
        <v>17726</v>
      </c>
      <c r="T10" s="446">
        <v>4.01</v>
      </c>
      <c r="U10" s="446">
        <f>+S10*T10</f>
        <v>71081.259999999995</v>
      </c>
      <c r="W10" s="448">
        <v>37012</v>
      </c>
      <c r="X10">
        <v>4.01</v>
      </c>
    </row>
    <row r="11" spans="1:24" x14ac:dyDescent="0.2">
      <c r="A11">
        <v>9</v>
      </c>
      <c r="B11" s="90">
        <v>62594</v>
      </c>
      <c r="C11" s="90">
        <v>62519</v>
      </c>
      <c r="D11" s="90"/>
      <c r="E11" s="90"/>
      <c r="F11" s="90">
        <f t="shared" si="0"/>
        <v>-75</v>
      </c>
      <c r="I11" s="447">
        <v>37043</v>
      </c>
      <c r="J11" s="327">
        <f>1647210-1647210+1654290</f>
        <v>1654290</v>
      </c>
      <c r="K11" s="327">
        <v>1681871</v>
      </c>
      <c r="L11" s="327">
        <f>+K11-J11</f>
        <v>27581</v>
      </c>
      <c r="M11" s="446">
        <v>3.51</v>
      </c>
      <c r="N11" s="446">
        <f>+L11*M11</f>
        <v>96809.31</v>
      </c>
      <c r="O11" s="446"/>
      <c r="P11" s="447">
        <v>37043</v>
      </c>
      <c r="Q11" s="327">
        <v>-153623</v>
      </c>
      <c r="R11" s="327">
        <v>-88473</v>
      </c>
      <c r="S11" s="327">
        <f t="shared" si="1"/>
        <v>65150</v>
      </c>
      <c r="T11" s="446">
        <v>3.51</v>
      </c>
      <c r="U11" s="446">
        <f>+S11*T11</f>
        <v>228676.5</v>
      </c>
      <c r="W11" s="448">
        <v>37043</v>
      </c>
      <c r="X11">
        <v>3.51</v>
      </c>
    </row>
    <row r="12" spans="1:24" x14ac:dyDescent="0.2">
      <c r="A12">
        <v>10</v>
      </c>
      <c r="B12" s="90">
        <v>62214</v>
      </c>
      <c r="C12" s="90">
        <v>62218</v>
      </c>
      <c r="D12" s="90"/>
      <c r="E12" s="90"/>
      <c r="F12" s="90">
        <f t="shared" si="0"/>
        <v>4</v>
      </c>
      <c r="I12" s="447">
        <v>37073</v>
      </c>
      <c r="J12" s="327">
        <f>1305497-1305497+1309597</f>
        <v>1309597</v>
      </c>
      <c r="K12" s="327">
        <v>1270571</v>
      </c>
      <c r="L12" s="327">
        <f>+K12-J12</f>
        <v>-39026</v>
      </c>
      <c r="M12" s="446">
        <v>2.94</v>
      </c>
      <c r="N12" s="446">
        <f>+L12*M12</f>
        <v>-114736.44</v>
      </c>
      <c r="O12" s="446"/>
      <c r="P12" s="447">
        <v>37104</v>
      </c>
      <c r="Q12" s="327">
        <v>-34269</v>
      </c>
      <c r="R12" s="327">
        <v>-27046</v>
      </c>
      <c r="S12" s="327">
        <f t="shared" si="1"/>
        <v>7223</v>
      </c>
      <c r="T12" s="446">
        <v>2.85</v>
      </c>
      <c r="U12" s="446">
        <f>+S12*T12</f>
        <v>20585.55</v>
      </c>
      <c r="W12" s="448">
        <v>37073</v>
      </c>
      <c r="X12">
        <v>2.94</v>
      </c>
    </row>
    <row r="13" spans="1:24" x14ac:dyDescent="0.2">
      <c r="A13">
        <v>11</v>
      </c>
      <c r="B13" s="90">
        <v>30610</v>
      </c>
      <c r="C13" s="90">
        <v>30338</v>
      </c>
      <c r="D13" s="90"/>
      <c r="E13" s="90"/>
      <c r="F13" s="90">
        <f t="shared" si="0"/>
        <v>-272</v>
      </c>
      <c r="I13" s="447">
        <v>37104</v>
      </c>
      <c r="J13" s="327">
        <f>1436775-1436775+1438269</f>
        <v>1438269</v>
      </c>
      <c r="K13" s="327">
        <v>1418897</v>
      </c>
      <c r="L13" s="327">
        <f>+K13-J13</f>
        <v>-19372</v>
      </c>
      <c r="M13" s="446">
        <v>2.85</v>
      </c>
      <c r="N13" s="446">
        <f>+L13*M13</f>
        <v>-55210.200000000004</v>
      </c>
      <c r="O13" s="446"/>
      <c r="P13" s="447">
        <v>37135</v>
      </c>
      <c r="Q13" s="327">
        <v>-1191628</v>
      </c>
      <c r="R13" s="327">
        <v>-1210937</v>
      </c>
      <c r="S13" s="327">
        <f t="shared" si="1"/>
        <v>-19309</v>
      </c>
      <c r="T13" s="446">
        <v>1.96</v>
      </c>
      <c r="U13" s="446">
        <f>+S13*T13</f>
        <v>-37845.64</v>
      </c>
      <c r="W13" s="448">
        <v>37104</v>
      </c>
      <c r="X13">
        <v>2.85</v>
      </c>
    </row>
    <row r="14" spans="1:24" x14ac:dyDescent="0.2">
      <c r="A14">
        <v>12</v>
      </c>
      <c r="B14" s="88">
        <v>30325</v>
      </c>
      <c r="C14" s="90">
        <v>30338</v>
      </c>
      <c r="D14" s="88">
        <v>-31967</v>
      </c>
      <c r="E14" s="88">
        <v>-31700</v>
      </c>
      <c r="F14" s="90">
        <f t="shared" si="0"/>
        <v>280</v>
      </c>
      <c r="I14" s="447">
        <v>37135</v>
      </c>
      <c r="J14" s="327">
        <v>1109912</v>
      </c>
      <c r="K14" s="327">
        <v>1111335</v>
      </c>
      <c r="L14" s="327">
        <f>+K14-J14</f>
        <v>1423</v>
      </c>
      <c r="M14" s="446">
        <v>1.96</v>
      </c>
      <c r="N14" s="449">
        <f>+L14*M14</f>
        <v>2789.08</v>
      </c>
      <c r="O14" s="446"/>
      <c r="P14" s="447"/>
      <c r="Q14" s="327"/>
      <c r="R14" s="327"/>
      <c r="S14" s="327">
        <f t="shared" si="1"/>
        <v>0</v>
      </c>
      <c r="T14" s="446"/>
      <c r="U14" s="446"/>
      <c r="W14" s="448">
        <v>37135</v>
      </c>
      <c r="X14">
        <v>1.96</v>
      </c>
    </row>
    <row r="15" spans="1:24" x14ac:dyDescent="0.2">
      <c r="A15">
        <v>13</v>
      </c>
      <c r="B15" s="88">
        <v>30332</v>
      </c>
      <c r="C15" s="88">
        <v>30338</v>
      </c>
      <c r="D15" s="88">
        <v>-32619</v>
      </c>
      <c r="E15" s="88">
        <v>-31700</v>
      </c>
      <c r="F15" s="90">
        <f t="shared" si="0"/>
        <v>925</v>
      </c>
      <c r="I15" s="447"/>
      <c r="J15" s="327"/>
      <c r="K15" s="327"/>
      <c r="L15" s="327"/>
      <c r="M15" s="446"/>
      <c r="N15" s="446"/>
      <c r="O15" s="446"/>
      <c r="P15" s="447"/>
      <c r="Q15" s="327"/>
      <c r="R15" s="327"/>
      <c r="S15" s="327">
        <f t="shared" si="1"/>
        <v>0</v>
      </c>
      <c r="T15" s="446"/>
      <c r="U15" s="446"/>
    </row>
    <row r="16" spans="1:24" x14ac:dyDescent="0.2">
      <c r="A16">
        <v>14</v>
      </c>
      <c r="B16" s="88">
        <v>30283</v>
      </c>
      <c r="C16" s="88">
        <v>30338</v>
      </c>
      <c r="D16" s="88">
        <v>-33085</v>
      </c>
      <c r="E16" s="88">
        <v>-31700</v>
      </c>
      <c r="F16" s="90">
        <f t="shared" si="0"/>
        <v>1440</v>
      </c>
      <c r="I16" s="447" t="s">
        <v>237</v>
      </c>
      <c r="J16" s="327"/>
      <c r="K16" s="327"/>
      <c r="L16" s="327">
        <f>SUM(L10:L15)</f>
        <v>-11658</v>
      </c>
      <c r="M16" s="446"/>
      <c r="N16" s="446">
        <f>SUM(N9:N15)</f>
        <v>773.10999999997694</v>
      </c>
      <c r="O16" s="446"/>
      <c r="P16" s="447" t="s">
        <v>237</v>
      </c>
      <c r="Q16" s="327"/>
      <c r="R16" s="327"/>
      <c r="S16" s="327">
        <f>SUM(S9:S15)</f>
        <v>70790</v>
      </c>
      <c r="T16" s="446"/>
      <c r="U16" s="446">
        <f>SUM(U9:U15)</f>
        <v>282497.67</v>
      </c>
    </row>
    <row r="17" spans="1:21" x14ac:dyDescent="0.2">
      <c r="A17">
        <v>15</v>
      </c>
      <c r="B17" s="88">
        <v>29984</v>
      </c>
      <c r="C17" s="88">
        <v>30338</v>
      </c>
      <c r="D17" s="327">
        <v>-647</v>
      </c>
      <c r="E17" s="327"/>
      <c r="F17" s="90">
        <f t="shared" si="0"/>
        <v>1001</v>
      </c>
    </row>
    <row r="18" spans="1:21" x14ac:dyDescent="0.2">
      <c r="A18">
        <v>16</v>
      </c>
      <c r="B18" s="88">
        <v>48253</v>
      </c>
      <c r="C18" s="88">
        <v>48338</v>
      </c>
      <c r="D18" s="327"/>
      <c r="E18" s="327"/>
      <c r="F18" s="90">
        <f t="shared" si="0"/>
        <v>85</v>
      </c>
      <c r="I18" s="447" t="s">
        <v>238</v>
      </c>
      <c r="J18" s="327"/>
      <c r="K18" s="327"/>
      <c r="L18" s="327">
        <v>19880</v>
      </c>
      <c r="M18" s="446"/>
      <c r="N18" s="446"/>
      <c r="O18" s="446"/>
      <c r="P18" s="447" t="s">
        <v>238</v>
      </c>
      <c r="Q18" s="327"/>
      <c r="R18" s="327"/>
      <c r="S18" s="327">
        <v>37185</v>
      </c>
      <c r="T18" s="446"/>
      <c r="U18" s="446"/>
    </row>
    <row r="19" spans="1:21" x14ac:dyDescent="0.2">
      <c r="A19">
        <v>17</v>
      </c>
      <c r="B19" s="88">
        <v>30456</v>
      </c>
      <c r="C19" s="88">
        <v>30338</v>
      </c>
      <c r="D19" s="327"/>
      <c r="E19" s="327"/>
      <c r="F19" s="90">
        <f t="shared" si="0"/>
        <v>-118</v>
      </c>
      <c r="I19" s="447"/>
      <c r="J19" s="327"/>
      <c r="K19" s="327"/>
      <c r="L19" s="327"/>
      <c r="M19" s="446"/>
      <c r="N19" s="446"/>
      <c r="O19" s="446"/>
      <c r="P19" s="447"/>
      <c r="Q19" s="327"/>
      <c r="R19" s="327"/>
      <c r="S19" s="327"/>
      <c r="T19" s="446"/>
      <c r="U19" s="446"/>
    </row>
    <row r="20" spans="1:21" x14ac:dyDescent="0.2">
      <c r="A20">
        <v>18</v>
      </c>
      <c r="B20" s="327">
        <v>43183</v>
      </c>
      <c r="C20" s="327">
        <v>43338</v>
      </c>
      <c r="D20" s="327">
        <v>-14965</v>
      </c>
      <c r="E20" s="327">
        <v>-14800</v>
      </c>
      <c r="F20" s="90">
        <f t="shared" si="0"/>
        <v>320</v>
      </c>
      <c r="I20" s="447"/>
      <c r="J20" s="327"/>
      <c r="K20" s="327"/>
      <c r="L20" s="327"/>
      <c r="M20" s="446"/>
      <c r="N20" s="446"/>
      <c r="O20" s="446"/>
      <c r="P20" s="447"/>
      <c r="Q20" s="327"/>
      <c r="R20" s="327"/>
      <c r="S20" s="327"/>
      <c r="T20" s="446"/>
      <c r="U20" s="446"/>
    </row>
    <row r="21" spans="1:21" x14ac:dyDescent="0.2">
      <c r="A21">
        <v>19</v>
      </c>
      <c r="B21" s="327">
        <v>53211</v>
      </c>
      <c r="C21" s="327">
        <v>53338</v>
      </c>
      <c r="D21" s="327">
        <v>-5264</v>
      </c>
      <c r="E21" s="327">
        <v>-5000</v>
      </c>
      <c r="F21" s="90">
        <f t="shared" si="0"/>
        <v>391</v>
      </c>
      <c r="I21" s="447"/>
      <c r="J21" s="327"/>
      <c r="K21" s="327"/>
      <c r="L21" s="327"/>
      <c r="M21" s="446"/>
      <c r="N21" s="446"/>
      <c r="O21" s="446"/>
      <c r="P21" s="447"/>
      <c r="Q21" s="327"/>
      <c r="R21" s="327"/>
      <c r="S21" s="327"/>
      <c r="T21" s="446"/>
      <c r="U21" s="446"/>
    </row>
    <row r="22" spans="1:21" x14ac:dyDescent="0.2">
      <c r="A22">
        <v>20</v>
      </c>
      <c r="B22" s="428">
        <v>53307</v>
      </c>
      <c r="C22" s="327">
        <v>53338</v>
      </c>
      <c r="D22" s="327">
        <v>-5074</v>
      </c>
      <c r="E22" s="327">
        <v>-5000</v>
      </c>
      <c r="F22" s="90">
        <f t="shared" si="0"/>
        <v>105</v>
      </c>
      <c r="I22" s="447"/>
      <c r="J22" s="327"/>
      <c r="K22" s="327"/>
      <c r="L22" s="327"/>
      <c r="M22" s="446"/>
      <c r="N22" s="446"/>
      <c r="O22" s="446"/>
      <c r="P22" s="447"/>
      <c r="Q22" s="327"/>
      <c r="R22" s="327"/>
      <c r="S22" s="327"/>
      <c r="T22" s="446"/>
      <c r="U22" s="446"/>
    </row>
    <row r="23" spans="1:21" x14ac:dyDescent="0.2">
      <c r="A23">
        <v>21</v>
      </c>
      <c r="B23" s="327">
        <v>53312</v>
      </c>
      <c r="C23" s="327">
        <v>53338</v>
      </c>
      <c r="D23" s="327">
        <v>-5324</v>
      </c>
      <c r="E23" s="327">
        <v>-5000</v>
      </c>
      <c r="F23" s="90">
        <f t="shared" ref="F23:F33" si="2">+E23-D23+C23-B23</f>
        <v>350</v>
      </c>
      <c r="I23" s="447"/>
      <c r="J23" s="327"/>
      <c r="K23" s="327"/>
      <c r="L23" s="327"/>
      <c r="M23" s="446"/>
      <c r="N23" s="446"/>
      <c r="O23" s="446"/>
      <c r="P23" s="447"/>
      <c r="Q23" s="327"/>
      <c r="R23" s="327"/>
      <c r="S23" s="327"/>
      <c r="T23" s="446"/>
      <c r="U23" s="446"/>
    </row>
    <row r="24" spans="1:21" x14ac:dyDescent="0.2">
      <c r="A24">
        <v>22</v>
      </c>
      <c r="B24" s="327">
        <v>53299</v>
      </c>
      <c r="C24" s="327">
        <v>53338</v>
      </c>
      <c r="D24" s="327">
        <v>-5221</v>
      </c>
      <c r="E24" s="327">
        <v>-5000</v>
      </c>
      <c r="F24" s="90">
        <f t="shared" si="2"/>
        <v>260</v>
      </c>
      <c r="I24" s="87"/>
      <c r="J24" s="87"/>
      <c r="K24" s="87"/>
      <c r="L24" s="87"/>
      <c r="M24" s="446"/>
      <c r="N24" s="446"/>
      <c r="O24" s="446"/>
      <c r="P24" s="87"/>
      <c r="Q24" s="87"/>
      <c r="R24" s="87"/>
      <c r="S24" s="327"/>
      <c r="T24" s="446"/>
      <c r="U24" s="446"/>
    </row>
    <row r="25" spans="1:21" x14ac:dyDescent="0.2">
      <c r="A25">
        <v>23</v>
      </c>
      <c r="B25" s="428">
        <v>32502</v>
      </c>
      <c r="C25" s="327">
        <v>32338</v>
      </c>
      <c r="D25" s="327"/>
      <c r="E25" s="327"/>
      <c r="F25" s="90">
        <f t="shared" si="2"/>
        <v>-164</v>
      </c>
      <c r="I25" s="87"/>
      <c r="J25" s="87"/>
      <c r="K25" s="87"/>
      <c r="L25" s="87"/>
      <c r="M25" s="446"/>
      <c r="N25" s="446"/>
      <c r="O25" s="446"/>
      <c r="P25" s="87"/>
      <c r="Q25" s="87"/>
      <c r="R25" s="87"/>
      <c r="S25" s="327"/>
      <c r="T25" s="446"/>
      <c r="U25" s="446"/>
    </row>
    <row r="26" spans="1:21" x14ac:dyDescent="0.2">
      <c r="A26">
        <v>24</v>
      </c>
      <c r="B26" s="327">
        <v>32275</v>
      </c>
      <c r="C26" s="327">
        <v>32338</v>
      </c>
      <c r="D26" s="327"/>
      <c r="E26" s="327"/>
      <c r="F26" s="90">
        <f t="shared" si="2"/>
        <v>63</v>
      </c>
      <c r="I26" s="87"/>
      <c r="J26" s="87"/>
      <c r="K26" s="87"/>
      <c r="L26" s="87"/>
      <c r="M26" s="446"/>
      <c r="N26" s="446"/>
      <c r="O26" s="446"/>
      <c r="P26" s="87"/>
      <c r="Q26" s="87"/>
      <c r="R26" s="87"/>
      <c r="S26" s="327"/>
      <c r="T26" s="446"/>
      <c r="U26" s="446"/>
    </row>
    <row r="27" spans="1:21" x14ac:dyDescent="0.2">
      <c r="A27">
        <v>25</v>
      </c>
      <c r="B27" s="327">
        <v>30341</v>
      </c>
      <c r="C27" s="327">
        <v>30338</v>
      </c>
      <c r="D27" s="327">
        <v>-1</v>
      </c>
      <c r="E27" s="327"/>
      <c r="F27" s="90">
        <f t="shared" si="2"/>
        <v>-2</v>
      </c>
      <c r="I27" s="87"/>
      <c r="J27" s="87"/>
      <c r="K27" s="87"/>
      <c r="L27" s="87"/>
      <c r="M27" s="446"/>
      <c r="N27" s="446"/>
      <c r="O27" s="446"/>
      <c r="P27" s="87"/>
      <c r="Q27" s="87"/>
      <c r="R27" s="87"/>
      <c r="S27" s="327"/>
      <c r="T27" s="446"/>
      <c r="U27" s="446"/>
    </row>
    <row r="28" spans="1:21" x14ac:dyDescent="0.2">
      <c r="A28">
        <v>26</v>
      </c>
      <c r="B28" s="327">
        <v>39356</v>
      </c>
      <c r="C28" s="327">
        <v>39493</v>
      </c>
      <c r="D28" s="14"/>
      <c r="E28" s="14"/>
      <c r="F28" s="90">
        <f t="shared" si="2"/>
        <v>137</v>
      </c>
      <c r="I28" s="87"/>
      <c r="J28" s="87"/>
      <c r="K28" s="87"/>
      <c r="L28" s="87"/>
      <c r="M28" s="446"/>
      <c r="N28" s="446"/>
      <c r="O28" s="446"/>
      <c r="P28" s="87"/>
      <c r="Q28" s="87"/>
      <c r="R28" s="87"/>
      <c r="S28" s="87"/>
      <c r="T28" s="446"/>
      <c r="U28" s="446"/>
    </row>
    <row r="29" spans="1:21" x14ac:dyDescent="0.2">
      <c r="A29">
        <v>27</v>
      </c>
      <c r="B29" s="327">
        <v>39450</v>
      </c>
      <c r="C29" s="327">
        <v>39493</v>
      </c>
      <c r="D29" s="14"/>
      <c r="E29" s="14"/>
      <c r="F29" s="90">
        <f t="shared" si="2"/>
        <v>43</v>
      </c>
      <c r="I29" s="87"/>
      <c r="J29" s="87"/>
      <c r="K29" s="87"/>
      <c r="L29" s="87"/>
      <c r="M29" s="446"/>
      <c r="N29" s="446"/>
      <c r="O29" s="446"/>
      <c r="P29" s="87"/>
      <c r="Q29" s="87"/>
      <c r="R29" s="87"/>
      <c r="S29" s="87"/>
      <c r="T29" s="446"/>
      <c r="U29" s="446"/>
    </row>
    <row r="30" spans="1:21" x14ac:dyDescent="0.2">
      <c r="A30">
        <v>28</v>
      </c>
      <c r="B30" s="428">
        <v>39492</v>
      </c>
      <c r="C30" s="327">
        <v>39493</v>
      </c>
      <c r="D30" s="14"/>
      <c r="E30" s="14"/>
      <c r="F30" s="90">
        <f t="shared" si="2"/>
        <v>1</v>
      </c>
      <c r="I30" s="87"/>
      <c r="J30" s="87"/>
      <c r="K30" s="87"/>
      <c r="L30" s="87"/>
      <c r="M30" s="446"/>
      <c r="N30" s="446"/>
      <c r="O30" s="446"/>
      <c r="P30" s="87"/>
      <c r="Q30" s="87"/>
      <c r="R30" s="87"/>
      <c r="S30" s="87"/>
      <c r="T30" s="446"/>
      <c r="U30" s="446"/>
    </row>
    <row r="31" spans="1:21" x14ac:dyDescent="0.2">
      <c r="A31">
        <v>29</v>
      </c>
      <c r="B31" s="327">
        <v>39448</v>
      </c>
      <c r="C31" s="327">
        <v>39545</v>
      </c>
      <c r="D31" s="14"/>
      <c r="E31" s="14"/>
      <c r="F31" s="90">
        <f t="shared" si="2"/>
        <v>97</v>
      </c>
      <c r="I31" s="87"/>
      <c r="J31" s="87"/>
      <c r="K31" s="87"/>
      <c r="L31" s="87"/>
      <c r="M31" s="446"/>
      <c r="N31" s="446"/>
      <c r="O31" s="446"/>
      <c r="P31" s="87"/>
      <c r="Q31" s="87"/>
      <c r="R31" s="87"/>
      <c r="S31" s="87"/>
      <c r="T31" s="446"/>
      <c r="U31" s="446"/>
    </row>
    <row r="32" spans="1:21" x14ac:dyDescent="0.2">
      <c r="A32">
        <v>30</v>
      </c>
      <c r="B32" s="327"/>
      <c r="C32" s="327"/>
      <c r="D32" s="14"/>
      <c r="E32" s="14"/>
      <c r="F32" s="90">
        <f t="shared" si="2"/>
        <v>0</v>
      </c>
      <c r="M32" s="259"/>
      <c r="N32" s="259"/>
      <c r="O32" s="259"/>
      <c r="P32">
        <v>10000</v>
      </c>
      <c r="Q32">
        <v>2</v>
      </c>
      <c r="R32">
        <f>+Q32*P32</f>
        <v>20000</v>
      </c>
      <c r="T32" s="259"/>
      <c r="U32" s="259"/>
    </row>
    <row r="33" spans="1:21" x14ac:dyDescent="0.2">
      <c r="A33">
        <v>31</v>
      </c>
      <c r="B33" s="327"/>
      <c r="C33" s="327"/>
      <c r="D33" s="14"/>
      <c r="E33" s="14"/>
      <c r="F33" s="90">
        <f t="shared" si="2"/>
        <v>0</v>
      </c>
      <c r="M33" s="259"/>
      <c r="N33" s="259"/>
      <c r="O33" s="259"/>
      <c r="P33">
        <v>-10000</v>
      </c>
      <c r="Q33">
        <v>1.5</v>
      </c>
      <c r="R33">
        <f>+Q33*P33</f>
        <v>-15000</v>
      </c>
      <c r="T33" s="259"/>
      <c r="U33" s="259"/>
    </row>
    <row r="34" spans="1:21" x14ac:dyDescent="0.2">
      <c r="B34" s="287">
        <f>SUM(B3:B33)</f>
        <v>1308191</v>
      </c>
      <c r="C34" s="287">
        <f>SUM(C3:C33)</f>
        <v>1319036</v>
      </c>
      <c r="D34" s="14">
        <f>SUM(D3:D33)</f>
        <v>-199425</v>
      </c>
      <c r="E34" s="14">
        <f>SUM(E3:E33)</f>
        <v>-189900</v>
      </c>
      <c r="F34" s="14">
        <f>SUM(F3:F33)</f>
        <v>20370</v>
      </c>
      <c r="M34" s="259"/>
      <c r="N34" s="259"/>
      <c r="O34" s="259"/>
      <c r="R34">
        <f>+R33+R32</f>
        <v>5000</v>
      </c>
      <c r="T34" s="259"/>
      <c r="U34" s="259"/>
    </row>
    <row r="35" spans="1:21" x14ac:dyDescent="0.2">
      <c r="D35" s="14"/>
      <c r="E35" s="14"/>
      <c r="F35" s="14"/>
      <c r="M35" s="259"/>
      <c r="N35" s="259"/>
      <c r="O35" s="259"/>
      <c r="T35" s="259"/>
      <c r="U35" s="259"/>
    </row>
    <row r="36" spans="1:21" x14ac:dyDescent="0.2">
      <c r="F36" s="331"/>
      <c r="M36" s="259"/>
      <c r="N36" s="259"/>
      <c r="O36" s="259"/>
      <c r="T36" s="259"/>
      <c r="U36" s="259"/>
    </row>
    <row r="37" spans="1:21" x14ac:dyDescent="0.2">
      <c r="A37" s="256">
        <v>37256</v>
      </c>
      <c r="B37" s="14"/>
      <c r="C37" s="14"/>
      <c r="D37" s="14"/>
      <c r="E37" s="14"/>
      <c r="F37" s="486">
        <f>8222+107019</f>
        <v>115241</v>
      </c>
      <c r="M37" s="259"/>
      <c r="N37" s="259"/>
      <c r="O37" s="259"/>
      <c r="T37" s="259"/>
      <c r="U37" s="259"/>
    </row>
    <row r="38" spans="1:21" x14ac:dyDescent="0.2">
      <c r="A38" s="581">
        <v>37285</v>
      </c>
      <c r="B38" s="14"/>
      <c r="C38" s="14"/>
      <c r="D38" s="14"/>
      <c r="E38" s="14"/>
      <c r="F38" s="150">
        <f>+F37+F34</f>
        <v>135611</v>
      </c>
      <c r="M38" s="259"/>
      <c r="N38" s="259"/>
      <c r="O38" s="259"/>
    </row>
    <row r="39" spans="1:21" x14ac:dyDescent="0.2">
      <c r="F39" s="290"/>
      <c r="M39" s="259"/>
      <c r="N39" s="259"/>
      <c r="O39" s="259"/>
    </row>
    <row r="40" spans="1:21" x14ac:dyDescent="0.2">
      <c r="F40" s="290"/>
      <c r="I40" s="345"/>
      <c r="M40" s="259"/>
      <c r="N40" s="259"/>
      <c r="O40" s="259"/>
    </row>
    <row r="41" spans="1:21" x14ac:dyDescent="0.2">
      <c r="F41" s="290"/>
      <c r="I41" s="345"/>
      <c r="M41" s="259"/>
      <c r="N41" s="259"/>
      <c r="O41" s="259"/>
    </row>
    <row r="42" spans="1:21" x14ac:dyDescent="0.2">
      <c r="A42" s="32" t="s">
        <v>150</v>
      </c>
      <c r="B42" s="32"/>
      <c r="C42" s="32"/>
      <c r="D42" s="47"/>
      <c r="F42" s="293"/>
      <c r="I42" s="345"/>
      <c r="M42" s="259"/>
      <c r="N42" s="259"/>
      <c r="O42" s="259"/>
    </row>
    <row r="43" spans="1:21" x14ac:dyDescent="0.2">
      <c r="A43" s="49">
        <f>+A37</f>
        <v>37256</v>
      </c>
      <c r="B43" s="32"/>
      <c r="C43" s="32"/>
      <c r="D43" s="489">
        <v>296376</v>
      </c>
      <c r="F43" s="290"/>
      <c r="G43" s="31"/>
      <c r="I43" s="345"/>
      <c r="M43" s="259"/>
      <c r="N43" s="259"/>
      <c r="O43" s="259"/>
    </row>
    <row r="44" spans="1:21" x14ac:dyDescent="0.2">
      <c r="A44" s="49">
        <f>+A38</f>
        <v>37285</v>
      </c>
      <c r="B44" s="32"/>
      <c r="C44" s="32"/>
      <c r="D44" s="375">
        <f>+F34*'by type_area'!G4</f>
        <v>42369.599999999999</v>
      </c>
      <c r="F44" s="290"/>
      <c r="I44" s="345"/>
      <c r="M44" s="259"/>
      <c r="N44" s="259"/>
      <c r="O44" s="259"/>
    </row>
    <row r="45" spans="1:21" x14ac:dyDescent="0.2">
      <c r="A45" s="32"/>
      <c r="B45" s="32"/>
      <c r="C45" s="32"/>
      <c r="D45" s="200">
        <f>+D44+D43</f>
        <v>338745.59999999998</v>
      </c>
      <c r="F45" s="290"/>
      <c r="I45" s="504"/>
      <c r="M45" s="259"/>
      <c r="N45" s="259"/>
      <c r="O45" s="259"/>
    </row>
    <row r="46" spans="1:21" x14ac:dyDescent="0.2">
      <c r="F46" s="290"/>
      <c r="I46" s="345"/>
      <c r="M46" s="259"/>
      <c r="N46" s="259"/>
      <c r="O46" s="259"/>
    </row>
    <row r="47" spans="1:21" x14ac:dyDescent="0.2">
      <c r="F47" s="290"/>
      <c r="M47" s="259"/>
      <c r="N47" s="259"/>
      <c r="O47" s="259"/>
    </row>
    <row r="48" spans="1:21" x14ac:dyDescent="0.2">
      <c r="F48" s="290"/>
      <c r="M48" s="259"/>
      <c r="N48" s="259"/>
      <c r="O48" s="259"/>
    </row>
    <row r="49" spans="13:15" x14ac:dyDescent="0.2">
      <c r="M49" s="259"/>
      <c r="N49" s="259"/>
      <c r="O49" s="259"/>
    </row>
    <row r="50" spans="13:15" x14ac:dyDescent="0.2">
      <c r="M50" s="259"/>
      <c r="N50" s="259"/>
      <c r="O50" s="259"/>
    </row>
    <row r="51" spans="13:15" x14ac:dyDescent="0.2">
      <c r="M51" s="259"/>
      <c r="N51" s="259"/>
      <c r="O51" s="259"/>
    </row>
    <row r="52" spans="13:15" x14ac:dyDescent="0.2">
      <c r="M52" s="259"/>
      <c r="N52" s="259"/>
      <c r="O52" s="259"/>
    </row>
    <row r="53" spans="13:15" x14ac:dyDescent="0.2">
      <c r="M53" s="259"/>
      <c r="N53" s="259"/>
      <c r="O53" s="259"/>
    </row>
    <row r="54" spans="13:15" x14ac:dyDescent="0.2">
      <c r="M54" s="259"/>
      <c r="N54" s="259"/>
      <c r="O54" s="259"/>
    </row>
    <row r="55" spans="13:15" x14ac:dyDescent="0.2">
      <c r="M55" s="259"/>
      <c r="N55" s="259"/>
      <c r="O55" s="259"/>
    </row>
    <row r="56" spans="13:15" x14ac:dyDescent="0.2">
      <c r="M56" s="259"/>
      <c r="N56" s="259"/>
      <c r="O56" s="259"/>
    </row>
    <row r="57" spans="13:15" x14ac:dyDescent="0.2">
      <c r="M57" s="259"/>
      <c r="N57" s="259"/>
      <c r="O57" s="259"/>
    </row>
    <row r="58" spans="13:15" x14ac:dyDescent="0.2">
      <c r="M58" s="259"/>
      <c r="N58" s="259"/>
      <c r="O58" s="259"/>
    </row>
    <row r="59" spans="13:15" x14ac:dyDescent="0.2">
      <c r="M59" s="259"/>
      <c r="N59" s="259"/>
      <c r="O59" s="259"/>
    </row>
    <row r="60" spans="13:15" x14ac:dyDescent="0.2">
      <c r="M60" s="259"/>
      <c r="N60" s="259"/>
      <c r="O60" s="259"/>
    </row>
    <row r="61" spans="13:15" x14ac:dyDescent="0.2">
      <c r="M61" s="259"/>
      <c r="N61" s="259"/>
      <c r="O61" s="259"/>
    </row>
    <row r="62" spans="13:15" x14ac:dyDescent="0.2">
      <c r="M62" s="259"/>
      <c r="N62" s="259"/>
      <c r="O62" s="259"/>
    </row>
    <row r="63" spans="13:15" x14ac:dyDescent="0.2">
      <c r="M63" s="259"/>
      <c r="N63" s="259"/>
      <c r="O63" s="259"/>
    </row>
    <row r="64" spans="13:15" x14ac:dyDescent="0.2">
      <c r="M64" s="259"/>
      <c r="N64" s="259"/>
      <c r="O64" s="259"/>
    </row>
    <row r="65" spans="13:15" x14ac:dyDescent="0.2">
      <c r="M65" s="259"/>
      <c r="N65" s="259"/>
      <c r="O65" s="259"/>
    </row>
    <row r="66" spans="13:15" x14ac:dyDescent="0.2">
      <c r="M66" s="259"/>
      <c r="N66" s="259"/>
      <c r="O66" s="259"/>
    </row>
    <row r="67" spans="13:15" x14ac:dyDescent="0.2">
      <c r="M67" s="259"/>
      <c r="N67" s="259"/>
      <c r="O67" s="259"/>
    </row>
    <row r="68" spans="13:15" x14ac:dyDescent="0.2">
      <c r="M68" s="259"/>
      <c r="N68" s="259"/>
      <c r="O68" s="259"/>
    </row>
    <row r="69" spans="13:15" x14ac:dyDescent="0.2">
      <c r="M69" s="259"/>
      <c r="N69" s="259"/>
      <c r="O69" s="259"/>
    </row>
    <row r="70" spans="13:15" x14ac:dyDescent="0.2">
      <c r="M70" s="259"/>
      <c r="N70" s="259"/>
      <c r="O70" s="259"/>
    </row>
    <row r="71" spans="13:15" x14ac:dyDescent="0.2">
      <c r="M71" s="259"/>
      <c r="N71" s="259"/>
      <c r="O71" s="259"/>
    </row>
    <row r="72" spans="13:15" x14ac:dyDescent="0.2">
      <c r="M72" s="259"/>
      <c r="N72" s="259"/>
      <c r="O72" s="259"/>
    </row>
    <row r="73" spans="13:15" x14ac:dyDescent="0.2">
      <c r="M73" s="259"/>
      <c r="N73" s="259"/>
      <c r="O73" s="259"/>
    </row>
    <row r="74" spans="13:15" x14ac:dyDescent="0.2">
      <c r="M74" s="259"/>
      <c r="N74" s="259"/>
      <c r="O74" s="259"/>
    </row>
    <row r="75" spans="13:15" x14ac:dyDescent="0.2">
      <c r="M75" s="259"/>
      <c r="N75" s="259"/>
      <c r="O75" s="259"/>
    </row>
    <row r="76" spans="13:15" x14ac:dyDescent="0.2">
      <c r="M76" s="259"/>
      <c r="N76" s="259"/>
      <c r="O76" s="259"/>
    </row>
    <row r="77" spans="13:15" x14ac:dyDescent="0.2">
      <c r="M77" s="259"/>
      <c r="N77" s="259"/>
      <c r="O77" s="259"/>
    </row>
    <row r="78" spans="13:15" x14ac:dyDescent="0.2">
      <c r="M78" s="259"/>
      <c r="N78" s="259"/>
      <c r="O78" s="259"/>
    </row>
    <row r="79" spans="13:15" x14ac:dyDescent="0.2">
      <c r="M79" s="259"/>
      <c r="N79" s="259"/>
      <c r="O79" s="259"/>
    </row>
    <row r="80" spans="13:15" x14ac:dyDescent="0.2">
      <c r="M80" s="259"/>
      <c r="N80" s="259"/>
      <c r="O80" s="259"/>
    </row>
    <row r="81" spans="13:15" x14ac:dyDescent="0.2">
      <c r="M81" s="259"/>
      <c r="N81" s="259"/>
      <c r="O81" s="259"/>
    </row>
    <row r="82" spans="13:15" x14ac:dyDescent="0.2">
      <c r="M82" s="259"/>
      <c r="N82" s="259"/>
      <c r="O82" s="259"/>
    </row>
    <row r="83" spans="13:15" x14ac:dyDescent="0.2">
      <c r="M83" s="259"/>
      <c r="N83" s="259"/>
      <c r="O83" s="259"/>
    </row>
    <row r="84" spans="13:15" x14ac:dyDescent="0.2">
      <c r="M84" s="259"/>
      <c r="N84" s="259"/>
      <c r="O84" s="259"/>
    </row>
    <row r="85" spans="13:15" x14ac:dyDescent="0.2">
      <c r="M85" s="259"/>
      <c r="N85" s="259"/>
      <c r="O85" s="259"/>
    </row>
    <row r="86" spans="13:15" x14ac:dyDescent="0.2">
      <c r="M86" s="259"/>
      <c r="N86" s="259"/>
      <c r="O86" s="259"/>
    </row>
    <row r="87" spans="13:15" x14ac:dyDescent="0.2">
      <c r="M87" s="259"/>
      <c r="N87" s="259"/>
      <c r="O87" s="259"/>
    </row>
    <row r="88" spans="13:15" x14ac:dyDescent="0.2">
      <c r="M88" s="259"/>
      <c r="N88" s="259"/>
      <c r="O88" s="259"/>
    </row>
    <row r="89" spans="13:15" x14ac:dyDescent="0.2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27" workbookViewId="0">
      <selection activeCell="C33" sqref="C33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-945</v>
      </c>
      <c r="C4" s="11">
        <v>-900</v>
      </c>
      <c r="D4" s="25">
        <f>+C4-B4</f>
        <v>45</v>
      </c>
    </row>
    <row r="5" spans="1:4" x14ac:dyDescent="0.2">
      <c r="A5" s="10">
        <v>2</v>
      </c>
      <c r="B5" s="11">
        <v>-20011</v>
      </c>
      <c r="C5" s="11">
        <v>-20000</v>
      </c>
      <c r="D5" s="25">
        <f t="shared" ref="D5:D34" si="0">+C5-B5</f>
        <v>11</v>
      </c>
    </row>
    <row r="6" spans="1:4" x14ac:dyDescent="0.2">
      <c r="A6" s="10">
        <v>3</v>
      </c>
      <c r="B6" s="11">
        <v>-19998</v>
      </c>
      <c r="C6" s="11">
        <v>-20000</v>
      </c>
      <c r="D6" s="25">
        <f t="shared" si="0"/>
        <v>-2</v>
      </c>
    </row>
    <row r="7" spans="1:4" x14ac:dyDescent="0.2">
      <c r="A7" s="10">
        <v>4</v>
      </c>
      <c r="B7" s="11">
        <v>-20411</v>
      </c>
      <c r="C7" s="11">
        <v>-20000</v>
      </c>
      <c r="D7" s="25">
        <f t="shared" si="0"/>
        <v>411</v>
      </c>
    </row>
    <row r="8" spans="1:4" x14ac:dyDescent="0.2">
      <c r="A8" s="10">
        <v>5</v>
      </c>
      <c r="B8" s="11">
        <v>-12817</v>
      </c>
      <c r="C8" s="11">
        <v>-9366</v>
      </c>
      <c r="D8" s="25">
        <f t="shared" si="0"/>
        <v>3451</v>
      </c>
    </row>
    <row r="9" spans="1:4" x14ac:dyDescent="0.2">
      <c r="A9" s="10">
        <v>6</v>
      </c>
      <c r="B9" s="11">
        <v>-19992</v>
      </c>
      <c r="C9" s="11">
        <v>-19648</v>
      </c>
      <c r="D9" s="25">
        <f t="shared" si="0"/>
        <v>344</v>
      </c>
    </row>
    <row r="10" spans="1:4" x14ac:dyDescent="0.2">
      <c r="A10" s="10">
        <v>7</v>
      </c>
      <c r="B10" s="129">
        <v>-20005</v>
      </c>
      <c r="C10" s="11">
        <v>-19794</v>
      </c>
      <c r="D10" s="25">
        <f t="shared" si="0"/>
        <v>211</v>
      </c>
    </row>
    <row r="11" spans="1:4" x14ac:dyDescent="0.2">
      <c r="A11" s="10">
        <v>8</v>
      </c>
      <c r="B11" s="11">
        <v>-20572</v>
      </c>
      <c r="C11" s="11">
        <v>-20000</v>
      </c>
      <c r="D11" s="25">
        <f t="shared" si="0"/>
        <v>572</v>
      </c>
    </row>
    <row r="12" spans="1:4" x14ac:dyDescent="0.2">
      <c r="A12" s="10">
        <v>9</v>
      </c>
      <c r="B12" s="11">
        <v>-20237</v>
      </c>
      <c r="C12" s="11">
        <v>-20000</v>
      </c>
      <c r="D12" s="25">
        <f t="shared" si="0"/>
        <v>237</v>
      </c>
    </row>
    <row r="13" spans="1:4" x14ac:dyDescent="0.2">
      <c r="A13" s="10">
        <v>10</v>
      </c>
      <c r="B13" s="11">
        <v>-20998</v>
      </c>
      <c r="C13" s="11">
        <v>-20000</v>
      </c>
      <c r="D13" s="25">
        <f t="shared" si="0"/>
        <v>998</v>
      </c>
    </row>
    <row r="14" spans="1:4" x14ac:dyDescent="0.2">
      <c r="A14" s="10">
        <v>11</v>
      </c>
      <c r="B14" s="11">
        <v>-20735</v>
      </c>
      <c r="C14" s="11">
        <v>-20000</v>
      </c>
      <c r="D14" s="25">
        <f t="shared" si="0"/>
        <v>735</v>
      </c>
    </row>
    <row r="15" spans="1:4" x14ac:dyDescent="0.2">
      <c r="A15" s="10">
        <v>12</v>
      </c>
      <c r="B15" s="11">
        <v>-21003</v>
      </c>
      <c r="C15" s="11">
        <v>-20000</v>
      </c>
      <c r="D15" s="25">
        <f t="shared" si="0"/>
        <v>1003</v>
      </c>
    </row>
    <row r="16" spans="1:4" x14ac:dyDescent="0.2">
      <c r="A16" s="10">
        <v>13</v>
      </c>
      <c r="B16" s="11">
        <v>-20001</v>
      </c>
      <c r="C16" s="11">
        <v>-20000</v>
      </c>
      <c r="D16" s="25">
        <f t="shared" si="0"/>
        <v>1</v>
      </c>
    </row>
    <row r="17" spans="1:8" x14ac:dyDescent="0.2">
      <c r="A17" s="10">
        <v>14</v>
      </c>
      <c r="B17" s="11">
        <v>-19998</v>
      </c>
      <c r="C17" s="11">
        <v>-20000</v>
      </c>
      <c r="D17" s="25">
        <f t="shared" si="0"/>
        <v>-2</v>
      </c>
    </row>
    <row r="18" spans="1:8" x14ac:dyDescent="0.2">
      <c r="A18" s="10">
        <v>15</v>
      </c>
      <c r="B18" s="11">
        <v>-20002</v>
      </c>
      <c r="C18" s="11">
        <v>-19718</v>
      </c>
      <c r="D18" s="25">
        <f t="shared" si="0"/>
        <v>284</v>
      </c>
    </row>
    <row r="19" spans="1:8" x14ac:dyDescent="0.2">
      <c r="A19" s="10">
        <v>16</v>
      </c>
      <c r="B19" s="11">
        <v>-19993</v>
      </c>
      <c r="C19" s="11">
        <v>-19779</v>
      </c>
      <c r="D19" s="25">
        <f t="shared" si="0"/>
        <v>214</v>
      </c>
    </row>
    <row r="20" spans="1:8" x14ac:dyDescent="0.2">
      <c r="A20" s="10">
        <v>17</v>
      </c>
      <c r="B20" s="11">
        <v>-20493</v>
      </c>
      <c r="C20" s="11">
        <v>-20000</v>
      </c>
      <c r="D20" s="25">
        <f t="shared" si="0"/>
        <v>493</v>
      </c>
    </row>
    <row r="21" spans="1:8" x14ac:dyDescent="0.2">
      <c r="A21" s="10">
        <v>18</v>
      </c>
      <c r="B21" s="11">
        <v>-20182</v>
      </c>
      <c r="C21" s="11">
        <v>-20000</v>
      </c>
      <c r="D21" s="25">
        <f t="shared" si="0"/>
        <v>182</v>
      </c>
    </row>
    <row r="22" spans="1:8" x14ac:dyDescent="0.2">
      <c r="A22" s="10">
        <v>19</v>
      </c>
      <c r="B22" s="11">
        <v>-19793</v>
      </c>
      <c r="C22" s="11">
        <v>-19655</v>
      </c>
      <c r="D22" s="25">
        <f t="shared" si="0"/>
        <v>138</v>
      </c>
    </row>
    <row r="23" spans="1:8" x14ac:dyDescent="0.2">
      <c r="A23" s="10">
        <v>20</v>
      </c>
      <c r="B23" s="129">
        <v>-19798</v>
      </c>
      <c r="C23" s="11">
        <v>-19652</v>
      </c>
      <c r="D23" s="25">
        <f t="shared" si="0"/>
        <v>146</v>
      </c>
      <c r="F23" s="25"/>
      <c r="H23" s="34"/>
    </row>
    <row r="24" spans="1:8" x14ac:dyDescent="0.2">
      <c r="A24" s="10">
        <v>21</v>
      </c>
      <c r="B24" s="11">
        <v>-19806</v>
      </c>
      <c r="C24" s="11">
        <v>-19652</v>
      </c>
      <c r="D24" s="25">
        <f t="shared" si="0"/>
        <v>154</v>
      </c>
      <c r="F24" s="25"/>
    </row>
    <row r="25" spans="1:8" x14ac:dyDescent="0.2">
      <c r="A25" s="10">
        <v>22</v>
      </c>
      <c r="B25" s="11">
        <v>-19910</v>
      </c>
      <c r="C25" s="11">
        <v>-19652</v>
      </c>
      <c r="D25" s="25">
        <f t="shared" si="0"/>
        <v>258</v>
      </c>
      <c r="F25" s="25"/>
    </row>
    <row r="26" spans="1:8" x14ac:dyDescent="0.2">
      <c r="A26" s="10">
        <v>23</v>
      </c>
      <c r="B26" s="11">
        <v>-19862</v>
      </c>
      <c r="C26" s="11">
        <v>-20000</v>
      </c>
      <c r="D26" s="25">
        <f t="shared" si="0"/>
        <v>-138</v>
      </c>
      <c r="F26" s="25"/>
    </row>
    <row r="27" spans="1:8" x14ac:dyDescent="0.2">
      <c r="A27" s="10">
        <v>24</v>
      </c>
      <c r="B27" s="11">
        <v>-19794</v>
      </c>
      <c r="C27" s="11">
        <v>-19952</v>
      </c>
      <c r="D27" s="25">
        <f t="shared" si="0"/>
        <v>-158</v>
      </c>
    </row>
    <row r="28" spans="1:8" x14ac:dyDescent="0.2">
      <c r="A28" s="10">
        <v>25</v>
      </c>
      <c r="B28" s="11">
        <v>-2538</v>
      </c>
      <c r="C28" s="11">
        <v>-19779</v>
      </c>
      <c r="D28" s="25">
        <f t="shared" si="0"/>
        <v>-17241</v>
      </c>
    </row>
    <row r="29" spans="1:8" x14ac:dyDescent="0.2">
      <c r="A29" s="10">
        <v>26</v>
      </c>
      <c r="B29" s="11">
        <v>-20129</v>
      </c>
      <c r="C29" s="11">
        <v>-19939</v>
      </c>
      <c r="D29" s="25">
        <f t="shared" si="0"/>
        <v>190</v>
      </c>
    </row>
    <row r="30" spans="1:8" x14ac:dyDescent="0.2">
      <c r="A30" s="10">
        <v>27</v>
      </c>
      <c r="B30" s="11">
        <v>-20003</v>
      </c>
      <c r="C30" s="11">
        <v>-19741</v>
      </c>
      <c r="D30" s="25">
        <f t="shared" si="0"/>
        <v>262</v>
      </c>
    </row>
    <row r="31" spans="1:8" x14ac:dyDescent="0.2">
      <c r="A31" s="10">
        <v>28</v>
      </c>
      <c r="B31" s="11">
        <v>-19991</v>
      </c>
      <c r="C31" s="11">
        <v>-20000</v>
      </c>
      <c r="D31" s="25">
        <f t="shared" si="0"/>
        <v>-9</v>
      </c>
    </row>
    <row r="32" spans="1:8" x14ac:dyDescent="0.2">
      <c r="A32" s="10">
        <v>29</v>
      </c>
      <c r="B32" s="11">
        <v>-19903</v>
      </c>
      <c r="C32" s="11">
        <v>-20000</v>
      </c>
      <c r="D32" s="25">
        <f t="shared" si="0"/>
        <v>-97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-539920</v>
      </c>
      <c r="C35" s="11">
        <f>SUM(C4:C34)</f>
        <v>-547227</v>
      </c>
      <c r="D35" s="11">
        <f>SUM(D4:D34)</f>
        <v>-7307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37256</v>
      </c>
      <c r="D38" s="493">
        <v>186823</v>
      </c>
    </row>
    <row r="39" spans="1:4" x14ac:dyDescent="0.2">
      <c r="A39" s="2"/>
      <c r="D39" s="24"/>
    </row>
    <row r="40" spans="1:4" x14ac:dyDescent="0.2">
      <c r="A40" s="57">
        <v>37285</v>
      </c>
      <c r="D40" s="51">
        <f>+D38+D35</f>
        <v>179516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+A38</f>
        <v>37256</v>
      </c>
      <c r="B45" s="32"/>
      <c r="C45" s="32"/>
      <c r="D45" s="492">
        <v>199813</v>
      </c>
    </row>
    <row r="46" spans="1:4" x14ac:dyDescent="0.2">
      <c r="A46" s="49">
        <f>+A40</f>
        <v>37285</v>
      </c>
      <c r="B46" s="32"/>
      <c r="C46" s="32"/>
      <c r="D46" s="375">
        <f>+D35*'by type_area'!G4</f>
        <v>-15198.560000000001</v>
      </c>
    </row>
    <row r="47" spans="1:4" x14ac:dyDescent="0.2">
      <c r="A47" s="32"/>
      <c r="B47" s="32"/>
      <c r="C47" s="32"/>
      <c r="D47" s="200">
        <f>+D46+D45</f>
        <v>184614.44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9" workbookViewId="0">
      <selection activeCell="C29" sqref="C29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242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10708</v>
      </c>
      <c r="C4" s="11">
        <v>11500</v>
      </c>
      <c r="D4" s="11">
        <v>8161</v>
      </c>
      <c r="E4" s="11">
        <v>8800</v>
      </c>
      <c r="F4" s="11"/>
      <c r="G4" s="11">
        <v>7800</v>
      </c>
      <c r="H4" s="11"/>
      <c r="I4" s="11"/>
      <c r="J4" s="11">
        <f t="shared" ref="J4:J34" si="0">+C4+E4+G4+I4-H4-F4-D4-B4</f>
        <v>9231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10744</v>
      </c>
      <c r="C5" s="11">
        <v>11500</v>
      </c>
      <c r="D5" s="11">
        <v>7789</v>
      </c>
      <c r="E5" s="11">
        <v>8800</v>
      </c>
      <c r="F5" s="11">
        <v>70</v>
      </c>
      <c r="G5" s="11">
        <v>7800</v>
      </c>
      <c r="H5" s="11"/>
      <c r="I5" s="11"/>
      <c r="J5" s="11">
        <f t="shared" si="0"/>
        <v>9497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10863</v>
      </c>
      <c r="C6" s="11">
        <v>11500</v>
      </c>
      <c r="D6" s="11">
        <v>7744</v>
      </c>
      <c r="E6" s="11">
        <v>8800</v>
      </c>
      <c r="F6" s="11">
        <v>3645</v>
      </c>
      <c r="G6" s="11">
        <v>7800</v>
      </c>
      <c r="H6" s="11"/>
      <c r="I6" s="11"/>
      <c r="J6" s="11">
        <f t="shared" si="0"/>
        <v>5848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10242</v>
      </c>
      <c r="C7" s="11">
        <v>11500</v>
      </c>
      <c r="D7" s="11">
        <v>8002</v>
      </c>
      <c r="E7" s="11">
        <v>8800</v>
      </c>
      <c r="F7" s="11">
        <v>5612</v>
      </c>
      <c r="G7" s="11">
        <v>7800</v>
      </c>
      <c r="H7" s="11"/>
      <c r="I7" s="11"/>
      <c r="J7" s="11">
        <f t="shared" si="0"/>
        <v>4244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10778</v>
      </c>
      <c r="C8" s="11">
        <v>10500</v>
      </c>
      <c r="D8" s="129">
        <v>8365</v>
      </c>
      <c r="E8" s="11">
        <v>7800</v>
      </c>
      <c r="F8" s="11">
        <v>7669</v>
      </c>
      <c r="G8" s="11">
        <v>7800</v>
      </c>
      <c r="H8" s="11"/>
      <c r="I8" s="11"/>
      <c r="J8" s="11">
        <f t="shared" si="0"/>
        <v>-712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10431</v>
      </c>
      <c r="C9" s="11">
        <v>10500</v>
      </c>
      <c r="D9" s="11">
        <v>8128</v>
      </c>
      <c r="E9" s="11">
        <v>7800</v>
      </c>
      <c r="F9" s="11">
        <v>7973</v>
      </c>
      <c r="G9" s="11">
        <v>7800</v>
      </c>
      <c r="H9" s="11"/>
      <c r="I9" s="11"/>
      <c r="J9" s="11">
        <f t="shared" si="0"/>
        <v>-432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10424</v>
      </c>
      <c r="C10" s="11">
        <v>10500</v>
      </c>
      <c r="D10" s="129">
        <v>8598</v>
      </c>
      <c r="E10" s="11">
        <v>7800</v>
      </c>
      <c r="F10" s="11">
        <v>7892</v>
      </c>
      <c r="G10" s="11">
        <v>7800</v>
      </c>
      <c r="H10" s="11"/>
      <c r="I10" s="11"/>
      <c r="J10" s="11">
        <f t="shared" si="0"/>
        <v>-814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10274</v>
      </c>
      <c r="C11" s="11">
        <v>10500</v>
      </c>
      <c r="D11" s="11">
        <v>7816</v>
      </c>
      <c r="E11" s="11">
        <v>7800</v>
      </c>
      <c r="F11" s="11">
        <v>7851</v>
      </c>
      <c r="G11" s="11">
        <v>7800</v>
      </c>
      <c r="H11" s="11"/>
      <c r="I11" s="11"/>
      <c r="J11" s="11">
        <f t="shared" si="0"/>
        <v>159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10910</v>
      </c>
      <c r="C12" s="11">
        <v>10500</v>
      </c>
      <c r="D12" s="11">
        <v>8098</v>
      </c>
      <c r="E12" s="11">
        <v>7800</v>
      </c>
      <c r="F12" s="11">
        <v>7846</v>
      </c>
      <c r="G12" s="11">
        <v>7800</v>
      </c>
      <c r="H12" s="11"/>
      <c r="I12" s="11"/>
      <c r="J12" s="11">
        <f t="shared" si="0"/>
        <v>-754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10835</v>
      </c>
      <c r="C13" s="11">
        <v>10414</v>
      </c>
      <c r="D13" s="11">
        <v>8179</v>
      </c>
      <c r="E13" s="11">
        <v>7737</v>
      </c>
      <c r="F13" s="11">
        <v>7955</v>
      </c>
      <c r="G13" s="11">
        <v>7800</v>
      </c>
      <c r="H13" s="11"/>
      <c r="I13" s="11"/>
      <c r="J13" s="11">
        <f t="shared" si="0"/>
        <v>-1018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10923</v>
      </c>
      <c r="C14" s="11">
        <v>10500</v>
      </c>
      <c r="D14" s="11">
        <v>8046</v>
      </c>
      <c r="E14" s="11">
        <v>7800</v>
      </c>
      <c r="F14" s="11">
        <v>7285</v>
      </c>
      <c r="G14" s="11">
        <v>7800</v>
      </c>
      <c r="H14" s="11"/>
      <c r="I14" s="11"/>
      <c r="J14" s="11">
        <f t="shared" si="0"/>
        <v>-154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10260</v>
      </c>
      <c r="C15" s="11">
        <v>10500</v>
      </c>
      <c r="D15" s="11">
        <v>8250</v>
      </c>
      <c r="E15" s="11">
        <v>7800</v>
      </c>
      <c r="F15" s="11">
        <v>7013</v>
      </c>
      <c r="G15" s="11">
        <v>7800</v>
      </c>
      <c r="H15" s="11"/>
      <c r="I15" s="11"/>
      <c r="J15" s="11">
        <f t="shared" si="0"/>
        <v>577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10150</v>
      </c>
      <c r="C16" s="11">
        <v>10500</v>
      </c>
      <c r="D16" s="11">
        <v>8185</v>
      </c>
      <c r="E16" s="11">
        <v>7800</v>
      </c>
      <c r="F16" s="11">
        <v>6965</v>
      </c>
      <c r="G16" s="11">
        <v>7800</v>
      </c>
      <c r="H16" s="11"/>
      <c r="I16" s="11"/>
      <c r="J16" s="11">
        <f t="shared" si="0"/>
        <v>800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9670</v>
      </c>
      <c r="C17" s="11">
        <v>10500</v>
      </c>
      <c r="D17" s="11">
        <v>7899</v>
      </c>
      <c r="E17" s="11">
        <v>7800</v>
      </c>
      <c r="F17" s="11">
        <v>7876</v>
      </c>
      <c r="G17" s="11">
        <v>7800</v>
      </c>
      <c r="H17" s="11"/>
      <c r="I17" s="11"/>
      <c r="J17" s="11">
        <f t="shared" si="0"/>
        <v>655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9743</v>
      </c>
      <c r="C18" s="11">
        <v>10500</v>
      </c>
      <c r="D18" s="11">
        <v>8341</v>
      </c>
      <c r="E18" s="11">
        <v>7800</v>
      </c>
      <c r="F18" s="11">
        <v>4873</v>
      </c>
      <c r="G18" s="11">
        <v>7800</v>
      </c>
      <c r="H18" s="11"/>
      <c r="I18" s="11"/>
      <c r="J18" s="11">
        <f t="shared" si="0"/>
        <v>3143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9410</v>
      </c>
      <c r="C19" s="11">
        <v>9350</v>
      </c>
      <c r="D19" s="11">
        <v>8114</v>
      </c>
      <c r="E19" s="11">
        <v>7517</v>
      </c>
      <c r="F19" s="11">
        <v>7114</v>
      </c>
      <c r="G19" s="11">
        <v>6967</v>
      </c>
      <c r="H19" s="11"/>
      <c r="I19" s="11"/>
      <c r="J19" s="11">
        <f t="shared" si="0"/>
        <v>-804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10064</v>
      </c>
      <c r="C20" s="11">
        <v>9700</v>
      </c>
      <c r="D20" s="11">
        <v>7780</v>
      </c>
      <c r="E20" s="11">
        <v>7900</v>
      </c>
      <c r="F20" s="11">
        <v>8219</v>
      </c>
      <c r="G20" s="11">
        <v>7400</v>
      </c>
      <c r="H20" s="11"/>
      <c r="I20" s="11"/>
      <c r="J20" s="11">
        <f t="shared" si="0"/>
        <v>-1063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9644</v>
      </c>
      <c r="C21" s="11">
        <v>9700</v>
      </c>
      <c r="D21" s="11">
        <v>7586</v>
      </c>
      <c r="E21" s="11">
        <v>7900</v>
      </c>
      <c r="F21" s="11">
        <v>8311</v>
      </c>
      <c r="G21" s="11">
        <v>6400</v>
      </c>
      <c r="H21" s="11"/>
      <c r="I21" s="11"/>
      <c r="J21" s="11">
        <f t="shared" si="0"/>
        <v>-1541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9194</v>
      </c>
      <c r="C22" s="11">
        <v>9000</v>
      </c>
      <c r="D22" s="11">
        <v>8104</v>
      </c>
      <c r="E22" s="11">
        <v>8000</v>
      </c>
      <c r="F22" s="11">
        <v>7883</v>
      </c>
      <c r="G22" s="11">
        <v>7000</v>
      </c>
      <c r="H22" s="11"/>
      <c r="I22" s="11"/>
      <c r="J22" s="11">
        <f t="shared" si="0"/>
        <v>-1181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9281</v>
      </c>
      <c r="C23" s="11">
        <v>9000</v>
      </c>
      <c r="D23" s="11">
        <v>8051</v>
      </c>
      <c r="E23" s="11">
        <v>8000</v>
      </c>
      <c r="F23" s="11">
        <v>12314</v>
      </c>
      <c r="G23" s="11">
        <v>7000</v>
      </c>
      <c r="H23" s="11"/>
      <c r="I23" s="11"/>
      <c r="J23" s="11">
        <f t="shared" si="0"/>
        <v>-5646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>
        <v>8979</v>
      </c>
      <c r="C24" s="11">
        <v>8927</v>
      </c>
      <c r="D24" s="11">
        <v>7845</v>
      </c>
      <c r="E24" s="11">
        <v>7935</v>
      </c>
      <c r="F24" s="11">
        <v>7404</v>
      </c>
      <c r="G24" s="11">
        <v>6943</v>
      </c>
      <c r="H24" s="11"/>
      <c r="I24" s="11"/>
      <c r="J24" s="11">
        <f t="shared" si="0"/>
        <v>-423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>
        <v>5948</v>
      </c>
      <c r="C25" s="11">
        <v>9000</v>
      </c>
      <c r="D25" s="11">
        <v>7914</v>
      </c>
      <c r="E25" s="11">
        <v>8000</v>
      </c>
      <c r="F25" s="11">
        <v>8924</v>
      </c>
      <c r="G25" s="11">
        <v>7000</v>
      </c>
      <c r="H25" s="11"/>
      <c r="I25" s="11"/>
      <c r="J25" s="11">
        <f t="shared" si="0"/>
        <v>1214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>
        <v>7675</v>
      </c>
      <c r="C26" s="11">
        <v>9000</v>
      </c>
      <c r="D26" s="11">
        <v>8105</v>
      </c>
      <c r="E26" s="11">
        <v>8000</v>
      </c>
      <c r="F26" s="11">
        <v>8281</v>
      </c>
      <c r="G26" s="11">
        <v>7000</v>
      </c>
      <c r="H26" s="11"/>
      <c r="I26" s="11"/>
      <c r="J26" s="11">
        <f t="shared" si="0"/>
        <v>-61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>
        <v>8104</v>
      </c>
      <c r="C27" s="11">
        <v>8500</v>
      </c>
      <c r="D27" s="11">
        <v>8906</v>
      </c>
      <c r="E27" s="11">
        <v>7500</v>
      </c>
      <c r="F27" s="11">
        <v>8896</v>
      </c>
      <c r="G27" s="11">
        <v>7000</v>
      </c>
      <c r="H27" s="11"/>
      <c r="I27" s="11"/>
      <c r="J27" s="11">
        <f t="shared" si="0"/>
        <v>-2906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>
        <v>8466</v>
      </c>
      <c r="C28" s="11">
        <v>8500</v>
      </c>
      <c r="D28" s="11">
        <v>8859</v>
      </c>
      <c r="E28" s="11">
        <v>7500</v>
      </c>
      <c r="F28" s="11">
        <v>11916</v>
      </c>
      <c r="G28" s="11">
        <v>7000</v>
      </c>
      <c r="H28" s="11"/>
      <c r="I28" s="11"/>
      <c r="J28" s="11">
        <f t="shared" si="0"/>
        <v>-6241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>
        <v>8368</v>
      </c>
      <c r="C29" s="11">
        <v>8499</v>
      </c>
      <c r="D29" s="11">
        <v>8428</v>
      </c>
      <c r="E29" s="11">
        <v>7500</v>
      </c>
      <c r="F29" s="11">
        <v>7368</v>
      </c>
      <c r="G29" s="11">
        <v>7000</v>
      </c>
      <c r="H29" s="11"/>
      <c r="I29" s="11"/>
      <c r="J29" s="11">
        <f t="shared" si="0"/>
        <v>-1165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>
        <v>8074</v>
      </c>
      <c r="C30" s="11">
        <v>8499</v>
      </c>
      <c r="D30" s="11">
        <v>8309</v>
      </c>
      <c r="E30" s="11">
        <v>7500</v>
      </c>
      <c r="F30" s="11">
        <v>8780</v>
      </c>
      <c r="G30" s="11">
        <v>7000</v>
      </c>
      <c r="H30" s="11">
        <v>547</v>
      </c>
      <c r="I30" s="11"/>
      <c r="J30" s="11">
        <f t="shared" si="0"/>
        <v>-2711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>
        <v>7797</v>
      </c>
      <c r="C31" s="11">
        <v>8500</v>
      </c>
      <c r="D31" s="11">
        <v>8348</v>
      </c>
      <c r="E31" s="11">
        <v>7500</v>
      </c>
      <c r="F31" s="11">
        <v>7731</v>
      </c>
      <c r="G31" s="11">
        <v>7000</v>
      </c>
      <c r="H31" s="11">
        <v>7301</v>
      </c>
      <c r="I31" s="11">
        <v>8999</v>
      </c>
      <c r="J31" s="11">
        <f t="shared" si="0"/>
        <v>822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>
        <v>7885</v>
      </c>
      <c r="C32" s="11">
        <v>8500</v>
      </c>
      <c r="D32" s="11">
        <v>8416</v>
      </c>
      <c r="E32" s="11">
        <v>7500</v>
      </c>
      <c r="F32" s="11">
        <v>7808</v>
      </c>
      <c r="G32" s="11">
        <v>7000</v>
      </c>
      <c r="H32" s="11">
        <v>7001</v>
      </c>
      <c r="I32" s="11">
        <v>9000</v>
      </c>
      <c r="J32" s="11">
        <f t="shared" si="0"/>
        <v>890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275844</v>
      </c>
      <c r="C35" s="11">
        <f t="shared" ref="C35:I35" si="1">SUM(C4:C34)</f>
        <v>286089</v>
      </c>
      <c r="D35" s="11">
        <f t="shared" si="1"/>
        <v>236366</v>
      </c>
      <c r="E35" s="11">
        <f t="shared" si="1"/>
        <v>229189</v>
      </c>
      <c r="F35" s="11">
        <f t="shared" si="1"/>
        <v>211474</v>
      </c>
      <c r="G35" s="11">
        <f t="shared" si="1"/>
        <v>214710</v>
      </c>
      <c r="H35" s="11">
        <f t="shared" si="1"/>
        <v>14849</v>
      </c>
      <c r="I35" s="11">
        <f t="shared" si="1"/>
        <v>17999</v>
      </c>
      <c r="J35" s="11">
        <f>SUM(J4:J34)</f>
        <v>9454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+summary!G4</f>
        <v>2.08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19664.32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37256</v>
      </c>
      <c r="C39" s="25"/>
      <c r="E39" s="25"/>
      <c r="G39" s="25"/>
      <c r="I39" s="25"/>
      <c r="J39" s="534">
        <v>4536.21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19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37285</v>
      </c>
      <c r="J41" s="319">
        <f>+J39+J37</f>
        <v>24200.53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37256</v>
      </c>
      <c r="B46" s="32"/>
      <c r="C46" s="32"/>
      <c r="D46" s="524">
        <v>-125538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37285</v>
      </c>
      <c r="B47" s="32"/>
      <c r="C47" s="32"/>
      <c r="D47" s="350">
        <f>+J35</f>
        <v>9454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-116084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workbookViewId="0">
      <selection activeCell="D10" sqref="D10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328</v>
      </c>
      <c r="H4" s="14" t="s">
        <v>327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326</v>
      </c>
      <c r="I5" s="14" t="s">
        <v>329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-5234</v>
      </c>
      <c r="C6" s="24">
        <v>-5000</v>
      </c>
      <c r="D6" s="24">
        <f>+G6+H6+I6</f>
        <v>-20956</v>
      </c>
      <c r="E6" s="24">
        <v>-21274</v>
      </c>
      <c r="F6" s="24">
        <f>+C6+E6-B6-D6</f>
        <v>-84</v>
      </c>
      <c r="G6" s="14">
        <v>-20950</v>
      </c>
      <c r="H6" s="14">
        <v>-6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-5328</v>
      </c>
      <c r="C7" s="24">
        <v>-5000</v>
      </c>
      <c r="D7" s="24">
        <f t="shared" ref="D7:D36" si="0">+G7+H7+I7</f>
        <v>-21291</v>
      </c>
      <c r="E7" s="24">
        <v>-21274</v>
      </c>
      <c r="F7" s="24">
        <f t="shared" ref="F7:F36" si="1">+C7+E7-B7-D7</f>
        <v>345</v>
      </c>
      <c r="G7" s="206">
        <v>-21285</v>
      </c>
      <c r="H7" s="14">
        <v>-6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 t="shared" si="0"/>
        <v>-12230</v>
      </c>
      <c r="E8" s="24">
        <v>-11843</v>
      </c>
      <c r="F8" s="24">
        <f t="shared" si="1"/>
        <v>387</v>
      </c>
      <c r="G8" s="206">
        <v>-12124</v>
      </c>
      <c r="H8" s="14">
        <v>-106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f t="shared" si="0"/>
        <v>-23517</v>
      </c>
      <c r="E9" s="24">
        <v>-23304</v>
      </c>
      <c r="F9" s="24">
        <f t="shared" si="1"/>
        <v>213</v>
      </c>
      <c r="G9" s="206">
        <v>-3519</v>
      </c>
      <c r="H9" s="14">
        <v>-19999</v>
      </c>
      <c r="I9" s="14">
        <v>1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-14568</v>
      </c>
      <c r="E10" s="24">
        <v>-14046</v>
      </c>
      <c r="F10" s="24">
        <f t="shared" si="1"/>
        <v>522</v>
      </c>
      <c r="G10" s="206">
        <v>0</v>
      </c>
      <c r="H10" s="14">
        <v>-14568</v>
      </c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-10066</v>
      </c>
      <c r="E11" s="24">
        <v>-14442</v>
      </c>
      <c r="F11" s="24">
        <f t="shared" si="1"/>
        <v>-4376</v>
      </c>
      <c r="G11" s="206">
        <v>0</v>
      </c>
      <c r="H11" s="14">
        <v>-10070</v>
      </c>
      <c r="I11" s="14">
        <v>4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-11018</v>
      </c>
      <c r="E12" s="24">
        <v>-14046</v>
      </c>
      <c r="F12" s="24">
        <f t="shared" si="1"/>
        <v>-3028</v>
      </c>
      <c r="G12" s="206">
        <v>-11018</v>
      </c>
      <c r="H12" s="14">
        <v>0</v>
      </c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-23789</v>
      </c>
      <c r="E13" s="24">
        <v>-40692</v>
      </c>
      <c r="F13" s="24">
        <f t="shared" si="1"/>
        <v>-16903</v>
      </c>
      <c r="G13" s="206">
        <v>-27027</v>
      </c>
      <c r="H13" s="14">
        <v>-1</v>
      </c>
      <c r="I13" s="14">
        <v>3239</v>
      </c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0</v>
      </c>
      <c r="E14" s="24">
        <v>-15474</v>
      </c>
      <c r="F14" s="24">
        <f t="shared" si="1"/>
        <v>-15474</v>
      </c>
      <c r="G14" s="206"/>
      <c r="H14" s="14">
        <v>0</v>
      </c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-28</v>
      </c>
      <c r="E15" s="24">
        <v>-15473</v>
      </c>
      <c r="F15" s="24">
        <f t="shared" si="1"/>
        <v>-15445</v>
      </c>
      <c r="G15" s="206"/>
      <c r="H15" s="14">
        <v>-28</v>
      </c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-25153</v>
      </c>
      <c r="E16" s="24">
        <v>-25367</v>
      </c>
      <c r="F16" s="24">
        <f t="shared" si="1"/>
        <v>-214</v>
      </c>
      <c r="G16" s="206"/>
      <c r="H16" s="14">
        <v>-25154</v>
      </c>
      <c r="I16" s="14">
        <v>1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-8</v>
      </c>
      <c r="E17" s="24">
        <v>-5474</v>
      </c>
      <c r="F17" s="24">
        <f t="shared" si="1"/>
        <v>-5466</v>
      </c>
      <c r="G17" s="206"/>
      <c r="H17" s="14">
        <v>-8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-14485</v>
      </c>
      <c r="E18" s="24">
        <v>-5474</v>
      </c>
      <c r="F18" s="24">
        <f t="shared" si="1"/>
        <v>9011</v>
      </c>
      <c r="G18" s="206">
        <v>-2931</v>
      </c>
      <c r="H18" s="14">
        <v>-11554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-2931</v>
      </c>
      <c r="E19" s="24">
        <v>-5474</v>
      </c>
      <c r="F19" s="24">
        <f t="shared" si="1"/>
        <v>-2543</v>
      </c>
      <c r="G19" s="206">
        <v>-2931</v>
      </c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-34508</v>
      </c>
      <c r="E20" s="24">
        <v>-33250</v>
      </c>
      <c r="F20" s="24">
        <f t="shared" si="1"/>
        <v>1258</v>
      </c>
      <c r="G20" s="206">
        <v>-14542</v>
      </c>
      <c r="H20" s="14">
        <v>-19966</v>
      </c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-15603</v>
      </c>
      <c r="E21" s="24">
        <v>-15561</v>
      </c>
      <c r="F21" s="24">
        <f t="shared" si="1"/>
        <v>42</v>
      </c>
      <c r="G21" s="206"/>
      <c r="H21" s="14">
        <v>-15603</v>
      </c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-35137</v>
      </c>
      <c r="E22" s="24">
        <v>-37474</v>
      </c>
      <c r="F22" s="24">
        <f t="shared" si="1"/>
        <v>-2337</v>
      </c>
      <c r="G22" s="206">
        <v>-35137</v>
      </c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-19715</v>
      </c>
      <c r="E23" s="24">
        <v>-19629</v>
      </c>
      <c r="F23" s="24">
        <f t="shared" si="1"/>
        <v>86</v>
      </c>
      <c r="G23" s="206">
        <v>-19715</v>
      </c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-161</v>
      </c>
      <c r="E24" s="24">
        <v>5659</v>
      </c>
      <c r="F24" s="24">
        <f t="shared" si="1"/>
        <v>5820</v>
      </c>
      <c r="G24" s="206">
        <v>-161</v>
      </c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-7781</v>
      </c>
      <c r="E25" s="24">
        <v>-14341</v>
      </c>
      <c r="F25" s="24">
        <f t="shared" si="1"/>
        <v>-6560</v>
      </c>
      <c r="G25" s="206">
        <v>-7781</v>
      </c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-14775</v>
      </c>
      <c r="E26" s="24">
        <v>-14341</v>
      </c>
      <c r="F26" s="24">
        <f t="shared" si="1"/>
        <v>434</v>
      </c>
      <c r="G26" s="206">
        <v>-14775</v>
      </c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0</v>
      </c>
      <c r="E27" s="24"/>
      <c r="F27" s="24">
        <f t="shared" si="1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0</v>
      </c>
      <c r="E28" s="24"/>
      <c r="F28" s="24">
        <f t="shared" si="1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0</v>
      </c>
      <c r="E29" s="24"/>
      <c r="F29" s="24">
        <f t="shared" si="1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0</v>
      </c>
      <c r="E30" s="24"/>
      <c r="F30" s="24">
        <f t="shared" si="1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4"/>
      <c r="F31" s="24">
        <f t="shared" si="1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4"/>
      <c r="F32" s="24">
        <f t="shared" si="1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4"/>
      <c r="F33" s="24">
        <f t="shared" si="1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4"/>
      <c r="F34" s="24">
        <f t="shared" si="1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4"/>
      <c r="F35" s="24">
        <f t="shared" si="1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4"/>
      <c r="F36" s="24">
        <f t="shared" si="1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-10562</v>
      </c>
      <c r="C37" s="24">
        <f>SUM(C6:C36)</f>
        <v>-10000</v>
      </c>
      <c r="D37" s="24">
        <f>SUM(D6:D36)</f>
        <v>-307720</v>
      </c>
      <c r="E37" s="24">
        <f>SUM(E6:E36)</f>
        <v>-362594</v>
      </c>
      <c r="F37" s="24">
        <f>SUM(F6:F36)</f>
        <v>-54312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2.08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-112968.96000000001</v>
      </c>
      <c r="G39" s="442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2">
        <v>37256</v>
      </c>
      <c r="E40" s="14"/>
      <c r="F40" s="523">
        <v>417969.39</v>
      </c>
      <c r="G40" s="442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2">
        <v>37277</v>
      </c>
      <c r="E41" s="14"/>
      <c r="F41" s="104">
        <f>+F40+F39</f>
        <v>305000.43</v>
      </c>
      <c r="G41" s="442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>
        <f>+F41/2.01</f>
        <v>151741.50746268657</v>
      </c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24">
        <v>5124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37277</v>
      </c>
      <c r="B47" s="32"/>
      <c r="C47" s="32"/>
      <c r="D47" s="350">
        <f>+F37</f>
        <v>-54312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-49188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8" workbookViewId="0">
      <selection activeCell="A44" sqref="A44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22"/>
    </row>
    <row r="18" spans="1:10" x14ac:dyDescent="0.2">
      <c r="A18" s="10">
        <v>11</v>
      </c>
      <c r="B18" s="11"/>
      <c r="C18" s="11"/>
      <c r="D18" s="11"/>
      <c r="E18" s="11">
        <v>200</v>
      </c>
      <c r="F18" s="25">
        <f t="shared" si="0"/>
        <v>200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>
        <v>3000</v>
      </c>
      <c r="F24" s="25">
        <f t="shared" si="0"/>
        <v>3000</v>
      </c>
    </row>
    <row r="25" spans="1:10" x14ac:dyDescent="0.2">
      <c r="A25" s="10">
        <v>18</v>
      </c>
      <c r="B25" s="11"/>
      <c r="C25" s="11"/>
      <c r="D25" s="11"/>
      <c r="E25" s="11">
        <v>3000</v>
      </c>
      <c r="F25" s="25">
        <f t="shared" si="0"/>
        <v>3000</v>
      </c>
    </row>
    <row r="26" spans="1:10" x14ac:dyDescent="0.2">
      <c r="A26" s="10">
        <v>19</v>
      </c>
      <c r="B26" s="11"/>
      <c r="C26" s="11"/>
      <c r="D26" s="11"/>
      <c r="E26" s="11">
        <v>3000</v>
      </c>
      <c r="F26" s="25">
        <f t="shared" si="0"/>
        <v>3000</v>
      </c>
    </row>
    <row r="27" spans="1:10" x14ac:dyDescent="0.2">
      <c r="A27" s="10">
        <v>20</v>
      </c>
      <c r="B27" s="11"/>
      <c r="C27" s="11"/>
      <c r="D27" s="11"/>
      <c r="E27" s="11">
        <v>3000</v>
      </c>
      <c r="F27" s="25">
        <f t="shared" si="0"/>
        <v>3000</v>
      </c>
    </row>
    <row r="28" spans="1:10" x14ac:dyDescent="0.2">
      <c r="A28" s="10">
        <v>21</v>
      </c>
      <c r="B28" s="11"/>
      <c r="C28" s="11"/>
      <c r="D28" s="11"/>
      <c r="E28" s="11">
        <v>3000</v>
      </c>
      <c r="F28" s="25">
        <f t="shared" si="0"/>
        <v>3000</v>
      </c>
    </row>
    <row r="29" spans="1:10" x14ac:dyDescent="0.2">
      <c r="A29" s="10">
        <v>22</v>
      </c>
      <c r="B29" s="11"/>
      <c r="C29" s="11"/>
      <c r="D29" s="11"/>
      <c r="E29" s="11">
        <v>3000</v>
      </c>
      <c r="F29" s="25">
        <f t="shared" si="0"/>
        <v>3000</v>
      </c>
    </row>
    <row r="30" spans="1:10" x14ac:dyDescent="0.2">
      <c r="A30" s="10">
        <v>23</v>
      </c>
      <c r="B30" s="11"/>
      <c r="C30" s="11"/>
      <c r="D30" s="11">
        <v>5091</v>
      </c>
      <c r="E30" s="11">
        <v>3000</v>
      </c>
      <c r="F30" s="25">
        <f t="shared" si="0"/>
        <v>-2091</v>
      </c>
    </row>
    <row r="31" spans="1:10" x14ac:dyDescent="0.2">
      <c r="A31" s="10">
        <v>24</v>
      </c>
      <c r="B31" s="11"/>
      <c r="C31" s="11"/>
      <c r="D31" s="11">
        <v>5164</v>
      </c>
      <c r="E31" s="11">
        <v>3000</v>
      </c>
      <c r="F31" s="25">
        <f t="shared" si="0"/>
        <v>-2164</v>
      </c>
    </row>
    <row r="32" spans="1:10" x14ac:dyDescent="0.2">
      <c r="A32" s="10">
        <v>25</v>
      </c>
      <c r="B32" s="11"/>
      <c r="C32" s="11"/>
      <c r="D32" s="11">
        <v>5850</v>
      </c>
      <c r="E32" s="11">
        <v>3000</v>
      </c>
      <c r="F32" s="25">
        <f t="shared" si="0"/>
        <v>-2850</v>
      </c>
    </row>
    <row r="33" spans="1:6" x14ac:dyDescent="0.2">
      <c r="A33" s="10">
        <v>26</v>
      </c>
      <c r="B33" s="11"/>
      <c r="C33" s="11"/>
      <c r="D33" s="11">
        <v>5773</v>
      </c>
      <c r="E33" s="11">
        <v>3000</v>
      </c>
      <c r="F33" s="25">
        <f t="shared" si="0"/>
        <v>-2773</v>
      </c>
    </row>
    <row r="34" spans="1:6" x14ac:dyDescent="0.2">
      <c r="A34" s="10">
        <v>27</v>
      </c>
      <c r="B34" s="11"/>
      <c r="C34" s="11"/>
      <c r="D34" s="11">
        <v>5761</v>
      </c>
      <c r="E34" s="11">
        <v>3000</v>
      </c>
      <c r="F34" s="25">
        <f t="shared" si="0"/>
        <v>-2761</v>
      </c>
    </row>
    <row r="35" spans="1:6" x14ac:dyDescent="0.2">
      <c r="A35" s="10">
        <v>28</v>
      </c>
      <c r="B35" s="11"/>
      <c r="C35" s="11"/>
      <c r="D35" s="11">
        <v>5738</v>
      </c>
      <c r="E35" s="11">
        <v>3000</v>
      </c>
      <c r="F35" s="25">
        <f t="shared" si="0"/>
        <v>-2738</v>
      </c>
    </row>
    <row r="36" spans="1:6" x14ac:dyDescent="0.2">
      <c r="A36" s="10">
        <v>29</v>
      </c>
      <c r="B36" s="11"/>
      <c r="C36" s="11"/>
      <c r="D36" s="11">
        <v>5631</v>
      </c>
      <c r="E36" s="11">
        <v>3000</v>
      </c>
      <c r="F36" s="25">
        <f t="shared" si="0"/>
        <v>-2631</v>
      </c>
    </row>
    <row r="37" spans="1:6" x14ac:dyDescent="0.2">
      <c r="A37" s="10">
        <v>30</v>
      </c>
      <c r="B37" s="11"/>
      <c r="C37" s="11"/>
      <c r="D37" s="11">
        <v>5367</v>
      </c>
      <c r="E37" s="11">
        <v>3000</v>
      </c>
      <c r="F37" s="25">
        <f t="shared" si="0"/>
        <v>-2367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44375</v>
      </c>
      <c r="E39" s="11">
        <f>SUM(E8:E38)</f>
        <v>42200</v>
      </c>
      <c r="F39" s="25">
        <f>SUM(F8:F38)</f>
        <v>-2175</v>
      </c>
    </row>
    <row r="40" spans="1:6" x14ac:dyDescent="0.2">
      <c r="A40" s="26"/>
      <c r="C40" s="14"/>
      <c r="F40" s="253">
        <f>+summary!G4</f>
        <v>2.08</v>
      </c>
    </row>
    <row r="41" spans="1:6" x14ac:dyDescent="0.2">
      <c r="F41" s="138">
        <f>+F40*F39</f>
        <v>-4524</v>
      </c>
    </row>
    <row r="42" spans="1:6" x14ac:dyDescent="0.2">
      <c r="A42" s="57">
        <v>37256</v>
      </c>
      <c r="C42" s="15"/>
      <c r="F42" s="495">
        <v>34262</v>
      </c>
    </row>
    <row r="43" spans="1:6" x14ac:dyDescent="0.2">
      <c r="A43" s="57">
        <v>37286</v>
      </c>
      <c r="C43" s="48"/>
      <c r="F43" s="138">
        <f>+F42+F41</f>
        <v>29738</v>
      </c>
    </row>
    <row r="47" spans="1:6" x14ac:dyDescent="0.2">
      <c r="A47" s="32" t="s">
        <v>149</v>
      </c>
      <c r="B47" s="32"/>
      <c r="C47" s="32"/>
      <c r="D47" s="32"/>
    </row>
    <row r="48" spans="1:6" x14ac:dyDescent="0.2">
      <c r="A48" s="49">
        <f>+A42</f>
        <v>37256</v>
      </c>
      <c r="B48" s="32"/>
      <c r="C48" s="32"/>
      <c r="D48" s="490">
        <v>748</v>
      </c>
    </row>
    <row r="49" spans="1:4" x14ac:dyDescent="0.2">
      <c r="A49" s="49">
        <f>+A43</f>
        <v>37286</v>
      </c>
      <c r="B49" s="32"/>
      <c r="C49" s="32"/>
      <c r="D49" s="350">
        <f>+F39</f>
        <v>-2175</v>
      </c>
    </row>
    <row r="50" spans="1:4" x14ac:dyDescent="0.2">
      <c r="A50" s="32"/>
      <c r="B50" s="32"/>
      <c r="C50" s="32"/>
      <c r="D50" s="14">
        <f>+D49+D48</f>
        <v>-1427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7" workbookViewId="0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>
        <v>1259</v>
      </c>
      <c r="D17" s="25">
        <f t="shared" si="0"/>
        <v>1259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1259</v>
      </c>
      <c r="D39" s="25">
        <f>SUM(D8:D38)</f>
        <v>1259</v>
      </c>
    </row>
    <row r="40" spans="1:4" x14ac:dyDescent="0.2">
      <c r="A40" s="26"/>
      <c r="C40" s="14"/>
      <c r="D40" s="450"/>
    </row>
    <row r="41" spans="1:4" x14ac:dyDescent="0.2">
      <c r="A41" s="57">
        <v>37256</v>
      </c>
      <c r="C41" s="15"/>
      <c r="D41" s="457">
        <v>16328</v>
      </c>
    </row>
    <row r="42" spans="1:4" x14ac:dyDescent="0.2">
      <c r="A42" s="57">
        <v>37278</v>
      </c>
      <c r="C42" s="48"/>
      <c r="D42" s="24">
        <f>+D41+D39</f>
        <v>17587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150</v>
      </c>
      <c r="B46" s="32"/>
      <c r="C46" s="32"/>
      <c r="D46" s="32"/>
    </row>
    <row r="47" spans="1:4" x14ac:dyDescent="0.2">
      <c r="A47" s="49">
        <f>+A41</f>
        <v>37256</v>
      </c>
      <c r="B47" s="32"/>
      <c r="C47" s="32"/>
      <c r="D47" s="461">
        <v>383278</v>
      </c>
    </row>
    <row r="48" spans="1:4" x14ac:dyDescent="0.2">
      <c r="A48" s="49">
        <f>+A42</f>
        <v>37278</v>
      </c>
      <c r="B48" s="32"/>
      <c r="C48" s="32"/>
      <c r="D48" s="375">
        <f>+D39*summary!G4</f>
        <v>2618.7200000000003</v>
      </c>
    </row>
    <row r="49" spans="1:4" x14ac:dyDescent="0.2">
      <c r="A49" s="32"/>
      <c r="B49" s="32"/>
      <c r="C49" s="32"/>
      <c r="D49" s="200">
        <f>+D48+D47</f>
        <v>385896.72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26" workbookViewId="0">
      <selection activeCell="C36" sqref="C36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-80749</v>
      </c>
      <c r="C6" s="11">
        <v>-80287</v>
      </c>
      <c r="D6" s="25">
        <f>+C6-B6</f>
        <v>462</v>
      </c>
      <c r="G6" s="118"/>
      <c r="H6" s="34"/>
      <c r="I6" s="34"/>
      <c r="J6" s="189"/>
      <c r="K6" s="412" t="s">
        <v>57</v>
      </c>
      <c r="L6" s="189"/>
      <c r="M6" s="2"/>
      <c r="N6" s="34"/>
    </row>
    <row r="7" spans="1:14" x14ac:dyDescent="0.2">
      <c r="A7" s="10">
        <v>2</v>
      </c>
      <c r="B7" s="11">
        <v>-84767</v>
      </c>
      <c r="C7" s="11">
        <v>-80299</v>
      </c>
      <c r="D7" s="25">
        <f t="shared" ref="D7:D36" si="0">+C7-B7</f>
        <v>4468</v>
      </c>
      <c r="G7" s="118" t="s">
        <v>39</v>
      </c>
      <c r="H7" s="413" t="s">
        <v>19</v>
      </c>
      <c r="I7" s="413" t="s">
        <v>20</v>
      </c>
      <c r="J7" s="414" t="s">
        <v>49</v>
      </c>
      <c r="K7" s="412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-83988</v>
      </c>
      <c r="C8" s="11">
        <v>-90299</v>
      </c>
      <c r="D8" s="25">
        <f t="shared" si="0"/>
        <v>-6311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2">
        <v>5.62</v>
      </c>
      <c r="L8" s="417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-99040</v>
      </c>
      <c r="C9" s="11">
        <v>-90299</v>
      </c>
      <c r="D9" s="25">
        <f t="shared" si="0"/>
        <v>8741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2">
        <v>4.9800000000000004</v>
      </c>
      <c r="L9" s="417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-88188</v>
      </c>
      <c r="C10" s="11">
        <v>-70519</v>
      </c>
      <c r="D10" s="25">
        <f t="shared" si="0"/>
        <v>17669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2">
        <v>4.87</v>
      </c>
      <c r="L10" s="417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>
        <v>-84068</v>
      </c>
      <c r="C11" s="11">
        <v>-85299</v>
      </c>
      <c r="D11" s="25">
        <f t="shared" si="0"/>
        <v>-1231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2">
        <v>3.82</v>
      </c>
      <c r="L11" s="417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>
        <v>-87540</v>
      </c>
      <c r="C12" s="11">
        <v>-86191</v>
      </c>
      <c r="D12" s="25">
        <f t="shared" si="0"/>
        <v>1349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2">
        <v>3.2</v>
      </c>
      <c r="L12" s="417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29">
        <v>-85134</v>
      </c>
      <c r="C13" s="11">
        <v>-87137</v>
      </c>
      <c r="D13" s="25">
        <f t="shared" si="0"/>
        <v>-2003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2">
        <v>2.77</v>
      </c>
      <c r="L13" s="417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>
        <v>-85234</v>
      </c>
      <c r="C14" s="11">
        <v>-101799</v>
      </c>
      <c r="D14" s="25">
        <f t="shared" si="0"/>
        <v>-16565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2">
        <v>2.77</v>
      </c>
      <c r="L14" s="417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>
        <v>-87361</v>
      </c>
      <c r="C15" s="11">
        <v>-95299</v>
      </c>
      <c r="D15" s="25">
        <f t="shared" si="0"/>
        <v>-7938</v>
      </c>
      <c r="G15" s="438"/>
      <c r="H15" s="119"/>
      <c r="I15" s="119"/>
      <c r="J15" s="119"/>
      <c r="K15" s="412"/>
      <c r="L15" s="417"/>
      <c r="M15" s="104"/>
      <c r="N15" s="34"/>
    </row>
    <row r="16" spans="1:14" ht="15" customHeight="1" x14ac:dyDescent="0.2">
      <c r="A16" s="10">
        <v>11</v>
      </c>
      <c r="B16" s="11">
        <v>-89069</v>
      </c>
      <c r="C16" s="11">
        <v>-85299</v>
      </c>
      <c r="D16" s="25">
        <f t="shared" si="0"/>
        <v>3770</v>
      </c>
      <c r="G16" s="439"/>
      <c r="H16" s="34"/>
      <c r="I16" s="34"/>
      <c r="J16" s="189"/>
      <c r="K16" s="412"/>
      <c r="L16" s="189"/>
      <c r="M16" s="2"/>
      <c r="N16" s="34"/>
    </row>
    <row r="17" spans="1:14" ht="15" customHeight="1" x14ac:dyDescent="0.2">
      <c r="A17" s="10">
        <v>12</v>
      </c>
      <c r="B17" s="11">
        <v>-86933</v>
      </c>
      <c r="C17" s="11">
        <v>-86648</v>
      </c>
      <c r="D17" s="25">
        <f t="shared" si="0"/>
        <v>285</v>
      </c>
      <c r="G17" s="439"/>
      <c r="H17" s="34"/>
      <c r="I17" s="34"/>
      <c r="J17" s="307">
        <f>SUM(J8:J16)</f>
        <v>130492</v>
      </c>
      <c r="K17" s="412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>
        <v>-85505</v>
      </c>
      <c r="C18" s="11">
        <v>-85277</v>
      </c>
      <c r="D18" s="25">
        <f t="shared" si="0"/>
        <v>228</v>
      </c>
      <c r="G18" s="34"/>
      <c r="H18" s="34"/>
      <c r="I18" s="34"/>
      <c r="J18" s="189"/>
      <c r="K18" s="412"/>
      <c r="L18" s="189"/>
      <c r="M18" s="2"/>
      <c r="N18" s="34"/>
    </row>
    <row r="19" spans="1:14" x14ac:dyDescent="0.2">
      <c r="A19" s="10">
        <v>14</v>
      </c>
      <c r="B19" s="11">
        <v>-88136</v>
      </c>
      <c r="C19" s="11">
        <v>-85286</v>
      </c>
      <c r="D19" s="25">
        <f t="shared" si="0"/>
        <v>2850</v>
      </c>
      <c r="G19" s="118" t="s">
        <v>184</v>
      </c>
      <c r="H19" s="119">
        <f>+B37</f>
        <v>-2003616</v>
      </c>
      <c r="I19" s="119">
        <f>+C37</f>
        <v>-2093484</v>
      </c>
      <c r="J19" s="119">
        <f>+I19-H19</f>
        <v>-89868</v>
      </c>
      <c r="K19" s="412">
        <f>+D38</f>
        <v>2.08</v>
      </c>
      <c r="L19" s="417">
        <f>+K19*J19</f>
        <v>-186925.44</v>
      </c>
      <c r="M19" s="2"/>
      <c r="N19" s="34"/>
    </row>
    <row r="20" spans="1:14" x14ac:dyDescent="0.2">
      <c r="A20" s="10">
        <v>15</v>
      </c>
      <c r="B20" s="11">
        <v>-88250</v>
      </c>
      <c r="C20" s="11">
        <v>-90299</v>
      </c>
      <c r="D20" s="25">
        <f t="shared" si="0"/>
        <v>-2049</v>
      </c>
      <c r="G20" s="118"/>
      <c r="H20" s="119"/>
      <c r="I20" s="119"/>
      <c r="J20" s="119"/>
      <c r="K20" s="412"/>
      <c r="L20" s="417"/>
      <c r="M20" s="2"/>
      <c r="N20" s="34"/>
    </row>
    <row r="21" spans="1:14" x14ac:dyDescent="0.2">
      <c r="A21" s="10">
        <v>16</v>
      </c>
      <c r="B21" s="11">
        <v>-81967</v>
      </c>
      <c r="C21" s="11">
        <v>-85299</v>
      </c>
      <c r="D21" s="25">
        <f t="shared" si="0"/>
        <v>-3332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>
        <v>-57277</v>
      </c>
      <c r="C22" s="11">
        <v>-85299</v>
      </c>
      <c r="D22" s="25">
        <f t="shared" si="0"/>
        <v>-28022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>
        <v>-44766</v>
      </c>
      <c r="C23" s="11">
        <v>-62649</v>
      </c>
      <c r="D23" s="25">
        <f t="shared" si="0"/>
        <v>-17883</v>
      </c>
      <c r="G23" s="101"/>
      <c r="H23" s="24"/>
      <c r="I23" s="24"/>
      <c r="J23" s="110"/>
      <c r="K23" s="408"/>
      <c r="L23" s="110"/>
      <c r="M23" s="2"/>
      <c r="N23" s="34"/>
    </row>
    <row r="24" spans="1:14" x14ac:dyDescent="0.2">
      <c r="A24" s="10">
        <v>19</v>
      </c>
      <c r="B24" s="129">
        <v>-44717</v>
      </c>
      <c r="C24" s="11">
        <v>-50000</v>
      </c>
      <c r="D24" s="25">
        <f t="shared" si="0"/>
        <v>-5283</v>
      </c>
      <c r="G24" s="2" t="s">
        <v>185</v>
      </c>
      <c r="H24" s="24"/>
      <c r="I24" s="24"/>
      <c r="J24" s="24">
        <f>+J19+J17</f>
        <v>40624</v>
      </c>
      <c r="K24" s="408"/>
      <c r="L24" s="110">
        <f>+L19+L17</f>
        <v>-105240.34000000017</v>
      </c>
      <c r="M24" s="2"/>
      <c r="N24" s="34"/>
    </row>
    <row r="25" spans="1:14" x14ac:dyDescent="0.2">
      <c r="A25" s="10">
        <v>20</v>
      </c>
      <c r="B25" s="129">
        <v>-43786</v>
      </c>
      <c r="C25" s="11">
        <v>-50000</v>
      </c>
      <c r="D25" s="25">
        <f t="shared" si="0"/>
        <v>-6214</v>
      </c>
      <c r="G25" s="2"/>
      <c r="H25" s="24"/>
      <c r="I25" s="24"/>
      <c r="J25" s="110"/>
      <c r="K25" s="408"/>
      <c r="L25" s="110"/>
      <c r="M25" s="2"/>
      <c r="N25" s="34"/>
    </row>
    <row r="26" spans="1:14" x14ac:dyDescent="0.2">
      <c r="A26" s="10">
        <v>21</v>
      </c>
      <c r="B26" s="129">
        <v>-44394</v>
      </c>
      <c r="C26" s="11">
        <v>-50000</v>
      </c>
      <c r="D26" s="25">
        <f t="shared" si="0"/>
        <v>-5606</v>
      </c>
      <c r="G26" s="2" t="s">
        <v>186</v>
      </c>
      <c r="H26" s="24"/>
      <c r="I26" s="24"/>
      <c r="J26" s="110"/>
      <c r="K26" s="408"/>
      <c r="L26" s="24">
        <f>+L24/K19</f>
        <v>-50596.317307692385</v>
      </c>
    </row>
    <row r="27" spans="1:14" x14ac:dyDescent="0.2">
      <c r="A27" s="10">
        <v>22</v>
      </c>
      <c r="B27" s="129">
        <v>-43663</v>
      </c>
      <c r="C27" s="11">
        <v>-50000</v>
      </c>
      <c r="D27" s="25">
        <f t="shared" si="0"/>
        <v>-6337</v>
      </c>
      <c r="G27" s="32"/>
      <c r="H27" s="24"/>
      <c r="I27" s="24"/>
      <c r="J27" s="110"/>
      <c r="K27" s="408"/>
      <c r="L27" s="110"/>
    </row>
    <row r="28" spans="1:14" x14ac:dyDescent="0.2">
      <c r="A28" s="10">
        <v>23</v>
      </c>
      <c r="B28" s="129">
        <v>-44134</v>
      </c>
      <c r="C28" s="11">
        <v>-50000</v>
      </c>
      <c r="D28" s="25">
        <f t="shared" si="0"/>
        <v>-5866</v>
      </c>
      <c r="G28" s="32"/>
      <c r="H28" s="24"/>
      <c r="I28" s="24"/>
      <c r="J28" s="110"/>
      <c r="K28" s="408"/>
      <c r="L28" s="110"/>
    </row>
    <row r="29" spans="1:14" x14ac:dyDescent="0.2">
      <c r="A29" s="10">
        <v>24</v>
      </c>
      <c r="B29" s="129">
        <v>-43048</v>
      </c>
      <c r="C29" s="11">
        <v>-50000</v>
      </c>
      <c r="D29" s="25">
        <f t="shared" si="0"/>
        <v>-6952</v>
      </c>
    </row>
    <row r="30" spans="1:14" x14ac:dyDescent="0.2">
      <c r="A30" s="10">
        <v>25</v>
      </c>
      <c r="B30" s="129">
        <v>-41991</v>
      </c>
      <c r="C30" s="11">
        <v>-50000</v>
      </c>
      <c r="D30" s="25">
        <f t="shared" si="0"/>
        <v>-8009</v>
      </c>
    </row>
    <row r="31" spans="1:14" x14ac:dyDescent="0.2">
      <c r="A31" s="10">
        <v>26</v>
      </c>
      <c r="B31" s="129">
        <v>-41997</v>
      </c>
      <c r="C31" s="11">
        <v>-45000</v>
      </c>
      <c r="D31" s="25">
        <f t="shared" si="0"/>
        <v>-3003</v>
      </c>
    </row>
    <row r="32" spans="1:14" x14ac:dyDescent="0.2">
      <c r="A32" s="10">
        <v>27</v>
      </c>
      <c r="B32" s="129">
        <v>-41784</v>
      </c>
      <c r="C32" s="11">
        <v>-45000</v>
      </c>
      <c r="D32" s="25">
        <f t="shared" si="0"/>
        <v>-3216</v>
      </c>
    </row>
    <row r="33" spans="1:4" x14ac:dyDescent="0.2">
      <c r="A33" s="10">
        <v>28</v>
      </c>
      <c r="B33" s="129">
        <v>-42049</v>
      </c>
      <c r="C33" s="11">
        <v>-40000</v>
      </c>
      <c r="D33" s="25">
        <f t="shared" si="0"/>
        <v>2049</v>
      </c>
    </row>
    <row r="34" spans="1:4" x14ac:dyDescent="0.2">
      <c r="A34" s="10">
        <v>29</v>
      </c>
      <c r="B34" s="129">
        <v>-42017</v>
      </c>
      <c r="C34" s="11">
        <v>-40000</v>
      </c>
      <c r="D34" s="25">
        <f t="shared" si="0"/>
        <v>2017</v>
      </c>
    </row>
    <row r="35" spans="1:4" x14ac:dyDescent="0.2">
      <c r="A35" s="10">
        <v>30</v>
      </c>
      <c r="B35" s="129">
        <v>-42064</v>
      </c>
      <c r="C35" s="11">
        <v>-40000</v>
      </c>
      <c r="D35" s="25">
        <f t="shared" si="0"/>
        <v>2064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-2003616</v>
      </c>
      <c r="C37" s="11">
        <f>SUM(C6:C36)</f>
        <v>-2093484</v>
      </c>
      <c r="D37" s="25">
        <f>SUM(D6:D36)</f>
        <v>-89868</v>
      </c>
    </row>
    <row r="38" spans="1:4" x14ac:dyDescent="0.2">
      <c r="A38" s="26"/>
      <c r="C38" s="14"/>
      <c r="D38" s="326">
        <f>+summary!G4</f>
        <v>2.08</v>
      </c>
    </row>
    <row r="39" spans="1:4" x14ac:dyDescent="0.2">
      <c r="D39" s="138">
        <f>+D38*D37</f>
        <v>-186925.44</v>
      </c>
    </row>
    <row r="40" spans="1:4" x14ac:dyDescent="0.2">
      <c r="A40" s="57">
        <v>37256</v>
      </c>
      <c r="C40" s="15"/>
      <c r="D40" s="529">
        <v>178976.97</v>
      </c>
    </row>
    <row r="41" spans="1:4" x14ac:dyDescent="0.2">
      <c r="A41" s="57">
        <v>37286</v>
      </c>
      <c r="C41" s="48"/>
      <c r="D41" s="138">
        <f>+D40+D39</f>
        <v>-7948.4700000000012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37256</v>
      </c>
      <c r="B45" s="32"/>
      <c r="C45" s="32"/>
      <c r="D45" s="524">
        <v>173146</v>
      </c>
    </row>
    <row r="46" spans="1:4" x14ac:dyDescent="0.2">
      <c r="A46" s="49">
        <f>+A41</f>
        <v>37286</v>
      </c>
      <c r="B46" s="32"/>
      <c r="C46" s="32"/>
      <c r="D46" s="350">
        <f>+D37</f>
        <v>-89868</v>
      </c>
    </row>
    <row r="47" spans="1:4" x14ac:dyDescent="0.2">
      <c r="A47" s="32"/>
      <c r="B47" s="32"/>
      <c r="C47" s="32"/>
      <c r="D47" s="14">
        <f>+D46+D45</f>
        <v>83278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4" workbookViewId="0">
      <selection activeCell="A40" sqref="A40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>
        <v>27677</v>
      </c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30077</v>
      </c>
      <c r="C6" s="11">
        <v>30013</v>
      </c>
      <c r="D6" s="25">
        <f>+C6-B6</f>
        <v>-64</v>
      </c>
    </row>
    <row r="7" spans="1:5" x14ac:dyDescent="0.2">
      <c r="A7" s="10">
        <v>2</v>
      </c>
      <c r="B7" s="11">
        <v>30198</v>
      </c>
      <c r="C7" s="11">
        <v>30013</v>
      </c>
      <c r="D7" s="25">
        <f t="shared" ref="D7:D36" si="0">+C7-B7</f>
        <v>-185</v>
      </c>
    </row>
    <row r="8" spans="1:5" x14ac:dyDescent="0.2">
      <c r="A8" s="10">
        <v>3</v>
      </c>
      <c r="B8" s="11">
        <v>30012</v>
      </c>
      <c r="C8" s="11">
        <v>30013</v>
      </c>
      <c r="D8" s="25">
        <f t="shared" si="0"/>
        <v>1</v>
      </c>
    </row>
    <row r="9" spans="1:5" x14ac:dyDescent="0.2">
      <c r="A9" s="10">
        <v>4</v>
      </c>
      <c r="B9" s="11">
        <v>28849</v>
      </c>
      <c r="C9" s="11">
        <v>30013</v>
      </c>
      <c r="D9" s="25">
        <f t="shared" si="0"/>
        <v>1164</v>
      </c>
    </row>
    <row r="10" spans="1:5" x14ac:dyDescent="0.2">
      <c r="A10" s="10">
        <v>5</v>
      </c>
      <c r="B10" s="11">
        <v>29803</v>
      </c>
      <c r="C10" s="11">
        <v>32012</v>
      </c>
      <c r="D10" s="25">
        <f t="shared" si="0"/>
        <v>2209</v>
      </c>
    </row>
    <row r="11" spans="1:5" x14ac:dyDescent="0.2">
      <c r="A11" s="10">
        <v>6</v>
      </c>
      <c r="B11" s="129">
        <v>29404</v>
      </c>
      <c r="C11" s="11">
        <v>32012</v>
      </c>
      <c r="D11" s="25">
        <f t="shared" si="0"/>
        <v>2608</v>
      </c>
    </row>
    <row r="12" spans="1:5" x14ac:dyDescent="0.2">
      <c r="A12" s="10">
        <v>7</v>
      </c>
      <c r="B12" s="129">
        <v>29513</v>
      </c>
      <c r="C12" s="11">
        <v>32012</v>
      </c>
      <c r="D12" s="25">
        <f t="shared" si="0"/>
        <v>2499</v>
      </c>
    </row>
    <row r="13" spans="1:5" x14ac:dyDescent="0.2">
      <c r="A13" s="10">
        <v>8</v>
      </c>
      <c r="B13" s="129">
        <v>29387</v>
      </c>
      <c r="C13" s="11">
        <v>31955</v>
      </c>
      <c r="D13" s="25">
        <f t="shared" si="0"/>
        <v>2568</v>
      </c>
    </row>
    <row r="14" spans="1:5" x14ac:dyDescent="0.2">
      <c r="A14" s="10">
        <v>9</v>
      </c>
      <c r="B14" s="129">
        <v>31999</v>
      </c>
      <c r="C14" s="11">
        <v>32012</v>
      </c>
      <c r="D14" s="25">
        <f t="shared" si="0"/>
        <v>13</v>
      </c>
    </row>
    <row r="15" spans="1:5" x14ac:dyDescent="0.2">
      <c r="A15" s="10">
        <v>10</v>
      </c>
      <c r="B15" s="129">
        <v>33291</v>
      </c>
      <c r="C15" s="11">
        <v>32013</v>
      </c>
      <c r="D15" s="25">
        <f t="shared" si="0"/>
        <v>-1278</v>
      </c>
    </row>
    <row r="16" spans="1:5" x14ac:dyDescent="0.2">
      <c r="A16" s="10">
        <v>11</v>
      </c>
      <c r="B16" s="129">
        <v>35895</v>
      </c>
      <c r="C16" s="11">
        <v>32013</v>
      </c>
      <c r="D16" s="25">
        <f t="shared" si="0"/>
        <v>-3882</v>
      </c>
    </row>
    <row r="17" spans="1:4" x14ac:dyDescent="0.2">
      <c r="A17" s="10">
        <v>12</v>
      </c>
      <c r="B17" s="129">
        <v>33881</v>
      </c>
      <c r="C17" s="11">
        <v>32013</v>
      </c>
      <c r="D17" s="25">
        <f t="shared" si="0"/>
        <v>-1868</v>
      </c>
    </row>
    <row r="18" spans="1:4" x14ac:dyDescent="0.2">
      <c r="A18" s="10">
        <v>13</v>
      </c>
      <c r="B18" s="129">
        <v>34615</v>
      </c>
      <c r="C18" s="11">
        <v>32013</v>
      </c>
      <c r="D18" s="25">
        <f t="shared" si="0"/>
        <v>-2602</v>
      </c>
    </row>
    <row r="19" spans="1:4" x14ac:dyDescent="0.2">
      <c r="A19" s="10">
        <v>14</v>
      </c>
      <c r="B19" s="129">
        <v>33685</v>
      </c>
      <c r="C19" s="11">
        <v>32013</v>
      </c>
      <c r="D19" s="25">
        <f t="shared" si="0"/>
        <v>-1672</v>
      </c>
    </row>
    <row r="20" spans="1:4" x14ac:dyDescent="0.2">
      <c r="A20" s="10">
        <v>15</v>
      </c>
      <c r="B20" s="129">
        <v>25246</v>
      </c>
      <c r="C20" s="11">
        <v>32013</v>
      </c>
      <c r="D20" s="25">
        <f t="shared" si="0"/>
        <v>6767</v>
      </c>
    </row>
    <row r="21" spans="1:4" x14ac:dyDescent="0.2">
      <c r="A21" s="10">
        <v>16</v>
      </c>
      <c r="B21" s="11">
        <v>37058</v>
      </c>
      <c r="C21" s="11">
        <v>31127</v>
      </c>
      <c r="D21" s="25">
        <f t="shared" si="0"/>
        <v>-5931</v>
      </c>
    </row>
    <row r="22" spans="1:4" x14ac:dyDescent="0.2">
      <c r="A22" s="10">
        <v>17</v>
      </c>
      <c r="B22" s="11">
        <v>36319</v>
      </c>
      <c r="C22" s="11">
        <v>31127</v>
      </c>
      <c r="D22" s="25">
        <f t="shared" si="0"/>
        <v>-5192</v>
      </c>
    </row>
    <row r="23" spans="1:4" x14ac:dyDescent="0.2">
      <c r="A23" s="10">
        <v>18</v>
      </c>
      <c r="B23" s="11">
        <v>32175</v>
      </c>
      <c r="C23" s="11">
        <v>31127</v>
      </c>
      <c r="D23" s="25">
        <f t="shared" si="0"/>
        <v>-1048</v>
      </c>
    </row>
    <row r="24" spans="1:4" x14ac:dyDescent="0.2">
      <c r="A24" s="10">
        <v>19</v>
      </c>
      <c r="B24" s="11">
        <v>30143</v>
      </c>
      <c r="C24" s="11">
        <v>28727</v>
      </c>
      <c r="D24" s="25">
        <f t="shared" si="0"/>
        <v>-1416</v>
      </c>
    </row>
    <row r="25" spans="1:4" x14ac:dyDescent="0.2">
      <c r="A25" s="10">
        <v>20</v>
      </c>
      <c r="B25" s="11">
        <v>27997</v>
      </c>
      <c r="C25" s="11">
        <v>28727</v>
      </c>
      <c r="D25" s="25">
        <f t="shared" si="0"/>
        <v>730</v>
      </c>
    </row>
    <row r="26" spans="1:4" x14ac:dyDescent="0.2">
      <c r="A26" s="10">
        <v>21</v>
      </c>
      <c r="B26" s="11">
        <v>27641</v>
      </c>
      <c r="C26" s="11">
        <v>28727</v>
      </c>
      <c r="D26" s="25">
        <f t="shared" si="0"/>
        <v>1086</v>
      </c>
    </row>
    <row r="27" spans="1:4" x14ac:dyDescent="0.2">
      <c r="A27" s="10">
        <v>22</v>
      </c>
      <c r="B27" s="11">
        <v>27458</v>
      </c>
      <c r="C27" s="11">
        <v>28727</v>
      </c>
      <c r="D27" s="25">
        <f t="shared" si="0"/>
        <v>1269</v>
      </c>
    </row>
    <row r="28" spans="1:4" x14ac:dyDescent="0.2">
      <c r="A28" s="10">
        <v>23</v>
      </c>
      <c r="B28" s="11">
        <v>30094</v>
      </c>
      <c r="C28" s="11">
        <v>28726</v>
      </c>
      <c r="D28" s="25">
        <f t="shared" si="0"/>
        <v>-1368</v>
      </c>
    </row>
    <row r="29" spans="1:4" x14ac:dyDescent="0.2">
      <c r="A29" s="10">
        <v>24</v>
      </c>
      <c r="B29" s="11">
        <v>28876</v>
      </c>
      <c r="C29" s="11">
        <v>28727</v>
      </c>
      <c r="D29" s="25">
        <f t="shared" si="0"/>
        <v>-149</v>
      </c>
    </row>
    <row r="30" spans="1:4" x14ac:dyDescent="0.2">
      <c r="A30" s="10">
        <v>25</v>
      </c>
      <c r="B30" s="11">
        <v>28518</v>
      </c>
      <c r="C30" s="11">
        <v>28727</v>
      </c>
      <c r="D30" s="25">
        <f t="shared" si="0"/>
        <v>209</v>
      </c>
    </row>
    <row r="31" spans="1:4" x14ac:dyDescent="0.2">
      <c r="A31" s="10">
        <v>26</v>
      </c>
      <c r="B31" s="11">
        <v>27427</v>
      </c>
      <c r="C31" s="11">
        <v>28600</v>
      </c>
      <c r="D31" s="25">
        <f t="shared" si="0"/>
        <v>1173</v>
      </c>
    </row>
    <row r="32" spans="1:4" x14ac:dyDescent="0.2">
      <c r="A32" s="10">
        <v>27</v>
      </c>
      <c r="B32" s="11">
        <v>28542</v>
      </c>
      <c r="C32" s="11">
        <v>28600</v>
      </c>
      <c r="D32" s="25">
        <f t="shared" si="0"/>
        <v>58</v>
      </c>
    </row>
    <row r="33" spans="1:4" x14ac:dyDescent="0.2">
      <c r="A33" s="10">
        <v>28</v>
      </c>
      <c r="B33" s="11">
        <v>29307</v>
      </c>
      <c r="C33" s="11">
        <v>28600</v>
      </c>
      <c r="D33" s="25">
        <f t="shared" si="0"/>
        <v>-707</v>
      </c>
    </row>
    <row r="34" spans="1:4" x14ac:dyDescent="0.2">
      <c r="A34" s="10">
        <v>29</v>
      </c>
      <c r="B34" s="11">
        <v>36227</v>
      </c>
      <c r="C34" s="11">
        <v>37551</v>
      </c>
      <c r="D34" s="25">
        <f t="shared" si="0"/>
        <v>1324</v>
      </c>
    </row>
    <row r="35" spans="1:4" x14ac:dyDescent="0.2">
      <c r="A35" s="10">
        <v>30</v>
      </c>
      <c r="B35" s="11">
        <v>32206</v>
      </c>
      <c r="C35" s="11">
        <v>37551</v>
      </c>
      <c r="D35" s="25">
        <f t="shared" si="0"/>
        <v>5345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925843</v>
      </c>
      <c r="C37" s="11">
        <f>SUM(C6:C36)</f>
        <v>927504</v>
      </c>
      <c r="D37" s="25">
        <f>SUM(D6:D36)</f>
        <v>1661</v>
      </c>
    </row>
    <row r="38" spans="1:4" x14ac:dyDescent="0.2">
      <c r="A38" s="26"/>
      <c r="B38" s="31"/>
      <c r="C38" s="14"/>
      <c r="D38" s="326">
        <f>+summary!G5</f>
        <v>2.09</v>
      </c>
    </row>
    <row r="39" spans="1:4" x14ac:dyDescent="0.2">
      <c r="D39" s="138">
        <f>+D38*D37</f>
        <v>3471.49</v>
      </c>
    </row>
    <row r="40" spans="1:4" x14ac:dyDescent="0.2">
      <c r="A40" s="57">
        <v>37256</v>
      </c>
      <c r="C40" s="15"/>
      <c r="D40" s="529">
        <v>85001.93</v>
      </c>
    </row>
    <row r="41" spans="1:4" x14ac:dyDescent="0.2">
      <c r="A41" s="57">
        <v>37286</v>
      </c>
      <c r="C41" s="48"/>
      <c r="D41" s="138">
        <f>+D40+D39</f>
        <v>88473.42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37256</v>
      </c>
      <c r="B45" s="32"/>
      <c r="C45" s="32"/>
      <c r="D45" s="524">
        <v>54581</v>
      </c>
    </row>
    <row r="46" spans="1:4" x14ac:dyDescent="0.2">
      <c r="A46" s="49">
        <f>+A41</f>
        <v>37286</v>
      </c>
      <c r="B46" s="32"/>
      <c r="C46" s="32"/>
      <c r="D46" s="350">
        <f>+D37</f>
        <v>1661</v>
      </c>
    </row>
    <row r="47" spans="1:4" x14ac:dyDescent="0.2">
      <c r="A47" s="32"/>
      <c r="B47" s="32"/>
      <c r="C47" s="32"/>
      <c r="D47" s="14">
        <f>+D46+D45</f>
        <v>56242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38" sqref="F38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07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9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6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265797</v>
      </c>
      <c r="C4" s="11">
        <v>254322</v>
      </c>
      <c r="D4" s="11">
        <v>39793</v>
      </c>
      <c r="E4" s="11">
        <v>37941</v>
      </c>
      <c r="F4" s="11">
        <v>27327</v>
      </c>
      <c r="G4" s="11">
        <v>49663</v>
      </c>
      <c r="H4" s="11">
        <v>98034</v>
      </c>
      <c r="I4" s="11">
        <v>88072</v>
      </c>
      <c r="J4" s="11">
        <f t="shared" ref="J4:J34" si="0">+C4+E4+G4+I4-H4-F4-D4-B4</f>
        <v>-953</v>
      </c>
      <c r="K4" s="31"/>
      <c r="M4" s="406" t="s">
        <v>39</v>
      </c>
      <c r="N4" s="4" t="s">
        <v>19</v>
      </c>
      <c r="O4" s="4" t="s">
        <v>20</v>
      </c>
      <c r="P4" s="404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277624</v>
      </c>
      <c r="C5" s="11">
        <v>290502</v>
      </c>
      <c r="D5" s="11">
        <v>41157</v>
      </c>
      <c r="E5" s="11">
        <v>40713</v>
      </c>
      <c r="F5" s="11">
        <v>43302</v>
      </c>
      <c r="G5" s="11">
        <v>49663</v>
      </c>
      <c r="H5" s="11">
        <v>99079</v>
      </c>
      <c r="I5" s="11">
        <v>82401</v>
      </c>
      <c r="J5" s="11">
        <f t="shared" si="0"/>
        <v>2117</v>
      </c>
      <c r="M5" s="214" t="s">
        <v>250</v>
      </c>
      <c r="N5" s="14"/>
      <c r="O5" s="14"/>
      <c r="P5" s="14">
        <v>-34361</v>
      </c>
      <c r="Q5" s="359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307171</v>
      </c>
      <c r="C6" s="11">
        <v>315078</v>
      </c>
      <c r="D6" s="11">
        <v>38099</v>
      </c>
      <c r="E6" s="11">
        <v>38046</v>
      </c>
      <c r="F6" s="11">
        <v>47670</v>
      </c>
      <c r="G6" s="11">
        <v>45711</v>
      </c>
      <c r="H6" s="11">
        <v>136447</v>
      </c>
      <c r="I6" s="11">
        <v>129393</v>
      </c>
      <c r="J6" s="11">
        <f t="shared" si="0"/>
        <v>-1159</v>
      </c>
      <c r="M6" s="406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9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279408</v>
      </c>
      <c r="C7" s="11">
        <v>308260</v>
      </c>
      <c r="D7" s="11">
        <v>36601</v>
      </c>
      <c r="E7" s="11">
        <v>41864</v>
      </c>
      <c r="F7" s="11">
        <v>43971</v>
      </c>
      <c r="G7" s="11">
        <v>44545</v>
      </c>
      <c r="H7" s="11">
        <v>131671</v>
      </c>
      <c r="I7" s="11">
        <v>130882</v>
      </c>
      <c r="J7" s="11">
        <f t="shared" si="0"/>
        <v>33900</v>
      </c>
      <c r="M7" s="406">
        <v>36892</v>
      </c>
      <c r="N7" s="24">
        <v>18949781</v>
      </c>
      <c r="O7" s="14">
        <v>18975457</v>
      </c>
      <c r="P7" s="14">
        <f t="shared" si="1"/>
        <v>25676</v>
      </c>
      <c r="Q7" s="359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175341</v>
      </c>
      <c r="C8" s="11">
        <v>160910</v>
      </c>
      <c r="D8" s="129">
        <v>27297</v>
      </c>
      <c r="E8" s="11">
        <v>42530</v>
      </c>
      <c r="F8" s="11">
        <v>42548</v>
      </c>
      <c r="G8" s="11">
        <v>42645</v>
      </c>
      <c r="H8" s="129">
        <v>139863</v>
      </c>
      <c r="I8" s="11">
        <v>137699</v>
      </c>
      <c r="J8" s="11">
        <f t="shared" si="0"/>
        <v>-1265</v>
      </c>
      <c r="M8" s="406">
        <v>36923</v>
      </c>
      <c r="N8" s="24">
        <v>15256233</v>
      </c>
      <c r="O8" s="14">
        <v>15290953</v>
      </c>
      <c r="P8" s="14">
        <f t="shared" si="1"/>
        <v>34720</v>
      </c>
      <c r="Q8" s="359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302844</v>
      </c>
      <c r="C9" s="11">
        <v>303238</v>
      </c>
      <c r="D9" s="11">
        <v>49893</v>
      </c>
      <c r="E9" s="11">
        <v>35667</v>
      </c>
      <c r="F9" s="11">
        <v>28841</v>
      </c>
      <c r="G9" s="11">
        <v>42645</v>
      </c>
      <c r="H9" s="11">
        <v>132071</v>
      </c>
      <c r="I9" s="11">
        <v>128281</v>
      </c>
      <c r="J9" s="11">
        <f t="shared" si="0"/>
        <v>-3818</v>
      </c>
      <c r="M9" s="406">
        <v>36951</v>
      </c>
      <c r="N9" s="24">
        <v>17049350</v>
      </c>
      <c r="O9" s="14">
        <v>17089226</v>
      </c>
      <c r="P9" s="14">
        <f t="shared" si="1"/>
        <v>39876</v>
      </c>
      <c r="Q9" s="359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310245</v>
      </c>
      <c r="C10" s="11">
        <v>304796</v>
      </c>
      <c r="D10" s="129">
        <v>37271</v>
      </c>
      <c r="E10" s="11">
        <v>35667</v>
      </c>
      <c r="F10" s="129">
        <v>33623</v>
      </c>
      <c r="G10" s="11">
        <v>44142</v>
      </c>
      <c r="H10" s="129">
        <v>130811</v>
      </c>
      <c r="I10" s="11">
        <v>129521</v>
      </c>
      <c r="J10" s="11">
        <f t="shared" si="0"/>
        <v>2176</v>
      </c>
      <c r="M10" s="406">
        <v>36982</v>
      </c>
      <c r="N10" s="24">
        <v>17652369</v>
      </c>
      <c r="O10" s="14">
        <v>17743987</v>
      </c>
      <c r="P10" s="14">
        <f t="shared" si="1"/>
        <v>91618</v>
      </c>
      <c r="Q10" s="359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303756</v>
      </c>
      <c r="C11" s="11">
        <v>304570</v>
      </c>
      <c r="D11" s="11">
        <v>36021</v>
      </c>
      <c r="E11" s="11">
        <v>35667</v>
      </c>
      <c r="F11" s="11">
        <v>41946</v>
      </c>
      <c r="G11" s="11">
        <v>42720</v>
      </c>
      <c r="H11" s="11">
        <v>134065</v>
      </c>
      <c r="I11" s="11">
        <v>117742</v>
      </c>
      <c r="J11" s="11">
        <f t="shared" si="0"/>
        <v>-15089</v>
      </c>
      <c r="M11" s="406">
        <v>37012</v>
      </c>
      <c r="N11" s="24">
        <v>16124989</v>
      </c>
      <c r="O11" s="14">
        <v>16282021</v>
      </c>
      <c r="P11" s="14">
        <f t="shared" si="1"/>
        <v>157032</v>
      </c>
      <c r="Q11" s="359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292995</v>
      </c>
      <c r="C12" s="11">
        <v>286176</v>
      </c>
      <c r="D12" s="11">
        <v>41960</v>
      </c>
      <c r="E12" s="11">
        <v>42041</v>
      </c>
      <c r="F12" s="11">
        <v>42165</v>
      </c>
      <c r="G12" s="11">
        <v>43615</v>
      </c>
      <c r="H12" s="11">
        <v>106152</v>
      </c>
      <c r="I12" s="11">
        <v>104559</v>
      </c>
      <c r="J12" s="11">
        <f t="shared" si="0"/>
        <v>-6881</v>
      </c>
      <c r="M12" s="406">
        <v>37043</v>
      </c>
      <c r="N12" s="24">
        <v>15928675</v>
      </c>
      <c r="O12" s="14">
        <v>15936227</v>
      </c>
      <c r="P12" s="14">
        <f t="shared" si="1"/>
        <v>7552</v>
      </c>
      <c r="Q12" s="359">
        <v>2.58</v>
      </c>
      <c r="R12" s="200">
        <f t="shared" si="2"/>
        <v>19484.16</v>
      </c>
      <c r="S12" s="482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316062</v>
      </c>
      <c r="C13" s="11">
        <v>311012</v>
      </c>
      <c r="D13" s="129">
        <v>41004</v>
      </c>
      <c r="E13" s="11">
        <v>38434</v>
      </c>
      <c r="F13" s="129">
        <v>42602</v>
      </c>
      <c r="G13" s="11">
        <v>43615</v>
      </c>
      <c r="H13" s="129">
        <v>130628</v>
      </c>
      <c r="I13" s="11">
        <v>126730</v>
      </c>
      <c r="J13" s="11">
        <f t="shared" si="0"/>
        <v>-10505</v>
      </c>
      <c r="M13" s="406">
        <v>37073</v>
      </c>
      <c r="N13" s="24">
        <v>16669639</v>
      </c>
      <c r="O13" s="14">
        <v>16693576</v>
      </c>
      <c r="P13" s="14">
        <f t="shared" si="1"/>
        <v>23937</v>
      </c>
      <c r="Q13" s="359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312745</v>
      </c>
      <c r="C14" s="11">
        <v>310787</v>
      </c>
      <c r="D14" s="11">
        <v>40954</v>
      </c>
      <c r="E14" s="11">
        <v>39920</v>
      </c>
      <c r="F14" s="11">
        <v>42342</v>
      </c>
      <c r="G14" s="11">
        <v>43615</v>
      </c>
      <c r="H14" s="11">
        <v>120871</v>
      </c>
      <c r="I14" s="11">
        <v>118898</v>
      </c>
      <c r="J14" s="11">
        <f t="shared" si="0"/>
        <v>-3692</v>
      </c>
      <c r="M14" s="406">
        <v>37104</v>
      </c>
      <c r="N14" s="24">
        <v>17850737</v>
      </c>
      <c r="O14" s="14">
        <v>17815859</v>
      </c>
      <c r="P14" s="14">
        <f>+O14-N14</f>
        <v>-34878</v>
      </c>
      <c r="Q14" s="359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318188</v>
      </c>
      <c r="C15" s="11">
        <v>317298</v>
      </c>
      <c r="D15" s="11">
        <v>40993</v>
      </c>
      <c r="E15" s="11">
        <v>39423</v>
      </c>
      <c r="F15" s="11">
        <v>45440</v>
      </c>
      <c r="G15" s="11">
        <v>43615</v>
      </c>
      <c r="H15" s="11">
        <v>119456</v>
      </c>
      <c r="I15" s="11">
        <v>122363</v>
      </c>
      <c r="J15" s="11">
        <f t="shared" si="0"/>
        <v>-1378</v>
      </c>
      <c r="M15" s="406">
        <v>37135</v>
      </c>
      <c r="N15" s="24">
        <v>16552948</v>
      </c>
      <c r="O15" s="14">
        <v>16508018</v>
      </c>
      <c r="P15" s="14">
        <f>+O15-N15</f>
        <v>-44930</v>
      </c>
      <c r="Q15" s="359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324008</v>
      </c>
      <c r="C16" s="11">
        <v>324208</v>
      </c>
      <c r="D16" s="11">
        <v>41446</v>
      </c>
      <c r="E16" s="11">
        <v>40674</v>
      </c>
      <c r="F16" s="11">
        <v>44799</v>
      </c>
      <c r="G16" s="11">
        <v>49115</v>
      </c>
      <c r="H16" s="11">
        <v>125758</v>
      </c>
      <c r="I16" s="11">
        <v>123746</v>
      </c>
      <c r="J16" s="11">
        <f t="shared" si="0"/>
        <v>1732</v>
      </c>
      <c r="M16" s="406">
        <v>37165</v>
      </c>
      <c r="N16" s="24">
        <v>17924814</v>
      </c>
      <c r="O16" s="14">
        <v>17872479</v>
      </c>
      <c r="P16" s="14">
        <f>+O16-N16</f>
        <v>-52335</v>
      </c>
      <c r="Q16" s="359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310479</v>
      </c>
      <c r="C17" s="11">
        <v>307199</v>
      </c>
      <c r="D17" s="11">
        <v>42030</v>
      </c>
      <c r="E17" s="11">
        <v>40772</v>
      </c>
      <c r="F17" s="11">
        <v>45484</v>
      </c>
      <c r="G17" s="11">
        <v>47542</v>
      </c>
      <c r="H17" s="11">
        <v>131012</v>
      </c>
      <c r="I17" s="11">
        <v>128288</v>
      </c>
      <c r="J17" s="11">
        <f t="shared" si="0"/>
        <v>-5204</v>
      </c>
      <c r="M17" s="406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9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290862</v>
      </c>
      <c r="C18" s="11">
        <v>273401</v>
      </c>
      <c r="D18" s="11">
        <v>41858</v>
      </c>
      <c r="E18" s="11">
        <v>41317</v>
      </c>
      <c r="F18" s="11">
        <v>44939</v>
      </c>
      <c r="G18" s="11">
        <v>46913</v>
      </c>
      <c r="H18" s="11">
        <v>123364</v>
      </c>
      <c r="I18" s="11">
        <v>124424</v>
      </c>
      <c r="J18" s="11">
        <f t="shared" si="0"/>
        <v>-14968</v>
      </c>
      <c r="M18" s="406">
        <v>37229</v>
      </c>
      <c r="N18" s="24"/>
      <c r="O18" s="14"/>
      <c r="P18" s="14">
        <f>+O18-N18</f>
        <v>0</v>
      </c>
      <c r="Q18" s="359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315187</v>
      </c>
      <c r="C19" s="11">
        <v>318355</v>
      </c>
      <c r="D19" s="11">
        <v>41948</v>
      </c>
      <c r="E19" s="11">
        <v>42502</v>
      </c>
      <c r="F19" s="11">
        <v>43146</v>
      </c>
      <c r="G19" s="11">
        <v>48615</v>
      </c>
      <c r="H19" s="11">
        <v>130089</v>
      </c>
      <c r="I19" s="11">
        <v>133203</v>
      </c>
      <c r="J19" s="11">
        <f t="shared" si="0"/>
        <v>12305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306228</v>
      </c>
      <c r="C20" s="11">
        <v>315134</v>
      </c>
      <c r="D20" s="11">
        <v>38819</v>
      </c>
      <c r="E20" s="11">
        <v>42762</v>
      </c>
      <c r="F20" s="11">
        <v>47048</v>
      </c>
      <c r="G20" s="11">
        <v>48615</v>
      </c>
      <c r="H20" s="11">
        <v>140278</v>
      </c>
      <c r="I20" s="11">
        <v>137918</v>
      </c>
      <c r="J20" s="11">
        <f t="shared" si="0"/>
        <v>12056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314325</v>
      </c>
      <c r="C21" s="11">
        <v>308834</v>
      </c>
      <c r="D21" s="11">
        <v>34315</v>
      </c>
      <c r="E21" s="11">
        <v>42205</v>
      </c>
      <c r="F21" s="11">
        <v>43287</v>
      </c>
      <c r="G21" s="11">
        <v>48505</v>
      </c>
      <c r="H21" s="11">
        <v>135595</v>
      </c>
      <c r="I21" s="11">
        <v>130464</v>
      </c>
      <c r="J21" s="11">
        <f t="shared" si="0"/>
        <v>2486</v>
      </c>
      <c r="M21" s="406"/>
      <c r="N21" s="24"/>
      <c r="O21" s="14"/>
      <c r="P21" s="14">
        <f>SUM(P5:P20)</f>
        <v>135708</v>
      </c>
      <c r="Q21" s="359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310482</v>
      </c>
      <c r="C22" s="11">
        <v>289905</v>
      </c>
      <c r="D22" s="11">
        <v>22017</v>
      </c>
      <c r="E22" s="11">
        <v>35667</v>
      </c>
      <c r="F22" s="11">
        <v>39712</v>
      </c>
      <c r="G22" s="11">
        <v>48497</v>
      </c>
      <c r="H22" s="11">
        <v>139137</v>
      </c>
      <c r="I22" s="11">
        <v>137882</v>
      </c>
      <c r="J22" s="11">
        <f t="shared" si="0"/>
        <v>603</v>
      </c>
      <c r="M22" s="406"/>
      <c r="N22" s="24"/>
      <c r="O22" s="14"/>
      <c r="P22" s="201">
        <v>1.98</v>
      </c>
      <c r="Q22" s="359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>
        <v>286477</v>
      </c>
      <c r="C23" s="11">
        <v>293201</v>
      </c>
      <c r="D23" s="129">
        <v>35547</v>
      </c>
      <c r="E23" s="11">
        <v>35667</v>
      </c>
      <c r="F23" s="11">
        <v>43888</v>
      </c>
      <c r="G23" s="11">
        <v>48505</v>
      </c>
      <c r="H23" s="129">
        <v>147895</v>
      </c>
      <c r="I23" s="11">
        <v>141348</v>
      </c>
      <c r="J23" s="11">
        <f t="shared" si="0"/>
        <v>4914</v>
      </c>
      <c r="M23" s="406"/>
      <c r="N23" s="14">
        <v>1378106</v>
      </c>
      <c r="O23" s="14">
        <v>1316146</v>
      </c>
      <c r="P23" s="201">
        <f>+P22*P21</f>
        <v>268701.84000000003</v>
      </c>
      <c r="Q23" s="359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>
        <v>313108</v>
      </c>
      <c r="C24" s="11">
        <v>312195</v>
      </c>
      <c r="D24" s="11">
        <v>36330</v>
      </c>
      <c r="E24" s="11">
        <v>35667</v>
      </c>
      <c r="F24" s="11">
        <v>34101</v>
      </c>
      <c r="G24" s="11">
        <v>48505</v>
      </c>
      <c r="H24" s="11">
        <v>157490</v>
      </c>
      <c r="I24" s="11">
        <v>140887</v>
      </c>
      <c r="J24" s="11">
        <f t="shared" si="0"/>
        <v>-3775</v>
      </c>
      <c r="M24" s="406"/>
      <c r="N24" s="14">
        <v>9216070</v>
      </c>
      <c r="O24" s="14">
        <v>9272400</v>
      </c>
      <c r="P24" s="15"/>
      <c r="Q24" s="359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>
        <v>305636</v>
      </c>
      <c r="C25" s="11">
        <v>310653</v>
      </c>
      <c r="D25" s="11">
        <v>41707</v>
      </c>
      <c r="E25" s="11">
        <v>39898</v>
      </c>
      <c r="F25" s="11">
        <v>47396</v>
      </c>
      <c r="G25" s="11">
        <v>46090</v>
      </c>
      <c r="H25" s="11">
        <v>144567</v>
      </c>
      <c r="I25" s="11">
        <v>142187</v>
      </c>
      <c r="J25" s="11">
        <f t="shared" si="0"/>
        <v>-478</v>
      </c>
      <c r="M25" s="406"/>
      <c r="N25" s="24">
        <v>3546065</v>
      </c>
      <c r="O25" s="24">
        <v>3512740</v>
      </c>
      <c r="P25" s="110"/>
      <c r="Q25" s="408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>
        <v>343369</v>
      </c>
      <c r="C26" s="11">
        <v>345360</v>
      </c>
      <c r="D26" s="11">
        <v>39373</v>
      </c>
      <c r="E26" s="11">
        <v>38545</v>
      </c>
      <c r="F26" s="11">
        <v>48566</v>
      </c>
      <c r="G26" s="11">
        <v>48505</v>
      </c>
      <c r="H26" s="11">
        <v>144185</v>
      </c>
      <c r="I26" s="11">
        <v>145371</v>
      </c>
      <c r="J26" s="11">
        <f t="shared" si="0"/>
        <v>2288</v>
      </c>
      <c r="M26" s="32"/>
      <c r="N26" s="24">
        <v>1623705</v>
      </c>
      <c r="O26" s="24">
        <v>1620245</v>
      </c>
      <c r="P26" s="24"/>
      <c r="Q26" s="408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>
        <v>344645</v>
      </c>
      <c r="C27" s="11">
        <v>346709</v>
      </c>
      <c r="D27" s="11">
        <v>41988</v>
      </c>
      <c r="E27" s="11">
        <v>39369</v>
      </c>
      <c r="F27" s="11">
        <v>42962</v>
      </c>
      <c r="G27" s="11">
        <v>42102</v>
      </c>
      <c r="H27" s="11">
        <v>131778</v>
      </c>
      <c r="I27" s="11">
        <v>129985</v>
      </c>
      <c r="J27" s="11">
        <f t="shared" si="0"/>
        <v>-3208</v>
      </c>
      <c r="M27" s="32"/>
      <c r="N27" s="24">
        <f>SUM(N23:N26)</f>
        <v>15763946</v>
      </c>
      <c r="O27" s="24">
        <f>SUM(O23:O26)</f>
        <v>15721531</v>
      </c>
      <c r="P27" s="110"/>
      <c r="Q27" s="408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>
        <v>301204</v>
      </c>
      <c r="C28" s="11">
        <v>299954</v>
      </c>
      <c r="D28" s="11">
        <v>45019</v>
      </c>
      <c r="E28" s="11">
        <v>39679</v>
      </c>
      <c r="F28" s="11">
        <v>44464</v>
      </c>
      <c r="G28" s="11">
        <v>45039</v>
      </c>
      <c r="H28" s="11">
        <v>137179</v>
      </c>
      <c r="I28" s="11">
        <v>135495</v>
      </c>
      <c r="J28" s="11">
        <f t="shared" si="0"/>
        <v>-7699</v>
      </c>
      <c r="M28" s="32"/>
      <c r="N28" s="24"/>
      <c r="O28" s="24"/>
      <c r="P28" s="110"/>
      <c r="Q28" s="408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>
        <v>275970</v>
      </c>
      <c r="C29" s="11">
        <v>292464</v>
      </c>
      <c r="D29" s="11">
        <v>44983</v>
      </c>
      <c r="E29" s="11">
        <v>40595</v>
      </c>
      <c r="F29" s="11">
        <v>43509</v>
      </c>
      <c r="G29" s="11">
        <v>44505</v>
      </c>
      <c r="H29" s="11">
        <v>136829</v>
      </c>
      <c r="I29" s="11">
        <v>130852</v>
      </c>
      <c r="J29" s="11">
        <f t="shared" si="0"/>
        <v>7125</v>
      </c>
      <c r="M29" s="32"/>
      <c r="N29" s="24"/>
      <c r="O29" s="24"/>
      <c r="P29" s="110"/>
      <c r="Q29" s="408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>
        <v>295091</v>
      </c>
      <c r="C30" s="11">
        <v>296660</v>
      </c>
      <c r="D30" s="11">
        <v>41013</v>
      </c>
      <c r="E30" s="11">
        <v>40859</v>
      </c>
      <c r="F30" s="11">
        <v>48062</v>
      </c>
      <c r="G30" s="11">
        <v>45169</v>
      </c>
      <c r="H30" s="11">
        <v>128229</v>
      </c>
      <c r="I30" s="11">
        <v>127883</v>
      </c>
      <c r="J30" s="11">
        <f t="shared" si="0"/>
        <v>-1824</v>
      </c>
      <c r="M30" s="32"/>
      <c r="N30" s="24"/>
      <c r="O30" s="24"/>
      <c r="P30" s="110"/>
      <c r="Q30" s="408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>
        <v>312317</v>
      </c>
      <c r="C31" s="11">
        <v>314806</v>
      </c>
      <c r="D31" s="11">
        <v>41001</v>
      </c>
      <c r="E31" s="11">
        <v>41072</v>
      </c>
      <c r="F31" s="11">
        <v>48193</v>
      </c>
      <c r="G31" s="11">
        <v>45169</v>
      </c>
      <c r="H31" s="11">
        <v>144525</v>
      </c>
      <c r="I31" s="11">
        <v>142167</v>
      </c>
      <c r="J31" s="11">
        <f t="shared" si="0"/>
        <v>-2822</v>
      </c>
      <c r="M31" s="32"/>
      <c r="N31" s="24"/>
      <c r="O31" s="24"/>
      <c r="P31" s="110"/>
      <c r="Q31" s="408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>
        <v>354364</v>
      </c>
      <c r="C32" s="11">
        <v>342270</v>
      </c>
      <c r="D32" s="11">
        <v>40931</v>
      </c>
      <c r="E32" s="11">
        <v>41668</v>
      </c>
      <c r="F32" s="11">
        <v>36589</v>
      </c>
      <c r="G32" s="11">
        <v>45169</v>
      </c>
      <c r="H32" s="11">
        <v>139710</v>
      </c>
      <c r="I32" s="11">
        <v>139903</v>
      </c>
      <c r="J32" s="11">
        <f t="shared" si="0"/>
        <v>-2584</v>
      </c>
      <c r="M32" s="32"/>
      <c r="N32" s="24"/>
      <c r="O32" s="32"/>
      <c r="P32" s="15"/>
      <c r="Q32" s="359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>
        <v>38652</v>
      </c>
      <c r="C33" s="11">
        <v>45169</v>
      </c>
      <c r="D33" s="11">
        <v>39676</v>
      </c>
      <c r="E33" s="11">
        <v>42804</v>
      </c>
      <c r="F33" s="11">
        <v>38652</v>
      </c>
      <c r="G33" s="11">
        <v>45169</v>
      </c>
      <c r="H33" s="11">
        <v>153005</v>
      </c>
      <c r="I33" s="11">
        <v>156939</v>
      </c>
      <c r="J33" s="11">
        <f t="shared" si="0"/>
        <v>20096</v>
      </c>
      <c r="M33" s="32"/>
      <c r="N33" s="24"/>
      <c r="O33" s="32"/>
      <c r="P33" s="15"/>
      <c r="Q33" s="359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9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8804580</v>
      </c>
      <c r="C35" s="11">
        <f t="shared" ref="C35:I35" si="3">SUM(C4:C34)</f>
        <v>8803426</v>
      </c>
      <c r="D35" s="11">
        <f t="shared" si="3"/>
        <v>1181044</v>
      </c>
      <c r="E35" s="11">
        <f t="shared" si="3"/>
        <v>1189635</v>
      </c>
      <c r="F35" s="11">
        <f t="shared" si="3"/>
        <v>1266574</v>
      </c>
      <c r="G35" s="11">
        <f t="shared" si="3"/>
        <v>1377923</v>
      </c>
      <c r="H35" s="11">
        <f t="shared" si="3"/>
        <v>3969773</v>
      </c>
      <c r="I35" s="11">
        <f t="shared" si="3"/>
        <v>3865483</v>
      </c>
      <c r="J35" s="11">
        <f>SUM(J4:J34)</f>
        <v>14496</v>
      </c>
      <c r="M35" s="32"/>
      <c r="N35" s="24"/>
      <c r="O35" s="32"/>
      <c r="P35" s="15"/>
      <c r="Q35" s="359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59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59"/>
      <c r="R37" s="110"/>
      <c r="S37" s="19"/>
      <c r="T37" s="104"/>
      <c r="U37" s="16"/>
      <c r="V37" s="15"/>
      <c r="W37" s="13"/>
    </row>
    <row r="38" spans="1:23" x14ac:dyDescent="0.2">
      <c r="A38" s="56">
        <v>37256</v>
      </c>
      <c r="C38" s="25"/>
      <c r="E38" s="25"/>
      <c r="G38" s="25"/>
      <c r="I38" s="25"/>
      <c r="J38" s="488">
        <v>0</v>
      </c>
      <c r="M38" s="32"/>
      <c r="N38" s="24"/>
      <c r="O38" s="32"/>
      <c r="P38" s="15"/>
      <c r="Q38" s="359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59"/>
      <c r="R39" s="110"/>
      <c r="S39" s="19"/>
      <c r="T39" s="104"/>
      <c r="U39" s="16"/>
      <c r="V39" s="15"/>
      <c r="W39" s="13"/>
    </row>
    <row r="40" spans="1:23" x14ac:dyDescent="0.2">
      <c r="A40" s="33">
        <v>37286</v>
      </c>
      <c r="J40" s="51">
        <f>+J38+J35</f>
        <v>14496</v>
      </c>
      <c r="M40" s="32"/>
      <c r="N40" s="24"/>
      <c r="O40" s="32"/>
      <c r="P40" s="15"/>
      <c r="Q40" s="359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59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59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59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9"/>
      <c r="R44" s="110"/>
      <c r="S44" s="19"/>
      <c r="T44" s="104"/>
      <c r="U44" s="16"/>
      <c r="V44" s="15"/>
      <c r="W44" s="13"/>
    </row>
    <row r="45" spans="1:23" x14ac:dyDescent="0.2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9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37256</v>
      </c>
      <c r="B46" s="32"/>
      <c r="C46" s="32"/>
      <c r="D46" s="487"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9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37286</v>
      </c>
      <c r="B47" s="32"/>
      <c r="C47" s="32"/>
      <c r="D47" s="375">
        <f>+J35*'by type_area'!G3</f>
        <v>30006.719999999998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9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30006.719999999998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9"/>
      <c r="R48" s="15"/>
      <c r="S48" s="19"/>
      <c r="T48" s="32"/>
    </row>
    <row r="49" spans="1:20" x14ac:dyDescent="0.2">
      <c r="A49" s="139"/>
      <c r="B49" s="119"/>
      <c r="C49" s="140"/>
      <c r="D49" s="376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9"/>
      <c r="R49" s="15"/>
      <c r="S49" s="32"/>
      <c r="T49" s="32"/>
    </row>
    <row r="50" spans="1:20" x14ac:dyDescent="0.2">
      <c r="A50" s="10"/>
      <c r="B50" s="11"/>
      <c r="C50" s="11"/>
      <c r="D50" s="377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9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9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9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9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9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9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9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9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9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9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9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9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9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9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9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9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9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9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8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8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8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8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8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8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8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8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8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8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8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8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8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8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08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08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08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08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08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08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08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8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9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9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9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9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9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9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9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9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9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9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9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9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9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9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9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9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9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9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9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09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4"/>
      <c r="Q255" s="143"/>
      <c r="R255" s="40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5"/>
      <c r="Q256" s="410"/>
      <c r="R256" s="405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8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8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8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8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8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8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8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8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8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8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8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8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8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8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8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8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8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8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8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8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8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8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8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8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8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8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8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8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8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8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8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8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09"/>
      <c r="S295" s="1"/>
    </row>
    <row r="296" spans="9:21" x14ac:dyDescent="0.2">
      <c r="K296" s="2"/>
      <c r="M296" s="30"/>
      <c r="N296" s="4"/>
      <c r="O296" s="4"/>
      <c r="P296" s="404"/>
      <c r="Q296" s="143"/>
      <c r="R296" s="40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05"/>
      <c r="Q297" s="410"/>
      <c r="R297" s="405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08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08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08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08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08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08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08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08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08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08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08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08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08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08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08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08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08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08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08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08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08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08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08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08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08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08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08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08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08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08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08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08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09"/>
      <c r="S337" s="1"/>
    </row>
    <row r="338" spans="11:21" x14ac:dyDescent="0.2">
      <c r="K338" s="2"/>
      <c r="M338" s="30"/>
      <c r="N338" s="4"/>
      <c r="O338" s="4"/>
      <c r="P338" s="404"/>
      <c r="Q338" s="143"/>
      <c r="R338" s="40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05"/>
      <c r="Q339" s="410"/>
      <c r="R339" s="405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08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08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08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08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08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08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08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08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08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08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08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08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08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08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08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08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08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08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08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08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08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08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08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08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08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08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08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08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08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08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08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08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09"/>
      <c r="S379" s="1"/>
    </row>
    <row r="380" spans="11:21" x14ac:dyDescent="0.2">
      <c r="K380" s="2"/>
      <c r="M380" s="30"/>
      <c r="N380" s="4"/>
      <c r="O380" s="4"/>
      <c r="P380" s="404"/>
      <c r="Q380" s="143"/>
      <c r="R380" s="40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05"/>
      <c r="Q381" s="410"/>
      <c r="R381" s="405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08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08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08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08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08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08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08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08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08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08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08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08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08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08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08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08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08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08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08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08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08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08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08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08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08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08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08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08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08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08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08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08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09"/>
      <c r="S423" s="1"/>
    </row>
    <row r="424" spans="11:21" x14ac:dyDescent="0.2">
      <c r="K424" s="2"/>
      <c r="M424" s="30"/>
      <c r="N424" s="4"/>
      <c r="O424" s="4"/>
      <c r="P424" s="404"/>
      <c r="Q424" s="143"/>
      <c r="R424" s="40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05"/>
      <c r="Q425" s="410"/>
      <c r="R425" s="405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08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08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08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08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08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08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08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08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08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08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08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08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08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08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08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08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08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08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08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08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08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08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08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08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08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08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08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08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08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08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08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08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09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04"/>
      <c r="Q466" s="143"/>
      <c r="R466" s="40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05"/>
      <c r="Q467" s="410"/>
      <c r="R467" s="405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08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08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08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08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08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08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08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08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08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08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08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08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08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08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08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08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08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08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08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08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08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08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08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08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08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08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08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08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08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08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08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08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31" workbookViewId="0">
      <selection activeCell="C36" sqref="C36"/>
    </sheetView>
  </sheetViews>
  <sheetFormatPr defaultRowHeight="12.75" x14ac:dyDescent="0.2"/>
  <sheetData>
    <row r="3" spans="1:4" ht="15" x14ac:dyDescent="0.25">
      <c r="A3" s="134"/>
      <c r="B3" s="34" t="s">
        <v>131</v>
      </c>
    </row>
    <row r="4" spans="1:4" x14ac:dyDescent="0.2">
      <c r="A4" s="3"/>
      <c r="B4" s="59" t="s">
        <v>132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55927</v>
      </c>
      <c r="C6" s="11">
        <v>56112</v>
      </c>
      <c r="D6" s="25">
        <f>+C6-B6</f>
        <v>185</v>
      </c>
    </row>
    <row r="7" spans="1:4" x14ac:dyDescent="0.2">
      <c r="A7" s="10">
        <v>2</v>
      </c>
      <c r="B7" s="129">
        <v>45352</v>
      </c>
      <c r="C7" s="11">
        <v>41112</v>
      </c>
      <c r="D7" s="25">
        <f t="shared" ref="D7:D36" si="0">+C7-B7</f>
        <v>-4240</v>
      </c>
    </row>
    <row r="8" spans="1:4" x14ac:dyDescent="0.2">
      <c r="A8" s="10">
        <v>3</v>
      </c>
      <c r="B8" s="11">
        <v>39348</v>
      </c>
      <c r="C8" s="11">
        <v>38072</v>
      </c>
      <c r="D8" s="25">
        <f t="shared" si="0"/>
        <v>-1276</v>
      </c>
    </row>
    <row r="9" spans="1:4" x14ac:dyDescent="0.2">
      <c r="A9" s="10">
        <v>4</v>
      </c>
      <c r="B9" s="11">
        <v>57516</v>
      </c>
      <c r="C9" s="11">
        <v>58575</v>
      </c>
      <c r="D9" s="25">
        <f t="shared" si="0"/>
        <v>1059</v>
      </c>
    </row>
    <row r="10" spans="1:4" x14ac:dyDescent="0.2">
      <c r="A10" s="10">
        <v>5</v>
      </c>
      <c r="B10" s="11">
        <v>38360</v>
      </c>
      <c r="C10" s="11">
        <v>38612</v>
      </c>
      <c r="D10" s="25">
        <f t="shared" si="0"/>
        <v>252</v>
      </c>
    </row>
    <row r="11" spans="1:4" x14ac:dyDescent="0.2">
      <c r="A11" s="10">
        <v>6</v>
      </c>
      <c r="B11" s="11">
        <v>38227</v>
      </c>
      <c r="C11" s="11">
        <v>38612</v>
      </c>
      <c r="D11" s="25">
        <f t="shared" si="0"/>
        <v>385</v>
      </c>
    </row>
    <row r="12" spans="1:4" x14ac:dyDescent="0.2">
      <c r="A12" s="10">
        <v>7</v>
      </c>
      <c r="B12" s="11">
        <v>38252</v>
      </c>
      <c r="C12" s="11">
        <v>38612</v>
      </c>
      <c r="D12" s="25">
        <f t="shared" si="0"/>
        <v>360</v>
      </c>
    </row>
    <row r="13" spans="1:4" x14ac:dyDescent="0.2">
      <c r="A13" s="10">
        <v>8</v>
      </c>
      <c r="B13" s="11">
        <v>53083</v>
      </c>
      <c r="C13" s="11">
        <v>55820</v>
      </c>
      <c r="D13" s="25">
        <f t="shared" si="0"/>
        <v>2737</v>
      </c>
    </row>
    <row r="14" spans="1:4" x14ac:dyDescent="0.2">
      <c r="A14" s="10">
        <v>9</v>
      </c>
      <c r="B14" s="11">
        <v>32289</v>
      </c>
      <c r="C14" s="11">
        <v>18110</v>
      </c>
      <c r="D14" s="25">
        <f t="shared" si="0"/>
        <v>-14179</v>
      </c>
    </row>
    <row r="15" spans="1:4" x14ac:dyDescent="0.2">
      <c r="A15" s="10">
        <v>10</v>
      </c>
      <c r="B15" s="11">
        <v>38336</v>
      </c>
      <c r="C15" s="11">
        <v>40659</v>
      </c>
      <c r="D15" s="25">
        <f t="shared" si="0"/>
        <v>2323</v>
      </c>
    </row>
    <row r="16" spans="1:4" x14ac:dyDescent="0.2">
      <c r="A16" s="10">
        <v>11</v>
      </c>
      <c r="B16" s="11">
        <v>45961</v>
      </c>
      <c r="C16" s="11">
        <v>45820</v>
      </c>
      <c r="D16" s="25">
        <f t="shared" si="0"/>
        <v>-141</v>
      </c>
    </row>
    <row r="17" spans="1:4" x14ac:dyDescent="0.2">
      <c r="A17" s="10">
        <v>12</v>
      </c>
      <c r="B17" s="11">
        <v>58658</v>
      </c>
      <c r="C17" s="11">
        <v>58864</v>
      </c>
      <c r="D17" s="25">
        <f t="shared" si="0"/>
        <v>206</v>
      </c>
    </row>
    <row r="18" spans="1:4" x14ac:dyDescent="0.2">
      <c r="A18" s="10">
        <v>13</v>
      </c>
      <c r="B18" s="11">
        <v>58648</v>
      </c>
      <c r="C18" s="11">
        <v>58864</v>
      </c>
      <c r="D18" s="25">
        <f t="shared" si="0"/>
        <v>216</v>
      </c>
    </row>
    <row r="19" spans="1:4" x14ac:dyDescent="0.2">
      <c r="A19" s="10">
        <v>14</v>
      </c>
      <c r="B19" s="11">
        <v>53073</v>
      </c>
      <c r="C19" s="11">
        <v>52864</v>
      </c>
      <c r="D19" s="25">
        <f t="shared" si="0"/>
        <v>-209</v>
      </c>
    </row>
    <row r="20" spans="1:4" x14ac:dyDescent="0.2">
      <c r="A20" s="10">
        <v>15</v>
      </c>
      <c r="B20" s="11">
        <v>43337</v>
      </c>
      <c r="C20" s="11">
        <v>45610</v>
      </c>
      <c r="D20" s="25">
        <f t="shared" si="0"/>
        <v>2273</v>
      </c>
    </row>
    <row r="21" spans="1:4" x14ac:dyDescent="0.2">
      <c r="A21" s="10">
        <v>16</v>
      </c>
      <c r="B21" s="11">
        <v>42964</v>
      </c>
      <c r="C21" s="11">
        <v>45253</v>
      </c>
      <c r="D21" s="25">
        <f t="shared" si="0"/>
        <v>2289</v>
      </c>
    </row>
    <row r="22" spans="1:4" x14ac:dyDescent="0.2">
      <c r="A22" s="10">
        <v>17</v>
      </c>
      <c r="B22" s="11">
        <v>48358</v>
      </c>
      <c r="C22" s="11">
        <v>50595</v>
      </c>
      <c r="D22" s="25">
        <f t="shared" si="0"/>
        <v>2237</v>
      </c>
    </row>
    <row r="23" spans="1:4" x14ac:dyDescent="0.2">
      <c r="A23" s="10">
        <v>18</v>
      </c>
      <c r="B23" s="11">
        <v>46348</v>
      </c>
      <c r="C23" s="11">
        <v>48259</v>
      </c>
      <c r="D23" s="25">
        <f t="shared" si="0"/>
        <v>1911</v>
      </c>
    </row>
    <row r="24" spans="1:4" x14ac:dyDescent="0.2">
      <c r="A24" s="10">
        <v>19</v>
      </c>
      <c r="B24" s="11">
        <v>57495</v>
      </c>
      <c r="C24" s="11">
        <v>59137</v>
      </c>
      <c r="D24" s="25">
        <f t="shared" si="0"/>
        <v>1642</v>
      </c>
    </row>
    <row r="25" spans="1:4" x14ac:dyDescent="0.2">
      <c r="A25" s="10">
        <v>20</v>
      </c>
      <c r="B25" s="129">
        <v>59012</v>
      </c>
      <c r="C25" s="11">
        <v>59137</v>
      </c>
      <c r="D25" s="25">
        <f t="shared" si="0"/>
        <v>125</v>
      </c>
    </row>
    <row r="26" spans="1:4" x14ac:dyDescent="0.2">
      <c r="A26" s="10">
        <v>21</v>
      </c>
      <c r="B26" s="11">
        <v>47402</v>
      </c>
      <c r="C26" s="11">
        <v>49004</v>
      </c>
      <c r="D26" s="25">
        <f t="shared" si="0"/>
        <v>1602</v>
      </c>
    </row>
    <row r="27" spans="1:4" x14ac:dyDescent="0.2">
      <c r="A27" s="10">
        <v>22</v>
      </c>
      <c r="B27" s="11">
        <v>56240</v>
      </c>
      <c r="C27" s="11">
        <v>57866</v>
      </c>
      <c r="D27" s="25">
        <f t="shared" si="0"/>
        <v>1626</v>
      </c>
    </row>
    <row r="28" spans="1:4" x14ac:dyDescent="0.2">
      <c r="A28" s="10">
        <v>23</v>
      </c>
      <c r="B28" s="11">
        <v>43863</v>
      </c>
      <c r="C28" s="11">
        <v>42889</v>
      </c>
      <c r="D28" s="25">
        <f t="shared" si="0"/>
        <v>-974</v>
      </c>
    </row>
    <row r="29" spans="1:4" x14ac:dyDescent="0.2">
      <c r="A29" s="10">
        <v>24</v>
      </c>
      <c r="B29" s="11">
        <v>34764</v>
      </c>
      <c r="C29" s="11">
        <v>33119</v>
      </c>
      <c r="D29" s="25">
        <f t="shared" si="0"/>
        <v>-1645</v>
      </c>
    </row>
    <row r="30" spans="1:4" x14ac:dyDescent="0.2">
      <c r="A30" s="10">
        <v>25</v>
      </c>
      <c r="B30" s="11">
        <v>38311</v>
      </c>
      <c r="C30" s="11">
        <v>38495</v>
      </c>
      <c r="D30" s="25">
        <f t="shared" si="0"/>
        <v>184</v>
      </c>
    </row>
    <row r="31" spans="1:4" x14ac:dyDescent="0.2">
      <c r="A31" s="10">
        <v>26</v>
      </c>
      <c r="B31" s="11">
        <v>48358</v>
      </c>
      <c r="C31" s="11">
        <v>48579</v>
      </c>
      <c r="D31" s="25">
        <f t="shared" si="0"/>
        <v>221</v>
      </c>
    </row>
    <row r="32" spans="1:4" x14ac:dyDescent="0.2">
      <c r="A32" s="10">
        <v>27</v>
      </c>
      <c r="B32" s="11">
        <v>47843</v>
      </c>
      <c r="C32" s="11">
        <v>48579</v>
      </c>
      <c r="D32" s="25">
        <f t="shared" si="0"/>
        <v>736</v>
      </c>
    </row>
    <row r="33" spans="1:4" x14ac:dyDescent="0.2">
      <c r="A33" s="10">
        <v>28</v>
      </c>
      <c r="B33" s="11">
        <v>37363</v>
      </c>
      <c r="C33" s="11">
        <v>38446</v>
      </c>
      <c r="D33" s="25">
        <f t="shared" si="0"/>
        <v>1083</v>
      </c>
    </row>
    <row r="34" spans="1:4" x14ac:dyDescent="0.2">
      <c r="A34" s="10">
        <v>29</v>
      </c>
      <c r="B34" s="11">
        <v>26206</v>
      </c>
      <c r="C34" s="11">
        <v>25081</v>
      </c>
      <c r="D34" s="25">
        <f t="shared" si="0"/>
        <v>-1125</v>
      </c>
    </row>
    <row r="35" spans="1:4" x14ac:dyDescent="0.2">
      <c r="A35" s="10">
        <v>30</v>
      </c>
      <c r="B35" s="11">
        <v>27380</v>
      </c>
      <c r="C35" s="11">
        <v>27362</v>
      </c>
      <c r="D35" s="25">
        <f t="shared" si="0"/>
        <v>-18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1358274</v>
      </c>
      <c r="C37" s="11">
        <f>SUM(C6:C36)</f>
        <v>1358119</v>
      </c>
      <c r="D37" s="25">
        <f>SUM(D6:D36)</f>
        <v>-155</v>
      </c>
    </row>
    <row r="38" spans="1:4" x14ac:dyDescent="0.2">
      <c r="A38" s="26"/>
      <c r="C38" s="14"/>
      <c r="D38" s="326">
        <f>+summary!G5</f>
        <v>2.09</v>
      </c>
    </row>
    <row r="39" spans="1:4" x14ac:dyDescent="0.2">
      <c r="D39" s="138">
        <f>+D38*D37</f>
        <v>-323.95</v>
      </c>
    </row>
    <row r="40" spans="1:4" x14ac:dyDescent="0.2">
      <c r="A40" s="57">
        <v>37256</v>
      </c>
      <c r="C40" s="15"/>
      <c r="D40" s="532">
        <v>4822.84</v>
      </c>
    </row>
    <row r="41" spans="1:4" x14ac:dyDescent="0.2">
      <c r="A41" s="57">
        <v>37286</v>
      </c>
      <c r="C41" s="48"/>
      <c r="D41" s="138">
        <f>+D40+D39</f>
        <v>4498.8900000000003</v>
      </c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2134</v>
      </c>
    </row>
    <row r="47" spans="1:4" x14ac:dyDescent="0.2">
      <c r="A47" s="49">
        <f>+A41</f>
        <v>37286</v>
      </c>
      <c r="B47" s="32"/>
      <c r="C47" s="32"/>
      <c r="D47" s="350">
        <f>+D37</f>
        <v>-155</v>
      </c>
    </row>
    <row r="48" spans="1:4" x14ac:dyDescent="0.2">
      <c r="A48" s="32"/>
      <c r="B48" s="32"/>
      <c r="C48" s="32"/>
      <c r="D48" s="14">
        <f>+D47+D46</f>
        <v>1979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workbookViewId="0">
      <selection activeCell="D7" sqref="D7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28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-2</v>
      </c>
      <c r="C6" s="11"/>
      <c r="D6" s="25">
        <f>+C6-B6</f>
        <v>2</v>
      </c>
    </row>
    <row r="7" spans="1:13" x14ac:dyDescent="0.2">
      <c r="A7" s="10">
        <v>2</v>
      </c>
      <c r="B7" s="11">
        <v>-1</v>
      </c>
      <c r="C7" s="11"/>
      <c r="D7" s="25">
        <f t="shared" ref="D7:D36" si="0">+C7-B7</f>
        <v>1</v>
      </c>
    </row>
    <row r="8" spans="1:13" x14ac:dyDescent="0.2">
      <c r="A8" s="10">
        <v>3</v>
      </c>
      <c r="B8" s="11"/>
      <c r="C8" s="11"/>
      <c r="D8" s="25">
        <f t="shared" si="0"/>
        <v>0</v>
      </c>
    </row>
    <row r="9" spans="1:13" x14ac:dyDescent="0.2">
      <c r="A9" s="10">
        <v>4</v>
      </c>
      <c r="B9" s="11"/>
      <c r="C9" s="11"/>
      <c r="D9" s="25">
        <f t="shared" si="0"/>
        <v>0</v>
      </c>
    </row>
    <row r="10" spans="1:13" x14ac:dyDescent="0.2">
      <c r="A10" s="10">
        <v>5</v>
      </c>
      <c r="B10" s="11">
        <v>-896</v>
      </c>
      <c r="C10" s="11"/>
      <c r="D10" s="25">
        <f t="shared" si="0"/>
        <v>896</v>
      </c>
    </row>
    <row r="11" spans="1:13" x14ac:dyDescent="0.2">
      <c r="A11" s="10">
        <v>6</v>
      </c>
      <c r="B11" s="11">
        <v>-2012</v>
      </c>
      <c r="C11" s="11"/>
      <c r="D11" s="25">
        <f t="shared" si="0"/>
        <v>2012</v>
      </c>
    </row>
    <row r="12" spans="1:13" x14ac:dyDescent="0.2">
      <c r="A12" s="10">
        <v>7</v>
      </c>
      <c r="B12" s="11">
        <v>-2035</v>
      </c>
      <c r="C12" s="11">
        <v>681</v>
      </c>
      <c r="D12" s="25">
        <f t="shared" si="0"/>
        <v>2716</v>
      </c>
    </row>
    <row r="13" spans="1:13" x14ac:dyDescent="0.2">
      <c r="A13" s="10">
        <v>8</v>
      </c>
      <c r="B13" s="11">
        <v>-2068</v>
      </c>
      <c r="C13" s="11"/>
      <c r="D13" s="25">
        <f t="shared" si="0"/>
        <v>2068</v>
      </c>
      <c r="H13" s="118"/>
      <c r="I13" s="34"/>
      <c r="J13" s="34"/>
      <c r="K13" s="189"/>
      <c r="L13" s="412" t="s">
        <v>174</v>
      </c>
      <c r="M13" s="189"/>
    </row>
    <row r="14" spans="1:13" x14ac:dyDescent="0.2">
      <c r="A14" s="10">
        <v>9</v>
      </c>
      <c r="B14" s="11">
        <v>-1970</v>
      </c>
      <c r="C14" s="11">
        <v>908</v>
      </c>
      <c r="D14" s="25">
        <f t="shared" si="0"/>
        <v>2878</v>
      </c>
      <c r="H14" s="118" t="s">
        <v>39</v>
      </c>
      <c r="I14" s="413" t="s">
        <v>19</v>
      </c>
      <c r="J14" s="413" t="s">
        <v>20</v>
      </c>
      <c r="K14" s="414" t="s">
        <v>49</v>
      </c>
      <c r="L14" s="412" t="s">
        <v>15</v>
      </c>
      <c r="M14" s="189" t="s">
        <v>27</v>
      </c>
    </row>
    <row r="15" spans="1:13" x14ac:dyDescent="0.2">
      <c r="A15" s="10">
        <v>10</v>
      </c>
      <c r="B15" s="11">
        <v>-532</v>
      </c>
      <c r="C15" s="11"/>
      <c r="D15" s="25">
        <f t="shared" si="0"/>
        <v>532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-566</v>
      </c>
      <c r="C16" s="11"/>
      <c r="D16" s="25">
        <f t="shared" si="0"/>
        <v>566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2">
        <v>8.2100000000000009</v>
      </c>
      <c r="M16" s="417">
        <f t="shared" ref="M16:M22" si="2">+L16*K16</f>
        <v>-148748.78000000003</v>
      </c>
    </row>
    <row r="17" spans="1:15" x14ac:dyDescent="0.2">
      <c r="A17" s="10">
        <v>12</v>
      </c>
      <c r="B17" s="11">
        <v>-634</v>
      </c>
      <c r="C17" s="11"/>
      <c r="D17" s="25">
        <f t="shared" si="0"/>
        <v>634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2">
        <v>5.62</v>
      </c>
      <c r="M17" s="417">
        <f t="shared" si="2"/>
        <v>-91100.2</v>
      </c>
    </row>
    <row r="18" spans="1:15" x14ac:dyDescent="0.2">
      <c r="A18" s="10">
        <v>13</v>
      </c>
      <c r="B18" s="11">
        <v>-2025</v>
      </c>
      <c r="C18" s="11"/>
      <c r="D18" s="25">
        <f t="shared" si="0"/>
        <v>2025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2">
        <v>4.9800000000000004</v>
      </c>
      <c r="M18" s="417">
        <f t="shared" si="2"/>
        <v>-118748.1</v>
      </c>
    </row>
    <row r="19" spans="1:15" x14ac:dyDescent="0.2">
      <c r="A19" s="10">
        <v>14</v>
      </c>
      <c r="B19" s="11">
        <v>-1925</v>
      </c>
      <c r="C19" s="11"/>
      <c r="D19" s="25">
        <f t="shared" si="0"/>
        <v>1925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2">
        <v>4.87</v>
      </c>
      <c r="M19" s="417">
        <f t="shared" si="2"/>
        <v>63012.93</v>
      </c>
      <c r="O19" s="259"/>
    </row>
    <row r="20" spans="1:15" x14ac:dyDescent="0.2">
      <c r="A20" s="10">
        <v>15</v>
      </c>
      <c r="B20" s="11">
        <v>-1795</v>
      </c>
      <c r="C20" s="11"/>
      <c r="D20" s="25">
        <f t="shared" si="0"/>
        <v>1795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2">
        <v>3.82</v>
      </c>
      <c r="M20" s="417">
        <f t="shared" si="2"/>
        <v>32531.119999999999</v>
      </c>
    </row>
    <row r="21" spans="1:15" x14ac:dyDescent="0.2">
      <c r="A21" s="10">
        <v>16</v>
      </c>
      <c r="B21" s="11">
        <v>-2006</v>
      </c>
      <c r="C21" s="11">
        <v>-681</v>
      </c>
      <c r="D21" s="25">
        <f t="shared" si="0"/>
        <v>1325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2">
        <v>3.2</v>
      </c>
      <c r="M21" s="417">
        <f t="shared" si="2"/>
        <v>-47644.800000000003</v>
      </c>
    </row>
    <row r="22" spans="1:15" x14ac:dyDescent="0.2">
      <c r="A22" s="10">
        <v>17</v>
      </c>
      <c r="B22" s="11">
        <v>-883</v>
      </c>
      <c r="C22" s="11"/>
      <c r="D22" s="25">
        <f t="shared" si="0"/>
        <v>883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2">
        <v>2.77</v>
      </c>
      <c r="M22" s="418">
        <f t="shared" si="2"/>
        <v>-43139.98</v>
      </c>
    </row>
    <row r="23" spans="1:15" ht="13.5" thickBot="1" x14ac:dyDescent="0.25">
      <c r="A23" s="10">
        <v>18</v>
      </c>
      <c r="B23" s="11">
        <v>-901</v>
      </c>
      <c r="C23" s="11"/>
      <c r="D23" s="25">
        <f t="shared" si="0"/>
        <v>901</v>
      </c>
      <c r="H23" s="34"/>
      <c r="I23" s="119"/>
      <c r="J23" s="119"/>
      <c r="K23" s="119"/>
      <c r="L23" s="415"/>
      <c r="M23" s="416">
        <f>SUM(M16:M22)</f>
        <v>-353837.81000000006</v>
      </c>
      <c r="O23" s="259"/>
    </row>
    <row r="24" spans="1:15" ht="13.5" thickTop="1" x14ac:dyDescent="0.2">
      <c r="A24" s="10">
        <v>19</v>
      </c>
      <c r="B24" s="11">
        <v>-930</v>
      </c>
      <c r="C24" s="11"/>
      <c r="D24" s="25">
        <f t="shared" si="0"/>
        <v>930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>
        <v>-1952</v>
      </c>
      <c r="C25" s="11"/>
      <c r="D25" s="25">
        <f t="shared" si="0"/>
        <v>1952</v>
      </c>
    </row>
    <row r="26" spans="1:15" x14ac:dyDescent="0.2">
      <c r="A26" s="10">
        <v>21</v>
      </c>
      <c r="B26" s="11">
        <v>-2043</v>
      </c>
      <c r="C26" s="11"/>
      <c r="D26" s="25">
        <f t="shared" si="0"/>
        <v>2043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>
        <v>-2082</v>
      </c>
      <c r="C27" s="11"/>
      <c r="D27" s="25">
        <f t="shared" si="0"/>
        <v>2082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>
        <v>-2043</v>
      </c>
      <c r="C28" s="11"/>
      <c r="D28" s="25">
        <f t="shared" si="0"/>
        <v>2043</v>
      </c>
    </row>
    <row r="29" spans="1:15" x14ac:dyDescent="0.2">
      <c r="A29" s="10">
        <v>24</v>
      </c>
      <c r="B29" s="11">
        <v>-37</v>
      </c>
      <c r="C29" s="11"/>
      <c r="D29" s="25">
        <f t="shared" si="0"/>
        <v>37</v>
      </c>
    </row>
    <row r="30" spans="1:15" x14ac:dyDescent="0.2">
      <c r="A30" s="10">
        <v>25</v>
      </c>
      <c r="B30" s="11">
        <v>-3</v>
      </c>
      <c r="C30" s="11"/>
      <c r="D30" s="25">
        <f t="shared" si="0"/>
        <v>3</v>
      </c>
    </row>
    <row r="31" spans="1:15" x14ac:dyDescent="0.2">
      <c r="A31" s="10">
        <v>26</v>
      </c>
      <c r="B31" s="11">
        <v>-2</v>
      </c>
      <c r="C31" s="11"/>
      <c r="D31" s="25">
        <f t="shared" si="0"/>
        <v>2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-29343</v>
      </c>
      <c r="C37" s="11">
        <f>SUM(C6:C36)</f>
        <v>908</v>
      </c>
      <c r="D37" s="25">
        <f>SUM(D6:D36)</f>
        <v>30251</v>
      </c>
    </row>
    <row r="38" spans="1:4" x14ac:dyDescent="0.2">
      <c r="A38" s="26"/>
      <c r="C38" s="14"/>
      <c r="D38" s="326">
        <f>+summary!G4</f>
        <v>2.08</v>
      </c>
    </row>
    <row r="39" spans="1:4" x14ac:dyDescent="0.2">
      <c r="D39" s="138">
        <f>+D38*D37</f>
        <v>62922.080000000002</v>
      </c>
    </row>
    <row r="40" spans="1:4" x14ac:dyDescent="0.2">
      <c r="A40" s="57">
        <v>37256</v>
      </c>
      <c r="C40" s="15"/>
      <c r="D40" s="529">
        <v>-355805</v>
      </c>
    </row>
    <row r="41" spans="1:4" x14ac:dyDescent="0.2">
      <c r="A41" s="57">
        <v>37284</v>
      </c>
      <c r="C41" s="48"/>
      <c r="D41" s="138">
        <f>+D40+D39</f>
        <v>-292882.92</v>
      </c>
    </row>
    <row r="47" spans="1:4" x14ac:dyDescent="0.2">
      <c r="A47" s="32" t="s">
        <v>149</v>
      </c>
      <c r="B47" s="32"/>
      <c r="C47" s="32"/>
      <c r="D47" s="32"/>
    </row>
    <row r="48" spans="1:4" x14ac:dyDescent="0.2">
      <c r="A48" s="49">
        <f>+A40</f>
        <v>37256</v>
      </c>
      <c r="B48" s="32"/>
      <c r="C48" s="32"/>
      <c r="D48" s="524">
        <v>-44621</v>
      </c>
    </row>
    <row r="49" spans="1:4" x14ac:dyDescent="0.2">
      <c r="A49" s="49">
        <f>+A41</f>
        <v>37284</v>
      </c>
      <c r="B49" s="32"/>
      <c r="C49" s="32"/>
      <c r="D49" s="350">
        <f>+D37</f>
        <v>30251</v>
      </c>
    </row>
    <row r="50" spans="1:4" x14ac:dyDescent="0.2">
      <c r="A50" s="32"/>
      <c r="B50" s="32"/>
      <c r="C50" s="32"/>
      <c r="D50" s="14">
        <f>+D49+D48</f>
        <v>-14370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6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28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>
        <v>-214</v>
      </c>
      <c r="C10" s="11"/>
      <c r="D10" s="25">
        <f t="shared" si="0"/>
        <v>214</v>
      </c>
    </row>
    <row r="11" spans="1:4" x14ac:dyDescent="0.2">
      <c r="A11" s="10">
        <v>6</v>
      </c>
      <c r="B11" s="129">
        <v>-705</v>
      </c>
      <c r="C11" s="11"/>
      <c r="D11" s="25">
        <f t="shared" si="0"/>
        <v>705</v>
      </c>
    </row>
    <row r="12" spans="1:4" x14ac:dyDescent="0.2">
      <c r="A12" s="10">
        <v>7</v>
      </c>
      <c r="B12" s="129">
        <v>-18575</v>
      </c>
      <c r="C12" s="11">
        <v>-34000</v>
      </c>
      <c r="D12" s="25">
        <f t="shared" si="0"/>
        <v>-15425</v>
      </c>
    </row>
    <row r="13" spans="1:4" x14ac:dyDescent="0.2">
      <c r="A13" s="10">
        <v>8</v>
      </c>
      <c r="B13" s="11">
        <v>-286</v>
      </c>
      <c r="C13" s="11">
        <v>-23996</v>
      </c>
      <c r="D13" s="25">
        <f t="shared" si="0"/>
        <v>-23710</v>
      </c>
    </row>
    <row r="14" spans="1:4" x14ac:dyDescent="0.2">
      <c r="A14" s="10">
        <v>9</v>
      </c>
      <c r="B14" s="11">
        <v>-25195</v>
      </c>
      <c r="C14" s="11">
        <v>-20832</v>
      </c>
      <c r="D14" s="25">
        <f t="shared" si="0"/>
        <v>4363</v>
      </c>
    </row>
    <row r="15" spans="1:4" x14ac:dyDescent="0.2">
      <c r="A15" s="10">
        <v>10</v>
      </c>
      <c r="B15" s="11">
        <v>-33303</v>
      </c>
      <c r="C15" s="11">
        <v>-32500</v>
      </c>
      <c r="D15" s="25">
        <f t="shared" si="0"/>
        <v>803</v>
      </c>
    </row>
    <row r="16" spans="1:4" x14ac:dyDescent="0.2">
      <c r="A16" s="10">
        <v>11</v>
      </c>
      <c r="B16" s="11">
        <v>-25560</v>
      </c>
      <c r="C16" s="11">
        <v>-26902</v>
      </c>
      <c r="D16" s="25">
        <f t="shared" si="0"/>
        <v>-1342</v>
      </c>
    </row>
    <row r="17" spans="1:4" x14ac:dyDescent="0.2">
      <c r="A17" s="10">
        <v>12</v>
      </c>
      <c r="B17" s="11">
        <v>-90</v>
      </c>
      <c r="C17" s="11"/>
      <c r="D17" s="25">
        <f t="shared" si="0"/>
        <v>90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>
        <v>-67</v>
      </c>
      <c r="C19" s="11">
        <v>-6981</v>
      </c>
      <c r="D19" s="25">
        <f t="shared" si="0"/>
        <v>-6914</v>
      </c>
    </row>
    <row r="20" spans="1:4" x14ac:dyDescent="0.2">
      <c r="A20" s="10">
        <v>15</v>
      </c>
      <c r="B20" s="11">
        <v>-36</v>
      </c>
      <c r="C20" s="11"/>
      <c r="D20" s="25">
        <f t="shared" si="0"/>
        <v>36</v>
      </c>
    </row>
    <row r="21" spans="1:4" x14ac:dyDescent="0.2">
      <c r="A21" s="10">
        <v>16</v>
      </c>
      <c r="B21" s="11">
        <v>-32</v>
      </c>
      <c r="C21" s="11"/>
      <c r="D21" s="25">
        <f t="shared" si="0"/>
        <v>32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>
        <v>-319</v>
      </c>
      <c r="C23" s="11"/>
      <c r="D23" s="25">
        <f t="shared" si="0"/>
        <v>319</v>
      </c>
    </row>
    <row r="24" spans="1:4" x14ac:dyDescent="0.2">
      <c r="A24" s="10">
        <v>19</v>
      </c>
      <c r="B24" s="11">
        <v>-142</v>
      </c>
      <c r="C24" s="11"/>
      <c r="D24" s="25">
        <f t="shared" si="0"/>
        <v>142</v>
      </c>
    </row>
    <row r="25" spans="1:4" x14ac:dyDescent="0.2">
      <c r="A25" s="10">
        <v>20</v>
      </c>
      <c r="B25" s="11">
        <v>-17917</v>
      </c>
      <c r="C25" s="11">
        <v>-11000</v>
      </c>
      <c r="D25" s="25">
        <f t="shared" si="0"/>
        <v>6917</v>
      </c>
    </row>
    <row r="26" spans="1:4" x14ac:dyDescent="0.2">
      <c r="A26" s="10">
        <v>21</v>
      </c>
      <c r="B26" s="11">
        <v>-62000</v>
      </c>
      <c r="C26" s="11">
        <v>-53000</v>
      </c>
      <c r="D26" s="25">
        <f t="shared" si="0"/>
        <v>9000</v>
      </c>
    </row>
    <row r="27" spans="1:4" x14ac:dyDescent="0.2">
      <c r="A27" s="10">
        <v>22</v>
      </c>
      <c r="B27" s="11">
        <v>-63339</v>
      </c>
      <c r="C27" s="11">
        <v>-58000</v>
      </c>
      <c r="D27" s="25">
        <f t="shared" si="0"/>
        <v>5339</v>
      </c>
    </row>
    <row r="28" spans="1:4" x14ac:dyDescent="0.2">
      <c r="A28" s="10">
        <v>23</v>
      </c>
      <c r="B28" s="11">
        <v>-59443</v>
      </c>
      <c r="C28" s="11">
        <v>-55000</v>
      </c>
      <c r="D28" s="25">
        <f t="shared" si="0"/>
        <v>4443</v>
      </c>
    </row>
    <row r="29" spans="1:4" x14ac:dyDescent="0.2">
      <c r="A29" s="10">
        <v>24</v>
      </c>
      <c r="B29" s="11">
        <v>-48405</v>
      </c>
      <c r="C29" s="11">
        <v>-57000</v>
      </c>
      <c r="D29" s="25">
        <f t="shared" si="0"/>
        <v>-8595</v>
      </c>
    </row>
    <row r="30" spans="1:4" x14ac:dyDescent="0.2">
      <c r="A30" s="10">
        <v>25</v>
      </c>
      <c r="B30" s="11">
        <v>-3</v>
      </c>
      <c r="C30" s="11"/>
      <c r="D30" s="25">
        <f t="shared" si="0"/>
        <v>3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>
        <v>-5750</v>
      </c>
      <c r="C32" s="11">
        <v>-9500</v>
      </c>
      <c r="D32" s="25">
        <f t="shared" si="0"/>
        <v>-3750</v>
      </c>
    </row>
    <row r="33" spans="1:4" x14ac:dyDescent="0.2">
      <c r="A33" s="10">
        <v>28</v>
      </c>
      <c r="B33" s="11">
        <v>-51151</v>
      </c>
      <c r="C33" s="11">
        <v>-49998</v>
      </c>
      <c r="D33" s="25">
        <f t="shared" si="0"/>
        <v>1153</v>
      </c>
    </row>
    <row r="34" spans="1:4" x14ac:dyDescent="0.2">
      <c r="A34" s="10">
        <v>29</v>
      </c>
      <c r="B34" s="11">
        <v>-66318</v>
      </c>
      <c r="C34" s="11">
        <v>-59000</v>
      </c>
      <c r="D34" s="25">
        <f t="shared" si="0"/>
        <v>7318</v>
      </c>
    </row>
    <row r="35" spans="1:4" x14ac:dyDescent="0.2">
      <c r="A35" s="10">
        <v>30</v>
      </c>
      <c r="B35" s="11">
        <v>-48726</v>
      </c>
      <c r="C35" s="11">
        <v>-58983</v>
      </c>
      <c r="D35" s="25">
        <f t="shared" si="0"/>
        <v>-10257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-527576</v>
      </c>
      <c r="C37" s="11">
        <f>SUM(C6:C36)</f>
        <v>-556692</v>
      </c>
      <c r="D37" s="25">
        <f>SUM(D6:D36)</f>
        <v>-29116</v>
      </c>
    </row>
    <row r="38" spans="1:4" x14ac:dyDescent="0.2">
      <c r="A38" s="26"/>
      <c r="C38" s="14"/>
      <c r="D38" s="326">
        <f>+summary!G4</f>
        <v>2.08</v>
      </c>
    </row>
    <row r="39" spans="1:4" x14ac:dyDescent="0.2">
      <c r="D39" s="138">
        <f>+D38*D37</f>
        <v>-60561.279999999999</v>
      </c>
    </row>
    <row r="40" spans="1:4" x14ac:dyDescent="0.2">
      <c r="A40" s="57">
        <v>37256</v>
      </c>
      <c r="C40" s="15"/>
      <c r="D40" s="529">
        <v>67742.52</v>
      </c>
    </row>
    <row r="41" spans="1:4" x14ac:dyDescent="0.2">
      <c r="A41" s="57">
        <v>37286</v>
      </c>
      <c r="C41" s="48"/>
      <c r="D41" s="138">
        <f>+D40+D39</f>
        <v>7181.2400000000052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36151</v>
      </c>
    </row>
    <row r="47" spans="1:4" x14ac:dyDescent="0.2">
      <c r="A47" s="49">
        <f>+A41</f>
        <v>37286</v>
      </c>
      <c r="B47" s="32"/>
      <c r="C47" s="32"/>
      <c r="D47" s="350">
        <f>+D37</f>
        <v>-29116</v>
      </c>
    </row>
    <row r="48" spans="1:4" x14ac:dyDescent="0.2">
      <c r="A48" s="32"/>
      <c r="B48" s="32"/>
      <c r="C48" s="32"/>
      <c r="D48" s="14">
        <f>+D47+D46</f>
        <v>7035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>
      <selection activeCell="A19" sqref="A19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3">
        <v>-47</v>
      </c>
      <c r="C5" s="90">
        <v>-3150</v>
      </c>
      <c r="D5" s="90">
        <f>+C5-B5</f>
        <v>-3103</v>
      </c>
      <c r="E5" s="275"/>
      <c r="F5" s="273"/>
    </row>
    <row r="6" spans="1:13" x14ac:dyDescent="0.2">
      <c r="A6" s="87">
        <v>500046</v>
      </c>
      <c r="B6" s="90">
        <v>-16889</v>
      </c>
      <c r="C6" s="90"/>
      <c r="D6" s="90">
        <f t="shared" ref="D6:D11" si="0">+C6-B6</f>
        <v>16889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>
        <v>-23976</v>
      </c>
      <c r="C8" s="90">
        <v>-43375</v>
      </c>
      <c r="D8" s="90">
        <f t="shared" si="0"/>
        <v>-19399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5"/>
      <c r="C11" s="90"/>
      <c r="D11" s="334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-5613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+summary!G4</f>
        <v>2.08</v>
      </c>
      <c r="E13" s="277"/>
      <c r="F13" s="273"/>
    </row>
    <row r="14" spans="1:13" x14ac:dyDescent="0.2">
      <c r="A14" s="87"/>
      <c r="B14" s="88"/>
      <c r="C14" s="88"/>
      <c r="D14" s="96">
        <f>+D13*D12</f>
        <v>-11675.04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37256</v>
      </c>
      <c r="B16" s="88"/>
      <c r="C16" s="88"/>
      <c r="D16" s="530">
        <v>-537692.79</v>
      </c>
      <c r="E16" s="207"/>
      <c r="F16" s="66"/>
    </row>
    <row r="17" spans="1:7" x14ac:dyDescent="0.2">
      <c r="A17" s="87"/>
      <c r="B17" s="88"/>
      <c r="C17" s="88"/>
      <c r="D17" s="308"/>
      <c r="E17" s="207"/>
      <c r="F17" s="66"/>
    </row>
    <row r="18" spans="1:7" ht="13.5" thickBot="1" x14ac:dyDescent="0.25">
      <c r="A18" s="99">
        <v>37282</v>
      </c>
      <c r="B18" s="88"/>
      <c r="C18" s="88"/>
      <c r="D18" s="318">
        <f>+D16+D14</f>
        <v>-549367.83000000007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149</v>
      </c>
      <c r="B21" s="32"/>
      <c r="C21" s="32"/>
      <c r="D21" s="32"/>
    </row>
    <row r="22" spans="1:7" x14ac:dyDescent="0.2">
      <c r="A22" s="49">
        <f>+A16</f>
        <v>37256</v>
      </c>
      <c r="B22" s="32"/>
      <c r="C22" s="32"/>
      <c r="D22" s="524">
        <v>-36823</v>
      </c>
    </row>
    <row r="23" spans="1:7" x14ac:dyDescent="0.2">
      <c r="A23" s="49"/>
      <c r="B23" s="32"/>
      <c r="C23" s="32"/>
      <c r="D23" s="350">
        <f>+D12</f>
        <v>-5613</v>
      </c>
    </row>
    <row r="24" spans="1:7" x14ac:dyDescent="0.2">
      <c r="A24" s="49">
        <f>+A18</f>
        <v>37282</v>
      </c>
      <c r="B24" s="32"/>
      <c r="C24" s="32"/>
      <c r="D24" s="14">
        <f>+D23+D22</f>
        <v>-42436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4" workbookViewId="0">
      <selection activeCell="C35" sqref="C35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-175</v>
      </c>
      <c r="C6" s="11"/>
      <c r="D6" s="25">
        <f>+C6-B6</f>
        <v>175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1"/>
      <c r="C8" s="11">
        <v>-2000</v>
      </c>
      <c r="D8" s="25">
        <f t="shared" si="0"/>
        <v>-2000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>
        <v>-16528</v>
      </c>
      <c r="D10" s="25">
        <f t="shared" si="0"/>
        <v>-16528</v>
      </c>
    </row>
    <row r="11" spans="1:4" x14ac:dyDescent="0.2">
      <c r="A11" s="10">
        <v>6</v>
      </c>
      <c r="B11" s="11">
        <v>-31547</v>
      </c>
      <c r="C11" s="11">
        <v>-16528</v>
      </c>
      <c r="D11" s="25">
        <f t="shared" si="0"/>
        <v>15019</v>
      </c>
    </row>
    <row r="12" spans="1:4" x14ac:dyDescent="0.2">
      <c r="A12" s="10">
        <v>7</v>
      </c>
      <c r="B12" s="11">
        <v>-17414</v>
      </c>
      <c r="C12" s="11">
        <v>-16528</v>
      </c>
      <c r="D12" s="25">
        <f t="shared" si="0"/>
        <v>886</v>
      </c>
    </row>
    <row r="13" spans="1:4" x14ac:dyDescent="0.2">
      <c r="A13" s="10">
        <v>8</v>
      </c>
      <c r="B13" s="11">
        <v>-10189</v>
      </c>
      <c r="C13" s="11">
        <v>-10500</v>
      </c>
      <c r="D13" s="25">
        <f t="shared" si="0"/>
        <v>-311</v>
      </c>
    </row>
    <row r="14" spans="1:4" x14ac:dyDescent="0.2">
      <c r="A14" s="10">
        <v>9</v>
      </c>
      <c r="B14" s="11">
        <v>-17552</v>
      </c>
      <c r="C14" s="11">
        <v>-15935</v>
      </c>
      <c r="D14" s="25">
        <f t="shared" si="0"/>
        <v>1617</v>
      </c>
    </row>
    <row r="15" spans="1:4" x14ac:dyDescent="0.2">
      <c r="A15" s="10">
        <v>10</v>
      </c>
      <c r="B15" s="11">
        <v>-9962</v>
      </c>
      <c r="C15" s="11">
        <v>-15500</v>
      </c>
      <c r="D15" s="25">
        <f t="shared" si="0"/>
        <v>-5538</v>
      </c>
    </row>
    <row r="16" spans="1:4" x14ac:dyDescent="0.2">
      <c r="A16" s="10">
        <v>11</v>
      </c>
      <c r="B16" s="11">
        <v>-70735</v>
      </c>
      <c r="C16" s="11">
        <v>-71187</v>
      </c>
      <c r="D16" s="25">
        <f t="shared" si="0"/>
        <v>-452</v>
      </c>
    </row>
    <row r="17" spans="1:4" x14ac:dyDescent="0.2">
      <c r="A17" s="10">
        <v>12</v>
      </c>
      <c r="B17" s="129">
        <v>-58208</v>
      </c>
      <c r="C17" s="11">
        <v>-59296</v>
      </c>
      <c r="D17" s="25">
        <f t="shared" si="0"/>
        <v>-1088</v>
      </c>
    </row>
    <row r="18" spans="1:4" x14ac:dyDescent="0.2">
      <c r="A18" s="10">
        <v>13</v>
      </c>
      <c r="B18" s="11">
        <v>-57826</v>
      </c>
      <c r="C18" s="11">
        <v>-59296</v>
      </c>
      <c r="D18" s="25">
        <f t="shared" si="0"/>
        <v>-1470</v>
      </c>
    </row>
    <row r="19" spans="1:4" x14ac:dyDescent="0.2">
      <c r="A19" s="10">
        <v>14</v>
      </c>
      <c r="B19" s="11">
        <v>-57796</v>
      </c>
      <c r="C19" s="11">
        <v>-59296</v>
      </c>
      <c r="D19" s="25">
        <f t="shared" si="0"/>
        <v>-1500</v>
      </c>
    </row>
    <row r="20" spans="1:4" x14ac:dyDescent="0.2">
      <c r="A20" s="10">
        <v>15</v>
      </c>
      <c r="B20" s="11">
        <v>-24830</v>
      </c>
      <c r="C20" s="11">
        <v>-25514</v>
      </c>
      <c r="D20" s="25">
        <f t="shared" si="0"/>
        <v>-684</v>
      </c>
    </row>
    <row r="21" spans="1:4" x14ac:dyDescent="0.2">
      <c r="A21" s="10">
        <v>16</v>
      </c>
      <c r="B21" s="11">
        <v>-29576</v>
      </c>
      <c r="C21" s="11">
        <v>-21882</v>
      </c>
      <c r="D21" s="25">
        <f t="shared" si="0"/>
        <v>7694</v>
      </c>
    </row>
    <row r="22" spans="1:4" x14ac:dyDescent="0.2">
      <c r="A22" s="10">
        <v>17</v>
      </c>
      <c r="B22" s="11">
        <v>-28848</v>
      </c>
      <c r="C22" s="11">
        <v>-30000</v>
      </c>
      <c r="D22" s="25">
        <f t="shared" si="0"/>
        <v>-1152</v>
      </c>
    </row>
    <row r="23" spans="1:4" x14ac:dyDescent="0.2">
      <c r="A23" s="10">
        <v>18</v>
      </c>
      <c r="B23" s="11">
        <v>-53049</v>
      </c>
      <c r="C23" s="11">
        <v>-55009</v>
      </c>
      <c r="D23" s="25">
        <f t="shared" si="0"/>
        <v>-1960</v>
      </c>
    </row>
    <row r="24" spans="1:4" x14ac:dyDescent="0.2">
      <c r="A24" s="10">
        <v>19</v>
      </c>
      <c r="B24" s="11">
        <v>-42986</v>
      </c>
      <c r="C24" s="11">
        <v>-43709</v>
      </c>
      <c r="D24" s="25">
        <f t="shared" si="0"/>
        <v>-723</v>
      </c>
    </row>
    <row r="25" spans="1:4" x14ac:dyDescent="0.2">
      <c r="A25" s="10">
        <v>20</v>
      </c>
      <c r="B25" s="11">
        <v>-42941</v>
      </c>
      <c r="C25" s="11">
        <v>-43709</v>
      </c>
      <c r="D25" s="25">
        <f t="shared" si="0"/>
        <v>-768</v>
      </c>
    </row>
    <row r="26" spans="1:4" x14ac:dyDescent="0.2">
      <c r="A26" s="10">
        <v>21</v>
      </c>
      <c r="B26" s="11">
        <v>-42980</v>
      </c>
      <c r="C26" s="11">
        <v>-43709</v>
      </c>
      <c r="D26" s="25">
        <f t="shared" si="0"/>
        <v>-729</v>
      </c>
    </row>
    <row r="27" spans="1:4" x14ac:dyDescent="0.2">
      <c r="A27" s="10">
        <v>22</v>
      </c>
      <c r="B27" s="11">
        <v>-16682</v>
      </c>
      <c r="C27" s="11">
        <v>-7709</v>
      </c>
      <c r="D27" s="25">
        <f t="shared" si="0"/>
        <v>8973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>
        <v>-305</v>
      </c>
      <c r="D29" s="25">
        <f t="shared" si="0"/>
        <v>-305</v>
      </c>
    </row>
    <row r="30" spans="1:4" x14ac:dyDescent="0.2">
      <c r="A30" s="10">
        <v>25</v>
      </c>
      <c r="B30" s="129">
        <v>-4405</v>
      </c>
      <c r="C30" s="11">
        <v>-3000</v>
      </c>
      <c r="D30" s="25">
        <f t="shared" si="0"/>
        <v>1405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>
        <v>-29998</v>
      </c>
      <c r="C34" s="11">
        <v>-19327</v>
      </c>
      <c r="D34" s="25">
        <f t="shared" si="0"/>
        <v>10671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-647699</v>
      </c>
      <c r="C37" s="11">
        <f>SUM(C6:C36)</f>
        <v>-636467</v>
      </c>
      <c r="D37" s="25">
        <f>SUM(D6:D36)</f>
        <v>11232</v>
      </c>
    </row>
    <row r="38" spans="1:4" x14ac:dyDescent="0.2">
      <c r="A38" s="26"/>
      <c r="C38" s="14"/>
      <c r="D38" s="339"/>
    </row>
    <row r="39" spans="1:4" x14ac:dyDescent="0.2">
      <c r="D39" s="138"/>
    </row>
    <row r="40" spans="1:4" x14ac:dyDescent="0.2">
      <c r="A40" s="57">
        <v>37256</v>
      </c>
      <c r="C40" s="15"/>
      <c r="D40" s="488">
        <v>-14315</v>
      </c>
    </row>
    <row r="41" spans="1:4" x14ac:dyDescent="0.2">
      <c r="A41" s="57">
        <v>37285</v>
      </c>
      <c r="C41" s="48"/>
      <c r="D41" s="25">
        <f>+D40+D37</f>
        <v>-3083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+A40</f>
        <v>37256</v>
      </c>
      <c r="B45" s="32"/>
      <c r="C45" s="32"/>
      <c r="D45" s="487">
        <v>163235</v>
      </c>
    </row>
    <row r="46" spans="1:4" x14ac:dyDescent="0.2">
      <c r="A46" s="49">
        <f>+A41</f>
        <v>37285</v>
      </c>
      <c r="B46" s="32"/>
      <c r="C46" s="32"/>
      <c r="D46" s="375">
        <f>+D37*'by type_area'!G4</f>
        <v>23362.560000000001</v>
      </c>
    </row>
    <row r="47" spans="1:4" x14ac:dyDescent="0.2">
      <c r="A47" s="32"/>
      <c r="B47" s="32"/>
      <c r="C47" s="32"/>
      <c r="D47" s="200">
        <f>+D46+D45</f>
        <v>186597.56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B20" sqref="B2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240</v>
      </c>
      <c r="C3" s="87"/>
      <c r="D3" s="87"/>
    </row>
    <row r="4" spans="1:4" x14ac:dyDescent="0.2">
      <c r="A4" s="3"/>
      <c r="B4" s="328" t="s">
        <v>239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6">
        <f>+summary!G5</f>
        <v>2.09</v>
      </c>
    </row>
    <row r="39" spans="1:4" x14ac:dyDescent="0.2">
      <c r="D39" s="138">
        <f>+D38*D37</f>
        <v>0</v>
      </c>
    </row>
    <row r="40" spans="1:4" x14ac:dyDescent="0.2">
      <c r="A40" s="57">
        <v>37256</v>
      </c>
      <c r="C40" s="15"/>
      <c r="D40" s="529">
        <v>-203736.06</v>
      </c>
    </row>
    <row r="41" spans="1:4" x14ac:dyDescent="0.2">
      <c r="A41" s="57">
        <v>37256</v>
      </c>
      <c r="C41" s="48"/>
      <c r="D41" s="138">
        <f>+D40+D39</f>
        <v>-203736.06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-51454</v>
      </c>
    </row>
    <row r="47" spans="1:4" x14ac:dyDescent="0.2">
      <c r="A47" s="49">
        <f>+A41</f>
        <v>37256</v>
      </c>
      <c r="B47" s="32"/>
      <c r="C47" s="32"/>
      <c r="D47" s="459">
        <f>+D37</f>
        <v>0</v>
      </c>
    </row>
    <row r="48" spans="1:4" x14ac:dyDescent="0.2">
      <c r="A48" s="32"/>
      <c r="B48" s="32"/>
      <c r="C48" s="32"/>
      <c r="D48" s="14">
        <f>+D47+D46</f>
        <v>-51454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24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60" t="s">
        <v>241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200</v>
      </c>
      <c r="C4" s="4"/>
      <c r="D4" s="38" t="s">
        <v>201</v>
      </c>
      <c r="E4" s="4"/>
      <c r="F4" s="38" t="s">
        <v>202</v>
      </c>
      <c r="G4" s="4"/>
      <c r="H4" s="38" t="s">
        <v>203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-173</v>
      </c>
      <c r="C6" s="11">
        <v>-170</v>
      </c>
      <c r="D6" s="11"/>
      <c r="E6" s="11"/>
      <c r="F6" s="11">
        <v>-1576</v>
      </c>
      <c r="G6" s="11">
        <v>-1050</v>
      </c>
      <c r="H6" s="11"/>
      <c r="I6" s="11"/>
      <c r="J6" s="11">
        <f>+I6+G6+E6+C6-H6-F6-D6-B6</f>
        <v>529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-214</v>
      </c>
      <c r="C7" s="11">
        <v>-170</v>
      </c>
      <c r="D7" s="11"/>
      <c r="E7" s="11"/>
      <c r="F7" s="11">
        <v>-1603</v>
      </c>
      <c r="G7" s="11">
        <v>-1050</v>
      </c>
      <c r="H7" s="11"/>
      <c r="I7" s="11"/>
      <c r="J7" s="11">
        <f t="shared" ref="J7:J36" si="0">+I7+G7+E7+C7-H7-F7-D7-B7</f>
        <v>597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-199</v>
      </c>
      <c r="C8" s="11">
        <v>-170</v>
      </c>
      <c r="D8" s="11"/>
      <c r="E8" s="11"/>
      <c r="F8" s="11">
        <v>-1406</v>
      </c>
      <c r="G8" s="11">
        <v>-1050</v>
      </c>
      <c r="H8" s="11"/>
      <c r="I8" s="11"/>
      <c r="J8" s="11">
        <f t="shared" si="0"/>
        <v>385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>
        <v>-152</v>
      </c>
      <c r="C9" s="11">
        <v>-170</v>
      </c>
      <c r="D9" s="11"/>
      <c r="E9" s="11"/>
      <c r="F9" s="11">
        <v>-1400</v>
      </c>
      <c r="G9" s="11">
        <v>-1050</v>
      </c>
      <c r="H9" s="11"/>
      <c r="I9" s="11"/>
      <c r="J9" s="11">
        <f t="shared" si="0"/>
        <v>332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>
        <v>-147</v>
      </c>
      <c r="C10" s="11">
        <v>-170</v>
      </c>
      <c r="D10" s="129"/>
      <c r="E10" s="11"/>
      <c r="F10" s="11">
        <v>-1303</v>
      </c>
      <c r="G10" s="11">
        <v>-1050</v>
      </c>
      <c r="H10" s="11"/>
      <c r="I10" s="11"/>
      <c r="J10" s="11">
        <f t="shared" si="0"/>
        <v>230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>
        <v>-164</v>
      </c>
      <c r="C11" s="11">
        <v>-170</v>
      </c>
      <c r="D11" s="11"/>
      <c r="E11" s="11"/>
      <c r="F11" s="11">
        <v>-1240</v>
      </c>
      <c r="G11" s="11">
        <v>-1050</v>
      </c>
      <c r="H11" s="11"/>
      <c r="I11" s="11"/>
      <c r="J11" s="11">
        <f t="shared" si="0"/>
        <v>184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>
        <v>-174</v>
      </c>
      <c r="C12" s="11">
        <v>-170</v>
      </c>
      <c r="D12" s="129"/>
      <c r="E12" s="11"/>
      <c r="F12" s="11">
        <v>-1112</v>
      </c>
      <c r="G12" s="11">
        <v>-1050</v>
      </c>
      <c r="H12" s="11"/>
      <c r="I12" s="11"/>
      <c r="J12" s="11">
        <f t="shared" si="0"/>
        <v>66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>
        <v>-164</v>
      </c>
      <c r="C13" s="11">
        <v>-170</v>
      </c>
      <c r="D13" s="11"/>
      <c r="E13" s="11"/>
      <c r="F13" s="11">
        <v>-876</v>
      </c>
      <c r="G13" s="11">
        <v>-1050</v>
      </c>
      <c r="H13" s="11"/>
      <c r="I13" s="11"/>
      <c r="J13" s="11">
        <f t="shared" si="0"/>
        <v>-180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>
        <v>-143</v>
      </c>
      <c r="C14" s="11">
        <v>-170</v>
      </c>
      <c r="D14" s="11"/>
      <c r="E14" s="11"/>
      <c r="F14" s="11">
        <v>-729</v>
      </c>
      <c r="G14" s="11">
        <v>-1050</v>
      </c>
      <c r="H14" s="11"/>
      <c r="I14" s="11"/>
      <c r="J14" s="11">
        <f t="shared" si="0"/>
        <v>-348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>
        <v>-143</v>
      </c>
      <c r="C15" s="11">
        <v>-170</v>
      </c>
      <c r="D15" s="11"/>
      <c r="E15" s="11"/>
      <c r="F15" s="11">
        <v>-1037</v>
      </c>
      <c r="G15" s="11">
        <v>-1050</v>
      </c>
      <c r="H15" s="11"/>
      <c r="I15" s="11"/>
      <c r="J15" s="11">
        <f t="shared" si="0"/>
        <v>-40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>
        <v>-144</v>
      </c>
      <c r="C16" s="11">
        <v>-170</v>
      </c>
      <c r="D16" s="11"/>
      <c r="E16" s="11"/>
      <c r="F16" s="11">
        <v>-1043</v>
      </c>
      <c r="G16" s="11">
        <v>-1050</v>
      </c>
      <c r="H16" s="11"/>
      <c r="I16" s="11"/>
      <c r="J16" s="11">
        <f t="shared" si="0"/>
        <v>-33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/>
      <c r="C17" s="11">
        <v>-170</v>
      </c>
      <c r="D17" s="11"/>
      <c r="E17" s="11"/>
      <c r="F17" s="11">
        <v>-1049</v>
      </c>
      <c r="G17" s="11">
        <v>-1050</v>
      </c>
      <c r="H17" s="11"/>
      <c r="I17" s="11"/>
      <c r="J17" s="11">
        <f t="shared" si="0"/>
        <v>-171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>
        <v>-144</v>
      </c>
      <c r="C18" s="11">
        <v>-170</v>
      </c>
      <c r="D18" s="11"/>
      <c r="E18" s="11"/>
      <c r="F18" s="11">
        <v>-916</v>
      </c>
      <c r="G18" s="11">
        <v>-1050</v>
      </c>
      <c r="H18" s="11"/>
      <c r="I18" s="11"/>
      <c r="J18" s="11">
        <f t="shared" si="0"/>
        <v>-160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>
        <v>-144</v>
      </c>
      <c r="C19" s="11">
        <v>-170</v>
      </c>
      <c r="D19" s="11"/>
      <c r="E19" s="11"/>
      <c r="F19" s="11">
        <v>-1099</v>
      </c>
      <c r="G19" s="11">
        <v>-1050</v>
      </c>
      <c r="H19" s="11"/>
      <c r="I19" s="11"/>
      <c r="J19" s="11">
        <f t="shared" si="0"/>
        <v>23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>
        <v>-157</v>
      </c>
      <c r="C20" s="11">
        <v>-170</v>
      </c>
      <c r="D20" s="11"/>
      <c r="E20" s="11"/>
      <c r="F20" s="11">
        <v>-824</v>
      </c>
      <c r="G20" s="11">
        <v>-1050</v>
      </c>
      <c r="H20" s="11"/>
      <c r="I20" s="11"/>
      <c r="J20" s="11">
        <f t="shared" si="0"/>
        <v>-239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>
        <v>-159</v>
      </c>
      <c r="C21" s="11">
        <v>-170</v>
      </c>
      <c r="D21" s="11"/>
      <c r="E21" s="11"/>
      <c r="F21" s="11">
        <v>-772</v>
      </c>
      <c r="G21" s="11">
        <v>-1050</v>
      </c>
      <c r="H21" s="11"/>
      <c r="I21" s="11"/>
      <c r="J21" s="11">
        <f t="shared" si="0"/>
        <v>-289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>
        <v>-158</v>
      </c>
      <c r="C22" s="11">
        <v>-170</v>
      </c>
      <c r="D22" s="11"/>
      <c r="E22" s="11"/>
      <c r="F22" s="11">
        <v>-851</v>
      </c>
      <c r="G22" s="11">
        <v>-1050</v>
      </c>
      <c r="H22" s="11"/>
      <c r="I22" s="11"/>
      <c r="J22" s="11">
        <f t="shared" si="0"/>
        <v>-211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>
        <v>-191</v>
      </c>
      <c r="C23" s="11">
        <v>-170</v>
      </c>
      <c r="D23" s="11"/>
      <c r="E23" s="11"/>
      <c r="F23" s="11">
        <v>-950</v>
      </c>
      <c r="G23" s="11">
        <v>-1050</v>
      </c>
      <c r="H23" s="11"/>
      <c r="I23" s="11"/>
      <c r="J23" s="11">
        <f t="shared" si="0"/>
        <v>-79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>
        <v>-166</v>
      </c>
      <c r="C24" s="11">
        <v>-170</v>
      </c>
      <c r="D24" s="11"/>
      <c r="E24" s="11"/>
      <c r="F24" s="11">
        <v>-1033</v>
      </c>
      <c r="G24" s="11">
        <v>-1050</v>
      </c>
      <c r="H24" s="11"/>
      <c r="I24" s="11"/>
      <c r="J24" s="11">
        <f t="shared" si="0"/>
        <v>-21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>
        <v>-155</v>
      </c>
      <c r="C25" s="11">
        <v>-170</v>
      </c>
      <c r="D25" s="11"/>
      <c r="E25" s="11"/>
      <c r="F25" s="11">
        <v>-1036</v>
      </c>
      <c r="G25" s="11">
        <v>-1050</v>
      </c>
      <c r="H25" s="11"/>
      <c r="I25" s="11"/>
      <c r="J25" s="11">
        <f t="shared" si="0"/>
        <v>-29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>
        <v>-159</v>
      </c>
      <c r="C26" s="11">
        <v>-170</v>
      </c>
      <c r="D26" s="11"/>
      <c r="E26" s="11"/>
      <c r="F26" s="11">
        <v>-864</v>
      </c>
      <c r="G26" s="11">
        <v>-1050</v>
      </c>
      <c r="H26" s="11"/>
      <c r="I26" s="11"/>
      <c r="J26" s="11">
        <f t="shared" si="0"/>
        <v>-197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>
        <v>-148</v>
      </c>
      <c r="C27" s="11">
        <v>-170</v>
      </c>
      <c r="D27" s="11"/>
      <c r="E27" s="11"/>
      <c r="F27" s="11">
        <v>-668</v>
      </c>
      <c r="G27" s="11">
        <v>-1050</v>
      </c>
      <c r="H27" s="11"/>
      <c r="I27" s="11"/>
      <c r="J27" s="11">
        <f t="shared" si="0"/>
        <v>-404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>
        <v>-165</v>
      </c>
      <c r="C28" s="11">
        <v>-170</v>
      </c>
      <c r="D28" s="11"/>
      <c r="E28" s="11"/>
      <c r="F28" s="11">
        <v>-796</v>
      </c>
      <c r="G28" s="11">
        <v>-1050</v>
      </c>
      <c r="H28" s="11"/>
      <c r="I28" s="11"/>
      <c r="J28" s="11">
        <f t="shared" si="0"/>
        <v>-259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>
        <v>-156</v>
      </c>
      <c r="C29" s="11">
        <v>-170</v>
      </c>
      <c r="D29" s="11"/>
      <c r="E29" s="11"/>
      <c r="F29" s="11">
        <v>-1331</v>
      </c>
      <c r="G29" s="11">
        <v>-1050</v>
      </c>
      <c r="H29" s="11"/>
      <c r="I29" s="11"/>
      <c r="J29" s="11">
        <f t="shared" si="0"/>
        <v>267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>
        <v>-148</v>
      </c>
      <c r="C30" s="11">
        <v>-170</v>
      </c>
      <c r="D30" s="11"/>
      <c r="E30" s="11"/>
      <c r="F30" s="11">
        <v>-1108</v>
      </c>
      <c r="G30" s="11">
        <v>-1050</v>
      </c>
      <c r="H30" s="11"/>
      <c r="I30" s="11"/>
      <c r="J30" s="11">
        <f t="shared" si="0"/>
        <v>36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>
        <v>-156</v>
      </c>
      <c r="C31" s="11">
        <v>-170</v>
      </c>
      <c r="D31" s="11"/>
      <c r="E31" s="11"/>
      <c r="F31" s="11">
        <v>-942</v>
      </c>
      <c r="G31" s="11">
        <v>-1050</v>
      </c>
      <c r="H31" s="11"/>
      <c r="I31" s="11"/>
      <c r="J31" s="11">
        <f t="shared" si="0"/>
        <v>-122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>
        <v>-136</v>
      </c>
      <c r="C32" s="11">
        <v>-170</v>
      </c>
      <c r="D32" s="11"/>
      <c r="E32" s="11"/>
      <c r="F32" s="11">
        <v>-855</v>
      </c>
      <c r="G32" s="11">
        <v>-1050</v>
      </c>
      <c r="H32" s="11"/>
      <c r="I32" s="11"/>
      <c r="J32" s="11">
        <f t="shared" si="0"/>
        <v>-229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>
        <v>-135</v>
      </c>
      <c r="C33" s="11">
        <v>-170</v>
      </c>
      <c r="D33" s="11"/>
      <c r="E33" s="11"/>
      <c r="F33" s="11">
        <v>-595</v>
      </c>
      <c r="G33" s="11">
        <v>-1050</v>
      </c>
      <c r="H33" s="11"/>
      <c r="I33" s="11"/>
      <c r="J33" s="11">
        <f t="shared" si="0"/>
        <v>-490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>
        <v>-197</v>
      </c>
      <c r="C34" s="11">
        <v>-170</v>
      </c>
      <c r="D34" s="11"/>
      <c r="E34" s="11"/>
      <c r="F34" s="11">
        <v>-566</v>
      </c>
      <c r="G34" s="11">
        <v>-1050</v>
      </c>
      <c r="H34" s="11"/>
      <c r="I34" s="11"/>
      <c r="J34" s="11">
        <f t="shared" si="0"/>
        <v>-457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-4491</v>
      </c>
      <c r="C37" s="11">
        <f t="shared" ref="C37:I37" si="1">SUM(C6:C36)</f>
        <v>-4930</v>
      </c>
      <c r="D37" s="11">
        <f t="shared" si="1"/>
        <v>0</v>
      </c>
      <c r="E37" s="11">
        <f t="shared" si="1"/>
        <v>0</v>
      </c>
      <c r="F37" s="11">
        <f t="shared" si="1"/>
        <v>-29580</v>
      </c>
      <c r="G37" s="11">
        <f t="shared" si="1"/>
        <v>-30450</v>
      </c>
      <c r="H37" s="11">
        <f t="shared" si="1"/>
        <v>0</v>
      </c>
      <c r="I37" s="11">
        <f t="shared" si="1"/>
        <v>0</v>
      </c>
      <c r="J37" s="11">
        <f>SUM(J6:J36)</f>
        <v>-1309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+summary!G4</f>
        <v>2.08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-2722.7200000000003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37256</v>
      </c>
      <c r="C41" s="25"/>
      <c r="E41" s="25"/>
      <c r="G41" s="25"/>
      <c r="I41" s="25"/>
      <c r="J41" s="534">
        <v>-35540.33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19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37285</v>
      </c>
      <c r="J43" s="319">
        <f>+J41+J39</f>
        <v>-38263.050000000003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37256</v>
      </c>
      <c r="B48" s="32"/>
      <c r="C48" s="32"/>
      <c r="D48" s="524">
        <v>-3434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37285</v>
      </c>
      <c r="B49" s="32"/>
      <c r="C49" s="32"/>
      <c r="D49" s="350">
        <f>+J37</f>
        <v>-1309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-4743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24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301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303</v>
      </c>
      <c r="C4" s="4"/>
      <c r="D4" s="38" t="s">
        <v>304</v>
      </c>
      <c r="E4" s="4"/>
      <c r="F4" s="38" t="s">
        <v>305</v>
      </c>
      <c r="G4" s="4"/>
      <c r="H4" s="38" t="s">
        <v>306</v>
      </c>
      <c r="I4" s="4"/>
      <c r="J4" s="38" t="s">
        <v>307</v>
      </c>
      <c r="K4" s="4"/>
      <c r="L4" s="38" t="s">
        <v>308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499"/>
      <c r="C6" s="11"/>
      <c r="D6" s="499"/>
      <c r="E6" s="11"/>
      <c r="F6" s="499"/>
      <c r="G6" s="11"/>
      <c r="H6" s="499"/>
      <c r="I6" s="11"/>
      <c r="J6" s="499"/>
      <c r="K6" s="11"/>
      <c r="L6" s="11">
        <v>-677</v>
      </c>
      <c r="M6" s="11">
        <v>-581</v>
      </c>
      <c r="N6" s="11">
        <f>+M6+K6+I6+G6+E6+C6-L6-J6-H6-F6-D6-B6</f>
        <v>96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499"/>
      <c r="C7" s="11"/>
      <c r="D7" s="499"/>
      <c r="E7" s="11"/>
      <c r="F7" s="499"/>
      <c r="G7" s="11"/>
      <c r="H7" s="499"/>
      <c r="I7" s="11"/>
      <c r="J7" s="499"/>
      <c r="K7" s="11"/>
      <c r="L7" s="11">
        <v>-928</v>
      </c>
      <c r="M7" s="11">
        <v>-581</v>
      </c>
      <c r="N7" s="11">
        <f t="shared" ref="N7:N36" si="0">+M7+K7+I7+G7+E7+C7-L7-J7-H7-F7-D7-B7</f>
        <v>347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499"/>
      <c r="C8" s="11"/>
      <c r="D8" s="499"/>
      <c r="E8" s="11"/>
      <c r="F8" s="499"/>
      <c r="G8" s="11"/>
      <c r="H8" s="499"/>
      <c r="I8" s="11"/>
      <c r="J8" s="499"/>
      <c r="K8" s="11"/>
      <c r="L8" s="11">
        <v>-911</v>
      </c>
      <c r="M8" s="11">
        <v>-581</v>
      </c>
      <c r="N8" s="11">
        <f t="shared" si="0"/>
        <v>330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499"/>
      <c r="C9" s="11"/>
      <c r="D9" s="499"/>
      <c r="E9" s="11"/>
      <c r="F9" s="499"/>
      <c r="G9" s="11"/>
      <c r="H9" s="499"/>
      <c r="I9" s="11"/>
      <c r="J9" s="499"/>
      <c r="K9" s="11"/>
      <c r="L9" s="11">
        <v>-981</v>
      </c>
      <c r="M9" s="11">
        <v>-581</v>
      </c>
      <c r="N9" s="11">
        <f t="shared" si="0"/>
        <v>400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499"/>
      <c r="C10" s="11"/>
      <c r="D10" s="499"/>
      <c r="E10" s="11"/>
      <c r="F10" s="499"/>
      <c r="G10" s="11"/>
      <c r="H10" s="499"/>
      <c r="I10" s="11"/>
      <c r="J10" s="499"/>
      <c r="K10" s="11"/>
      <c r="L10" s="11">
        <v>-658</v>
      </c>
      <c r="M10" s="11">
        <v>-581</v>
      </c>
      <c r="N10" s="11">
        <f t="shared" si="0"/>
        <v>77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499"/>
      <c r="C11" s="11"/>
      <c r="D11" s="499"/>
      <c r="E11" s="11"/>
      <c r="F11" s="499"/>
      <c r="G11" s="11"/>
      <c r="H11" s="499"/>
      <c r="I11" s="11"/>
      <c r="J11" s="499"/>
      <c r="K11" s="11"/>
      <c r="L11" s="11">
        <v>-805</v>
      </c>
      <c r="M11" s="11">
        <v>-581</v>
      </c>
      <c r="N11" s="11">
        <f t="shared" si="0"/>
        <v>224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499"/>
      <c r="C12" s="11"/>
      <c r="D12" s="499"/>
      <c r="E12" s="11"/>
      <c r="F12" s="499"/>
      <c r="G12" s="11"/>
      <c r="H12" s="499"/>
      <c r="I12" s="11"/>
      <c r="J12" s="499"/>
      <c r="K12" s="11"/>
      <c r="L12" s="11">
        <v>-709</v>
      </c>
      <c r="M12" s="11">
        <v>-581</v>
      </c>
      <c r="N12" s="11">
        <f t="shared" si="0"/>
        <v>128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499"/>
      <c r="C13" s="11"/>
      <c r="D13" s="499"/>
      <c r="E13" s="11"/>
      <c r="F13" s="499"/>
      <c r="G13" s="11"/>
      <c r="H13" s="499"/>
      <c r="I13" s="11"/>
      <c r="J13" s="499"/>
      <c r="K13" s="11"/>
      <c r="L13" s="11">
        <v>-828</v>
      </c>
      <c r="M13" s="11">
        <v>-581</v>
      </c>
      <c r="N13" s="11">
        <f t="shared" si="0"/>
        <v>247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499"/>
      <c r="C14" s="11"/>
      <c r="D14" s="499"/>
      <c r="E14" s="11"/>
      <c r="F14" s="499"/>
      <c r="G14" s="11"/>
      <c r="H14" s="499"/>
      <c r="I14" s="11"/>
      <c r="J14" s="499"/>
      <c r="K14" s="11"/>
      <c r="L14" s="11">
        <v>-884</v>
      </c>
      <c r="M14" s="11">
        <v>-581</v>
      </c>
      <c r="N14" s="11">
        <f t="shared" si="0"/>
        <v>303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499"/>
      <c r="C15" s="11"/>
      <c r="D15" s="499"/>
      <c r="E15" s="11"/>
      <c r="F15" s="499"/>
      <c r="G15" s="11"/>
      <c r="H15" s="499"/>
      <c r="I15" s="11"/>
      <c r="J15" s="499"/>
      <c r="K15" s="11"/>
      <c r="L15" s="11">
        <v>-856</v>
      </c>
      <c r="M15" s="11">
        <v>-581</v>
      </c>
      <c r="N15" s="11">
        <f t="shared" si="0"/>
        <v>275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499"/>
      <c r="C16" s="11"/>
      <c r="D16" s="499"/>
      <c r="E16" s="11"/>
      <c r="F16" s="499"/>
      <c r="G16" s="11"/>
      <c r="H16" s="499"/>
      <c r="I16" s="11"/>
      <c r="J16" s="499"/>
      <c r="K16" s="11"/>
      <c r="L16" s="11">
        <v>-595</v>
      </c>
      <c r="M16" s="11">
        <v>-581</v>
      </c>
      <c r="N16" s="11">
        <f>+M16+K16+I16+G16+E16+C16-L16-J16-H16-F16-D16-B16</f>
        <v>14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499"/>
      <c r="C17" s="11"/>
      <c r="D17" s="499"/>
      <c r="E17" s="11"/>
      <c r="F17" s="499"/>
      <c r="G17" s="11"/>
      <c r="H17" s="499"/>
      <c r="I17" s="11"/>
      <c r="J17" s="499"/>
      <c r="K17" s="11"/>
      <c r="L17" s="11">
        <v>-581</v>
      </c>
      <c r="M17" s="11">
        <v>-581</v>
      </c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499"/>
      <c r="C18" s="11"/>
      <c r="D18" s="499"/>
      <c r="E18" s="11"/>
      <c r="F18" s="499"/>
      <c r="G18" s="11"/>
      <c r="H18" s="499"/>
      <c r="I18" s="11"/>
      <c r="J18" s="499"/>
      <c r="K18" s="11"/>
      <c r="L18" s="11">
        <v>-639</v>
      </c>
      <c r="M18" s="11">
        <v>-778</v>
      </c>
      <c r="N18" s="11">
        <f>+M18+K18+I18+G18+E18+C18-L18-J18-H18-F18-D18-B18</f>
        <v>-139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499"/>
      <c r="C19" s="11"/>
      <c r="D19" s="499"/>
      <c r="E19" s="11"/>
      <c r="F19" s="499"/>
      <c r="G19" s="11"/>
      <c r="H19" s="499"/>
      <c r="I19" s="11"/>
      <c r="J19" s="499"/>
      <c r="K19" s="11"/>
      <c r="L19" s="11">
        <v>-677</v>
      </c>
      <c r="M19" s="11">
        <v>-778</v>
      </c>
      <c r="N19" s="11">
        <f>+M19+K19+I19+G19+E19+C19-L19-J19-H19-F19-D19-B19</f>
        <v>-101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499"/>
      <c r="C20" s="11"/>
      <c r="D20" s="499"/>
      <c r="E20" s="11"/>
      <c r="F20" s="499"/>
      <c r="G20" s="11"/>
      <c r="H20" s="499"/>
      <c r="I20" s="11"/>
      <c r="J20" s="499"/>
      <c r="K20" s="11"/>
      <c r="L20" s="11">
        <v>-865</v>
      </c>
      <c r="M20" s="11">
        <v>-778</v>
      </c>
      <c r="N20" s="11">
        <f>+M20+K20+I20+G20+E20+C20-L20-J20-H20-F20-D20-B20</f>
        <v>87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499"/>
      <c r="C21" s="11"/>
      <c r="D21" s="499"/>
      <c r="E21" s="11"/>
      <c r="F21" s="499"/>
      <c r="G21" s="11"/>
      <c r="H21" s="499"/>
      <c r="I21" s="11"/>
      <c r="J21" s="499"/>
      <c r="K21" s="11"/>
      <c r="L21" s="11">
        <v>-591</v>
      </c>
      <c r="M21" s="11">
        <v>-778</v>
      </c>
      <c r="N21" s="11">
        <f t="shared" si="0"/>
        <v>-187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499"/>
      <c r="C22" s="11"/>
      <c r="D22" s="499"/>
      <c r="E22" s="11"/>
      <c r="F22" s="499"/>
      <c r="G22" s="11"/>
      <c r="H22" s="499"/>
      <c r="I22" s="11"/>
      <c r="J22" s="499"/>
      <c r="K22" s="11"/>
      <c r="L22" s="11">
        <v>-988</v>
      </c>
      <c r="M22" s="11">
        <v>-778</v>
      </c>
      <c r="N22" s="11">
        <f t="shared" si="0"/>
        <v>210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499"/>
      <c r="C23" s="11"/>
      <c r="D23" s="499"/>
      <c r="E23" s="11"/>
      <c r="F23" s="499"/>
      <c r="G23" s="11"/>
      <c r="H23" s="499"/>
      <c r="I23" s="11"/>
      <c r="J23" s="499"/>
      <c r="K23" s="11"/>
      <c r="L23" s="11">
        <v>-803</v>
      </c>
      <c r="M23" s="11">
        <v>-778</v>
      </c>
      <c r="N23" s="11">
        <f t="shared" si="0"/>
        <v>25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499"/>
      <c r="C24" s="11"/>
      <c r="D24" s="499"/>
      <c r="E24" s="11"/>
      <c r="F24" s="499"/>
      <c r="G24" s="11"/>
      <c r="H24" s="499"/>
      <c r="I24" s="11"/>
      <c r="J24" s="499"/>
      <c r="K24" s="11"/>
      <c r="L24" s="11">
        <v>-882</v>
      </c>
      <c r="M24" s="11">
        <v>-778</v>
      </c>
      <c r="N24" s="11">
        <f t="shared" si="0"/>
        <v>104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499"/>
      <c r="C25" s="11"/>
      <c r="D25" s="499"/>
      <c r="E25" s="11"/>
      <c r="F25" s="499"/>
      <c r="G25" s="11"/>
      <c r="H25" s="499"/>
      <c r="I25" s="11"/>
      <c r="J25" s="499"/>
      <c r="K25" s="11"/>
      <c r="L25" s="11">
        <v>-768</v>
      </c>
      <c r="M25" s="11">
        <v>-778</v>
      </c>
      <c r="N25" s="11">
        <f t="shared" si="0"/>
        <v>-10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499"/>
      <c r="C26" s="11"/>
      <c r="D26" s="499"/>
      <c r="E26" s="11"/>
      <c r="F26" s="499"/>
      <c r="G26" s="11"/>
      <c r="H26" s="499"/>
      <c r="I26" s="11"/>
      <c r="J26" s="499"/>
      <c r="K26" s="11"/>
      <c r="L26" s="11">
        <v>-850</v>
      </c>
      <c r="M26" s="11">
        <v>-778</v>
      </c>
      <c r="N26" s="11">
        <f t="shared" si="0"/>
        <v>72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499"/>
      <c r="C27" s="11"/>
      <c r="D27" s="499"/>
      <c r="E27" s="11"/>
      <c r="F27" s="499"/>
      <c r="G27" s="11"/>
      <c r="H27" s="499"/>
      <c r="I27" s="11"/>
      <c r="J27" s="499"/>
      <c r="K27" s="11"/>
      <c r="L27" s="11">
        <v>-1060</v>
      </c>
      <c r="M27" s="11">
        <v>-778</v>
      </c>
      <c r="N27" s="11">
        <f t="shared" si="0"/>
        <v>282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499"/>
      <c r="C28" s="11"/>
      <c r="D28" s="499"/>
      <c r="E28" s="11"/>
      <c r="F28" s="499"/>
      <c r="G28" s="11"/>
      <c r="H28" s="499"/>
      <c r="I28" s="11"/>
      <c r="J28" s="499"/>
      <c r="K28" s="11"/>
      <c r="L28" s="11">
        <v>-1040</v>
      </c>
      <c r="M28" s="11">
        <v>-1765</v>
      </c>
      <c r="N28" s="11">
        <f t="shared" si="0"/>
        <v>-725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499"/>
      <c r="C29" s="11"/>
      <c r="D29" s="499"/>
      <c r="E29" s="11"/>
      <c r="F29" s="499"/>
      <c r="G29" s="11"/>
      <c r="H29" s="499"/>
      <c r="I29" s="11"/>
      <c r="J29" s="499"/>
      <c r="K29" s="11"/>
      <c r="L29" s="11">
        <v>-3584</v>
      </c>
      <c r="M29" s="11">
        <v>-1778</v>
      </c>
      <c r="N29" s="11">
        <f t="shared" si="0"/>
        <v>1806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499"/>
      <c r="C30" s="11"/>
      <c r="D30" s="499"/>
      <c r="E30" s="11"/>
      <c r="F30" s="499"/>
      <c r="G30" s="11"/>
      <c r="H30" s="499"/>
      <c r="I30" s="11"/>
      <c r="J30" s="499"/>
      <c r="K30" s="11"/>
      <c r="L30" s="11">
        <v>-185</v>
      </c>
      <c r="M30" s="11">
        <v>-1778</v>
      </c>
      <c r="N30" s="11">
        <f t="shared" si="0"/>
        <v>-1593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>
        <v>-700</v>
      </c>
      <c r="M31" s="11">
        <v>-1778</v>
      </c>
      <c r="N31" s="11">
        <f t="shared" si="0"/>
        <v>-1078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>
        <v>-1052</v>
      </c>
      <c r="M32" s="11">
        <v>-1778</v>
      </c>
      <c r="N32" s="11">
        <f t="shared" si="0"/>
        <v>-726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>
        <v>-1045</v>
      </c>
      <c r="M33" s="11">
        <v>-1778</v>
      </c>
      <c r="N33" s="11">
        <f t="shared" si="0"/>
        <v>-733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>
        <v>-831</v>
      </c>
      <c r="M34" s="11">
        <v>-1778</v>
      </c>
      <c r="N34" s="11">
        <f t="shared" si="0"/>
        <v>-947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-25973</v>
      </c>
      <c r="M37" s="11">
        <f>SUM(M6:M36)</f>
        <v>-27185</v>
      </c>
      <c r="N37" s="11">
        <f t="shared" si="1"/>
        <v>-1212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+summary!G4</f>
        <v>2.08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-2520.96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37256</v>
      </c>
      <c r="C41" s="25"/>
      <c r="E41" s="25"/>
      <c r="G41" s="25"/>
      <c r="I41" s="25"/>
      <c r="K41" s="25"/>
      <c r="M41" s="25"/>
      <c r="N41" s="534">
        <v>31688.49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19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37285</v>
      </c>
      <c r="N43" s="319">
        <f>+N41+N39</f>
        <v>29167.530000000002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37256</v>
      </c>
      <c r="B48" s="32"/>
      <c r="C48" s="32"/>
      <c r="D48" s="524">
        <v>11681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37285</v>
      </c>
      <c r="B49" s="32"/>
      <c r="C49" s="32"/>
      <c r="D49" s="350">
        <f>+N37</f>
        <v>-1212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10469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7" workbookViewId="0">
      <selection activeCell="C36" sqref="C36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205</v>
      </c>
      <c r="C3" s="87"/>
      <c r="D3" s="87"/>
    </row>
    <row r="4" spans="1:4" x14ac:dyDescent="0.2">
      <c r="A4" s="3"/>
      <c r="B4" s="328" t="s">
        <v>206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219</v>
      </c>
      <c r="C6" s="11">
        <v>150</v>
      </c>
      <c r="D6" s="25">
        <f>+C6-B6</f>
        <v>-69</v>
      </c>
    </row>
    <row r="7" spans="1:4" x14ac:dyDescent="0.2">
      <c r="A7" s="10">
        <v>2</v>
      </c>
      <c r="B7" s="11">
        <v>22</v>
      </c>
      <c r="C7" s="11">
        <v>150</v>
      </c>
      <c r="D7" s="25">
        <f t="shared" ref="D7:D36" si="0">+C7-B7</f>
        <v>128</v>
      </c>
    </row>
    <row r="8" spans="1:4" x14ac:dyDescent="0.2">
      <c r="A8" s="10">
        <v>3</v>
      </c>
      <c r="B8" s="129">
        <v>305</v>
      </c>
      <c r="C8" s="11">
        <v>150</v>
      </c>
      <c r="D8" s="25">
        <f t="shared" si="0"/>
        <v>-155</v>
      </c>
    </row>
    <row r="9" spans="1:4" x14ac:dyDescent="0.2">
      <c r="A9" s="10">
        <v>4</v>
      </c>
      <c r="B9" s="129">
        <v>287</v>
      </c>
      <c r="C9" s="11">
        <v>150</v>
      </c>
      <c r="D9" s="25">
        <f t="shared" si="0"/>
        <v>-137</v>
      </c>
    </row>
    <row r="10" spans="1:4" x14ac:dyDescent="0.2">
      <c r="A10" s="10">
        <v>5</v>
      </c>
      <c r="B10" s="129">
        <v>214</v>
      </c>
      <c r="C10" s="11">
        <v>150</v>
      </c>
      <c r="D10" s="25">
        <f t="shared" si="0"/>
        <v>-64</v>
      </c>
    </row>
    <row r="11" spans="1:4" x14ac:dyDescent="0.2">
      <c r="A11" s="10">
        <v>6</v>
      </c>
      <c r="B11" s="129">
        <v>211</v>
      </c>
      <c r="C11" s="11">
        <v>150</v>
      </c>
      <c r="D11" s="25">
        <f t="shared" si="0"/>
        <v>-61</v>
      </c>
    </row>
    <row r="12" spans="1:4" x14ac:dyDescent="0.2">
      <c r="A12" s="10">
        <v>7</v>
      </c>
      <c r="B12" s="129">
        <v>236</v>
      </c>
      <c r="C12" s="11">
        <v>150</v>
      </c>
      <c r="D12" s="25">
        <f t="shared" si="0"/>
        <v>-86</v>
      </c>
    </row>
    <row r="13" spans="1:4" x14ac:dyDescent="0.2">
      <c r="A13" s="10">
        <v>8</v>
      </c>
      <c r="B13" s="11">
        <v>226</v>
      </c>
      <c r="C13" s="11">
        <v>150</v>
      </c>
      <c r="D13" s="25">
        <f t="shared" si="0"/>
        <v>-76</v>
      </c>
    </row>
    <row r="14" spans="1:4" x14ac:dyDescent="0.2">
      <c r="A14" s="10">
        <v>9</v>
      </c>
      <c r="B14" s="11">
        <v>249</v>
      </c>
      <c r="C14" s="11">
        <v>150</v>
      </c>
      <c r="D14" s="25">
        <f t="shared" si="0"/>
        <v>-99</v>
      </c>
    </row>
    <row r="15" spans="1:4" x14ac:dyDescent="0.2">
      <c r="A15" s="10">
        <v>10</v>
      </c>
      <c r="B15" s="11">
        <v>205</v>
      </c>
      <c r="C15" s="11">
        <v>150</v>
      </c>
      <c r="D15" s="25">
        <f t="shared" si="0"/>
        <v>-55</v>
      </c>
    </row>
    <row r="16" spans="1:4" x14ac:dyDescent="0.2">
      <c r="A16" s="10">
        <v>11</v>
      </c>
      <c r="B16" s="11">
        <v>276</v>
      </c>
      <c r="C16" s="11">
        <v>150</v>
      </c>
      <c r="D16" s="25">
        <f t="shared" si="0"/>
        <v>-126</v>
      </c>
    </row>
    <row r="17" spans="1:4" x14ac:dyDescent="0.2">
      <c r="A17" s="10">
        <v>12</v>
      </c>
      <c r="B17" s="11">
        <v>238</v>
      </c>
      <c r="C17" s="11">
        <v>150</v>
      </c>
      <c r="D17" s="25">
        <f t="shared" si="0"/>
        <v>-88</v>
      </c>
    </row>
    <row r="18" spans="1:4" x14ac:dyDescent="0.2">
      <c r="A18" s="10">
        <v>13</v>
      </c>
      <c r="B18" s="11">
        <v>257</v>
      </c>
      <c r="C18" s="11">
        <v>150</v>
      </c>
      <c r="D18" s="25">
        <f t="shared" si="0"/>
        <v>-107</v>
      </c>
    </row>
    <row r="19" spans="1:4" x14ac:dyDescent="0.2">
      <c r="A19" s="10">
        <v>14</v>
      </c>
      <c r="B19" s="11">
        <v>221</v>
      </c>
      <c r="C19" s="11">
        <v>150</v>
      </c>
      <c r="D19" s="25">
        <f t="shared" si="0"/>
        <v>-71</v>
      </c>
    </row>
    <row r="20" spans="1:4" x14ac:dyDescent="0.2">
      <c r="A20" s="10">
        <v>15</v>
      </c>
      <c r="B20" s="11">
        <v>315</v>
      </c>
      <c r="C20" s="11">
        <v>150</v>
      </c>
      <c r="D20" s="25">
        <f t="shared" si="0"/>
        <v>-165</v>
      </c>
    </row>
    <row r="21" spans="1:4" x14ac:dyDescent="0.2">
      <c r="A21" s="10">
        <v>16</v>
      </c>
      <c r="B21" s="11">
        <v>253</v>
      </c>
      <c r="C21" s="11">
        <v>150</v>
      </c>
      <c r="D21" s="25">
        <f t="shared" si="0"/>
        <v>-103</v>
      </c>
    </row>
    <row r="22" spans="1:4" x14ac:dyDescent="0.2">
      <c r="A22" s="10">
        <v>17</v>
      </c>
      <c r="B22" s="11">
        <v>222</v>
      </c>
      <c r="C22" s="11">
        <v>150</v>
      </c>
      <c r="D22" s="25">
        <f t="shared" si="0"/>
        <v>-72</v>
      </c>
    </row>
    <row r="23" spans="1:4" x14ac:dyDescent="0.2">
      <c r="A23" s="10">
        <v>18</v>
      </c>
      <c r="B23" s="11">
        <v>204</v>
      </c>
      <c r="C23" s="11">
        <v>150</v>
      </c>
      <c r="D23" s="25">
        <f t="shared" si="0"/>
        <v>-54</v>
      </c>
    </row>
    <row r="24" spans="1:4" x14ac:dyDescent="0.2">
      <c r="A24" s="10">
        <v>19</v>
      </c>
      <c r="B24" s="11">
        <v>275</v>
      </c>
      <c r="C24" s="11">
        <v>150</v>
      </c>
      <c r="D24" s="25">
        <f t="shared" si="0"/>
        <v>-125</v>
      </c>
    </row>
    <row r="25" spans="1:4" x14ac:dyDescent="0.2">
      <c r="A25" s="10">
        <v>20</v>
      </c>
      <c r="B25" s="11">
        <v>286</v>
      </c>
      <c r="C25" s="11">
        <v>150</v>
      </c>
      <c r="D25" s="25">
        <f t="shared" si="0"/>
        <v>-136</v>
      </c>
    </row>
    <row r="26" spans="1:4" x14ac:dyDescent="0.2">
      <c r="A26" s="10">
        <v>21</v>
      </c>
      <c r="B26" s="11">
        <v>244</v>
      </c>
      <c r="C26" s="11">
        <v>150</v>
      </c>
      <c r="D26" s="25">
        <f t="shared" si="0"/>
        <v>-94</v>
      </c>
    </row>
    <row r="27" spans="1:4" x14ac:dyDescent="0.2">
      <c r="A27" s="10">
        <v>22</v>
      </c>
      <c r="B27" s="11">
        <v>225</v>
      </c>
      <c r="C27" s="11">
        <v>150</v>
      </c>
      <c r="D27" s="25">
        <f t="shared" si="0"/>
        <v>-75</v>
      </c>
    </row>
    <row r="28" spans="1:4" x14ac:dyDescent="0.2">
      <c r="A28" s="10">
        <v>23</v>
      </c>
      <c r="B28" s="11">
        <v>260</v>
      </c>
      <c r="C28" s="11">
        <v>150</v>
      </c>
      <c r="D28" s="25">
        <f t="shared" si="0"/>
        <v>-110</v>
      </c>
    </row>
    <row r="29" spans="1:4" x14ac:dyDescent="0.2">
      <c r="A29" s="10">
        <v>24</v>
      </c>
      <c r="B29" s="11">
        <v>287</v>
      </c>
      <c r="C29" s="11">
        <v>150</v>
      </c>
      <c r="D29" s="25">
        <f t="shared" si="0"/>
        <v>-137</v>
      </c>
    </row>
    <row r="30" spans="1:4" x14ac:dyDescent="0.2">
      <c r="A30" s="10">
        <v>25</v>
      </c>
      <c r="B30" s="11">
        <v>230</v>
      </c>
      <c r="C30" s="11">
        <v>150</v>
      </c>
      <c r="D30" s="25">
        <f t="shared" si="0"/>
        <v>-80</v>
      </c>
    </row>
    <row r="31" spans="1:4" x14ac:dyDescent="0.2">
      <c r="A31" s="10">
        <v>26</v>
      </c>
      <c r="B31" s="11">
        <v>232</v>
      </c>
      <c r="C31" s="11">
        <v>150</v>
      </c>
      <c r="D31" s="25">
        <f t="shared" si="0"/>
        <v>-82</v>
      </c>
    </row>
    <row r="32" spans="1:4" x14ac:dyDescent="0.2">
      <c r="A32" s="10">
        <v>27</v>
      </c>
      <c r="B32" s="11">
        <v>213</v>
      </c>
      <c r="C32" s="11">
        <v>150</v>
      </c>
      <c r="D32" s="25">
        <f t="shared" si="0"/>
        <v>-63</v>
      </c>
    </row>
    <row r="33" spans="1:4" x14ac:dyDescent="0.2">
      <c r="A33" s="10">
        <v>28</v>
      </c>
      <c r="B33" s="11">
        <v>251</v>
      </c>
      <c r="C33" s="11">
        <v>150</v>
      </c>
      <c r="D33" s="25">
        <f t="shared" si="0"/>
        <v>-101</v>
      </c>
    </row>
    <row r="34" spans="1:4" x14ac:dyDescent="0.2">
      <c r="A34" s="10">
        <v>29</v>
      </c>
      <c r="B34" s="11">
        <v>276</v>
      </c>
      <c r="C34" s="11">
        <v>150</v>
      </c>
      <c r="D34" s="25">
        <f t="shared" si="0"/>
        <v>-126</v>
      </c>
    </row>
    <row r="35" spans="1:4" x14ac:dyDescent="0.2">
      <c r="A35" s="10">
        <v>30</v>
      </c>
      <c r="B35" s="11">
        <v>269</v>
      </c>
      <c r="C35" s="11">
        <v>150</v>
      </c>
      <c r="D35" s="25">
        <f t="shared" si="0"/>
        <v>-119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7208</v>
      </c>
      <c r="C37" s="11">
        <f>SUM(C6:C36)</f>
        <v>4500</v>
      </c>
      <c r="D37" s="25">
        <f>SUM(D6:D36)</f>
        <v>-2708</v>
      </c>
    </row>
    <row r="38" spans="1:4" x14ac:dyDescent="0.2">
      <c r="A38" s="26"/>
      <c r="C38" s="14"/>
      <c r="D38" s="326">
        <f>+summary!G5</f>
        <v>2.09</v>
      </c>
    </row>
    <row r="39" spans="1:4" x14ac:dyDescent="0.2">
      <c r="D39" s="138">
        <f>+D38*D37</f>
        <v>-5659.7199999999993</v>
      </c>
    </row>
    <row r="40" spans="1:4" x14ac:dyDescent="0.2">
      <c r="A40" s="57">
        <v>37256</v>
      </c>
      <c r="C40" s="15"/>
      <c r="D40" s="529">
        <v>180048.98</v>
      </c>
    </row>
    <row r="41" spans="1:4" x14ac:dyDescent="0.2">
      <c r="A41" s="57">
        <v>37286</v>
      </c>
      <c r="C41" s="48"/>
      <c r="D41" s="138">
        <f>+D40+D39</f>
        <v>174389.26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79013</v>
      </c>
    </row>
    <row r="47" spans="1:4" x14ac:dyDescent="0.2">
      <c r="A47" s="49">
        <f>+A41</f>
        <v>37286</v>
      </c>
      <c r="B47" s="32"/>
      <c r="C47" s="32"/>
      <c r="D47" s="350">
        <f>+D37</f>
        <v>-2708</v>
      </c>
    </row>
    <row r="48" spans="1:4" x14ac:dyDescent="0.2">
      <c r="A48" s="32"/>
      <c r="B48" s="32"/>
      <c r="C48" s="32"/>
      <c r="D48" s="14">
        <f>+D47+D46</f>
        <v>76305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0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208</v>
      </c>
      <c r="C3" s="87"/>
      <c r="D3" s="87"/>
    </row>
    <row r="4" spans="1:4" x14ac:dyDescent="0.2">
      <c r="A4" s="3"/>
      <c r="B4" s="328" t="s">
        <v>209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108</v>
      </c>
      <c r="C6" s="11">
        <v>441</v>
      </c>
      <c r="D6" s="25">
        <f>+C6-B6</f>
        <v>333</v>
      </c>
    </row>
    <row r="7" spans="1:4" x14ac:dyDescent="0.2">
      <c r="A7" s="10">
        <v>2</v>
      </c>
      <c r="B7" s="11">
        <v>136</v>
      </c>
      <c r="C7" s="11">
        <v>441</v>
      </c>
      <c r="D7" s="25">
        <f t="shared" ref="D7:D36" si="0">+C7-B7</f>
        <v>305</v>
      </c>
    </row>
    <row r="8" spans="1:4" x14ac:dyDescent="0.2">
      <c r="A8" s="10">
        <v>3</v>
      </c>
      <c r="B8" s="129">
        <v>78</v>
      </c>
      <c r="C8" s="11">
        <v>441</v>
      </c>
      <c r="D8" s="25">
        <f t="shared" si="0"/>
        <v>363</v>
      </c>
    </row>
    <row r="9" spans="1:4" x14ac:dyDescent="0.2">
      <c r="A9" s="10">
        <v>4</v>
      </c>
      <c r="B9" s="129">
        <v>84</v>
      </c>
      <c r="C9" s="11">
        <v>441</v>
      </c>
      <c r="D9" s="25">
        <f t="shared" si="0"/>
        <v>357</v>
      </c>
    </row>
    <row r="10" spans="1:4" x14ac:dyDescent="0.2">
      <c r="A10" s="10">
        <v>5</v>
      </c>
      <c r="B10" s="129">
        <v>81</v>
      </c>
      <c r="C10" s="11">
        <v>441</v>
      </c>
      <c r="D10" s="25">
        <f t="shared" si="0"/>
        <v>360</v>
      </c>
    </row>
    <row r="11" spans="1:4" x14ac:dyDescent="0.2">
      <c r="A11" s="10">
        <v>6</v>
      </c>
      <c r="B11" s="129">
        <v>78</v>
      </c>
      <c r="C11" s="11">
        <v>441</v>
      </c>
      <c r="D11" s="25">
        <f t="shared" si="0"/>
        <v>363</v>
      </c>
    </row>
    <row r="12" spans="1:4" x14ac:dyDescent="0.2">
      <c r="A12" s="10">
        <v>7</v>
      </c>
      <c r="B12" s="129">
        <v>49</v>
      </c>
      <c r="C12" s="11">
        <v>441</v>
      </c>
      <c r="D12" s="25">
        <f t="shared" si="0"/>
        <v>392</v>
      </c>
    </row>
    <row r="13" spans="1:4" x14ac:dyDescent="0.2">
      <c r="A13" s="10">
        <v>8</v>
      </c>
      <c r="B13" s="11">
        <v>35</v>
      </c>
      <c r="C13" s="11">
        <v>441</v>
      </c>
      <c r="D13" s="25">
        <f t="shared" si="0"/>
        <v>406</v>
      </c>
    </row>
    <row r="14" spans="1:4" x14ac:dyDescent="0.2">
      <c r="A14" s="10">
        <v>9</v>
      </c>
      <c r="B14" s="11">
        <v>35</v>
      </c>
      <c r="C14" s="11">
        <v>441</v>
      </c>
      <c r="D14" s="25">
        <f t="shared" si="0"/>
        <v>406</v>
      </c>
    </row>
    <row r="15" spans="1:4" x14ac:dyDescent="0.2">
      <c r="A15" s="10">
        <v>10</v>
      </c>
      <c r="B15" s="11">
        <v>1124</v>
      </c>
      <c r="C15" s="11">
        <v>441</v>
      </c>
      <c r="D15" s="25">
        <f t="shared" si="0"/>
        <v>-683</v>
      </c>
    </row>
    <row r="16" spans="1:4" x14ac:dyDescent="0.2">
      <c r="A16" s="10">
        <v>11</v>
      </c>
      <c r="B16" s="11">
        <v>1826</v>
      </c>
      <c r="C16" s="11">
        <v>88</v>
      </c>
      <c r="D16" s="25">
        <f t="shared" si="0"/>
        <v>-1738</v>
      </c>
    </row>
    <row r="17" spans="1:4" x14ac:dyDescent="0.2">
      <c r="A17" s="10">
        <v>12</v>
      </c>
      <c r="B17" s="11">
        <v>309</v>
      </c>
      <c r="C17" s="11">
        <v>88</v>
      </c>
      <c r="D17" s="25">
        <f t="shared" si="0"/>
        <v>-221</v>
      </c>
    </row>
    <row r="18" spans="1:4" x14ac:dyDescent="0.2">
      <c r="A18" s="10">
        <v>13</v>
      </c>
      <c r="B18" s="11">
        <v>726</v>
      </c>
      <c r="C18" s="11">
        <v>88</v>
      </c>
      <c r="D18" s="25">
        <f t="shared" si="0"/>
        <v>-638</v>
      </c>
    </row>
    <row r="19" spans="1:4" x14ac:dyDescent="0.2">
      <c r="A19" s="10">
        <v>14</v>
      </c>
      <c r="B19" s="11">
        <v>1551</v>
      </c>
      <c r="C19" s="11">
        <v>88</v>
      </c>
      <c r="D19" s="25">
        <f t="shared" si="0"/>
        <v>-1463</v>
      </c>
    </row>
    <row r="20" spans="1:4" x14ac:dyDescent="0.2">
      <c r="A20" s="10">
        <v>15</v>
      </c>
      <c r="B20" s="11">
        <v>1261</v>
      </c>
      <c r="C20" s="11">
        <v>88</v>
      </c>
      <c r="D20" s="25">
        <f t="shared" si="0"/>
        <v>-1173</v>
      </c>
    </row>
    <row r="21" spans="1:4" x14ac:dyDescent="0.2">
      <c r="A21" s="10">
        <v>16</v>
      </c>
      <c r="B21" s="11">
        <v>386</v>
      </c>
      <c r="C21" s="11">
        <v>88</v>
      </c>
      <c r="D21" s="25">
        <f t="shared" si="0"/>
        <v>-298</v>
      </c>
    </row>
    <row r="22" spans="1:4" x14ac:dyDescent="0.2">
      <c r="A22" s="10">
        <v>17</v>
      </c>
      <c r="B22" s="11">
        <v>33</v>
      </c>
      <c r="C22" s="11">
        <v>88</v>
      </c>
      <c r="D22" s="25">
        <f t="shared" si="0"/>
        <v>55</v>
      </c>
    </row>
    <row r="23" spans="1:4" x14ac:dyDescent="0.2">
      <c r="A23" s="10">
        <v>18</v>
      </c>
      <c r="B23" s="11">
        <v>56</v>
      </c>
      <c r="C23" s="11">
        <v>88</v>
      </c>
      <c r="D23" s="25">
        <f t="shared" si="0"/>
        <v>32</v>
      </c>
    </row>
    <row r="24" spans="1:4" x14ac:dyDescent="0.2">
      <c r="A24" s="10">
        <v>19</v>
      </c>
      <c r="B24" s="11">
        <v>86</v>
      </c>
      <c r="C24" s="11">
        <v>88</v>
      </c>
      <c r="D24" s="25">
        <f t="shared" si="0"/>
        <v>2</v>
      </c>
    </row>
    <row r="25" spans="1:4" x14ac:dyDescent="0.2">
      <c r="A25" s="10">
        <v>20</v>
      </c>
      <c r="B25" s="11">
        <v>3</v>
      </c>
      <c r="C25" s="11">
        <v>88</v>
      </c>
      <c r="D25" s="25">
        <f t="shared" si="0"/>
        <v>85</v>
      </c>
    </row>
    <row r="26" spans="1:4" x14ac:dyDescent="0.2">
      <c r="A26" s="10">
        <v>21</v>
      </c>
      <c r="B26" s="11">
        <v>536</v>
      </c>
      <c r="C26" s="11">
        <v>88</v>
      </c>
      <c r="D26" s="25">
        <f t="shared" si="0"/>
        <v>-448</v>
      </c>
    </row>
    <row r="27" spans="1:4" x14ac:dyDescent="0.2">
      <c r="A27" s="10">
        <v>22</v>
      </c>
      <c r="B27" s="11">
        <v>648</v>
      </c>
      <c r="C27" s="11">
        <v>88</v>
      </c>
      <c r="D27" s="25">
        <f t="shared" si="0"/>
        <v>-560</v>
      </c>
    </row>
    <row r="28" spans="1:4" x14ac:dyDescent="0.2">
      <c r="A28" s="10">
        <v>23</v>
      </c>
      <c r="B28" s="11">
        <v>639</v>
      </c>
      <c r="C28" s="11">
        <v>88</v>
      </c>
      <c r="D28" s="25">
        <f t="shared" si="0"/>
        <v>-551</v>
      </c>
    </row>
    <row r="29" spans="1:4" x14ac:dyDescent="0.2">
      <c r="A29" s="10">
        <v>24</v>
      </c>
      <c r="B29" s="11">
        <v>355</v>
      </c>
      <c r="C29" s="11">
        <v>88</v>
      </c>
      <c r="D29" s="25">
        <f t="shared" si="0"/>
        <v>-267</v>
      </c>
    </row>
    <row r="30" spans="1:4" x14ac:dyDescent="0.2">
      <c r="A30" s="10">
        <v>25</v>
      </c>
      <c r="B30" s="11">
        <v>37</v>
      </c>
      <c r="C30" s="11">
        <v>88</v>
      </c>
      <c r="D30" s="25">
        <f t="shared" si="0"/>
        <v>51</v>
      </c>
    </row>
    <row r="31" spans="1:4" x14ac:dyDescent="0.2">
      <c r="A31" s="10">
        <v>26</v>
      </c>
      <c r="B31" s="11">
        <v>5</v>
      </c>
      <c r="C31" s="11">
        <v>88</v>
      </c>
      <c r="D31" s="25">
        <f t="shared" si="0"/>
        <v>83</v>
      </c>
    </row>
    <row r="32" spans="1:4" x14ac:dyDescent="0.2">
      <c r="A32" s="10">
        <v>27</v>
      </c>
      <c r="B32" s="11">
        <v>309</v>
      </c>
      <c r="C32" s="11">
        <v>88</v>
      </c>
      <c r="D32" s="25">
        <f t="shared" si="0"/>
        <v>-221</v>
      </c>
    </row>
    <row r="33" spans="1:4" x14ac:dyDescent="0.2">
      <c r="A33" s="10">
        <v>28</v>
      </c>
      <c r="B33" s="11">
        <v>517</v>
      </c>
      <c r="C33" s="11">
        <v>88</v>
      </c>
      <c r="D33" s="25">
        <f t="shared" si="0"/>
        <v>-429</v>
      </c>
    </row>
    <row r="34" spans="1:4" x14ac:dyDescent="0.2">
      <c r="A34" s="10">
        <v>29</v>
      </c>
      <c r="B34" s="11">
        <v>520</v>
      </c>
      <c r="C34" s="11">
        <v>88</v>
      </c>
      <c r="D34" s="25">
        <f t="shared" si="0"/>
        <v>-432</v>
      </c>
    </row>
    <row r="35" spans="1:4" x14ac:dyDescent="0.2">
      <c r="A35" s="10">
        <v>30</v>
      </c>
      <c r="B35" s="11">
        <v>800</v>
      </c>
      <c r="C35" s="11">
        <v>88</v>
      </c>
      <c r="D35" s="25">
        <f t="shared" si="0"/>
        <v>-712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12411</v>
      </c>
      <c r="C37" s="11">
        <f>SUM(C6:C36)</f>
        <v>6170</v>
      </c>
      <c r="D37" s="25">
        <f>SUM(D6:D36)</f>
        <v>-6241</v>
      </c>
    </row>
    <row r="38" spans="1:4" x14ac:dyDescent="0.2">
      <c r="A38" s="26"/>
      <c r="C38" s="14"/>
      <c r="D38" s="326">
        <f>+summary!G5</f>
        <v>2.09</v>
      </c>
    </row>
    <row r="39" spans="1:4" x14ac:dyDescent="0.2">
      <c r="D39" s="138">
        <f>+D38*D37</f>
        <v>-13043.689999999999</v>
      </c>
    </row>
    <row r="40" spans="1:4" x14ac:dyDescent="0.2">
      <c r="A40" s="57">
        <v>37256</v>
      </c>
      <c r="C40" s="15"/>
      <c r="D40" s="529">
        <v>161292.49</v>
      </c>
    </row>
    <row r="41" spans="1:4" x14ac:dyDescent="0.2">
      <c r="A41" s="57">
        <v>37286</v>
      </c>
      <c r="C41" s="48"/>
      <c r="D41" s="138">
        <f>+D40+D39</f>
        <v>148248.79999999999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33971</v>
      </c>
    </row>
    <row r="47" spans="1:4" x14ac:dyDescent="0.2">
      <c r="A47" s="49">
        <f>+A41</f>
        <v>37286</v>
      </c>
      <c r="B47" s="32"/>
      <c r="C47" s="32"/>
      <c r="D47" s="350">
        <f>+D37</f>
        <v>-6241</v>
      </c>
    </row>
    <row r="48" spans="1:4" x14ac:dyDescent="0.2">
      <c r="A48" s="32"/>
      <c r="B48" s="32"/>
      <c r="C48" s="32"/>
      <c r="D48" s="14">
        <f>+D47+D46</f>
        <v>27730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24" workbookViewId="0">
      <selection activeCell="A44" sqref="A44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</cols>
  <sheetData>
    <row r="2" spans="1:34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38"/>
      <c r="K3" s="4"/>
      <c r="L3" s="32"/>
    </row>
    <row r="4" spans="1:34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  <c r="J4" s="6"/>
      <c r="K4" s="6"/>
      <c r="L4" s="32"/>
    </row>
    <row r="5" spans="1:34" x14ac:dyDescent="0.2">
      <c r="A5" s="41">
        <v>1</v>
      </c>
      <c r="B5" s="11">
        <v>-14</v>
      </c>
      <c r="C5" s="11"/>
      <c r="D5" s="11">
        <v>-54985</v>
      </c>
      <c r="E5" s="11">
        <v>-54900</v>
      </c>
      <c r="F5" s="11">
        <f>+C5-B5+E5-D5</f>
        <v>99</v>
      </c>
      <c r="G5" s="41"/>
      <c r="H5" s="11"/>
      <c r="I5" s="11"/>
      <c r="J5" s="11"/>
      <c r="K5" s="11"/>
      <c r="L5" s="11"/>
    </row>
    <row r="6" spans="1:34" x14ac:dyDescent="0.2">
      <c r="A6" s="41">
        <v>2</v>
      </c>
      <c r="B6" s="11"/>
      <c r="C6" s="11"/>
      <c r="D6" s="11">
        <v>-45523</v>
      </c>
      <c r="E6" s="11">
        <v>-45012</v>
      </c>
      <c r="F6" s="11">
        <f t="shared" ref="F6:F35" si="0">+C6-B6+E6-D6</f>
        <v>511</v>
      </c>
      <c r="G6" s="41"/>
      <c r="H6" s="43"/>
      <c r="I6" s="43"/>
      <c r="J6" s="43"/>
      <c r="K6" s="43"/>
      <c r="L6" s="43"/>
      <c r="M6" s="290"/>
      <c r="N6" s="290"/>
      <c r="O6" s="290"/>
      <c r="P6" s="290"/>
      <c r="Q6" s="290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  <c r="AH6" s="290"/>
    </row>
    <row r="7" spans="1:34" x14ac:dyDescent="0.2">
      <c r="A7" s="41">
        <v>3</v>
      </c>
      <c r="B7" s="11">
        <v>-19469</v>
      </c>
      <c r="C7" s="11">
        <v>-20000</v>
      </c>
      <c r="D7" s="11">
        <v>-31996</v>
      </c>
      <c r="E7" s="11">
        <v>-29900</v>
      </c>
      <c r="F7" s="11">
        <f t="shared" si="0"/>
        <v>1565</v>
      </c>
      <c r="G7" s="41"/>
      <c r="H7" s="43"/>
      <c r="I7" s="43"/>
      <c r="J7" s="43"/>
      <c r="K7" s="43"/>
      <c r="L7" s="43"/>
      <c r="M7" s="290"/>
      <c r="N7" s="290"/>
      <c r="O7" s="290"/>
      <c r="P7" s="290"/>
      <c r="Q7" s="290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  <c r="AH7" s="290"/>
    </row>
    <row r="8" spans="1:34" x14ac:dyDescent="0.2">
      <c r="A8" s="41">
        <v>4</v>
      </c>
      <c r="B8" s="11">
        <v>-10157</v>
      </c>
      <c r="C8" s="11">
        <v>-10000</v>
      </c>
      <c r="D8" s="11">
        <v>-65915</v>
      </c>
      <c r="E8" s="11">
        <v>-65318</v>
      </c>
      <c r="F8" s="11">
        <f t="shared" si="0"/>
        <v>754</v>
      </c>
      <c r="G8" s="41"/>
      <c r="H8" s="43"/>
      <c r="I8" s="43"/>
      <c r="J8" s="43"/>
      <c r="K8" s="43"/>
      <c r="L8" s="43"/>
      <c r="M8" s="290"/>
      <c r="N8" s="290"/>
      <c r="O8" s="290"/>
      <c r="P8" s="290"/>
      <c r="Q8" s="290"/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  <c r="AH8" s="290"/>
    </row>
    <row r="9" spans="1:34" x14ac:dyDescent="0.2">
      <c r="A9" s="41">
        <v>5</v>
      </c>
      <c r="B9" s="11">
        <v>-29699</v>
      </c>
      <c r="C9" s="11">
        <v>-29869</v>
      </c>
      <c r="D9" s="11">
        <v>-63672</v>
      </c>
      <c r="E9" s="11">
        <v>-63430</v>
      </c>
      <c r="F9" s="11">
        <f t="shared" si="0"/>
        <v>72</v>
      </c>
      <c r="G9" s="41"/>
      <c r="H9" s="43"/>
      <c r="I9" s="43"/>
      <c r="J9" s="43"/>
      <c r="K9" s="43"/>
      <c r="L9" s="43"/>
      <c r="M9" s="290"/>
      <c r="N9" s="290"/>
      <c r="O9" s="290"/>
      <c r="P9" s="290"/>
      <c r="Q9" s="290"/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  <c r="AH9" s="290"/>
    </row>
    <row r="10" spans="1:34" x14ac:dyDescent="0.2">
      <c r="A10" s="41">
        <v>6</v>
      </c>
      <c r="B10" s="11">
        <v>-29789</v>
      </c>
      <c r="C10" s="11">
        <v>-29869</v>
      </c>
      <c r="D10" s="11">
        <v>-64157</v>
      </c>
      <c r="E10" s="11">
        <v>-63430</v>
      </c>
      <c r="F10" s="11">
        <f t="shared" si="0"/>
        <v>647</v>
      </c>
      <c r="G10" s="41"/>
      <c r="H10" s="43"/>
      <c r="I10" s="43"/>
      <c r="J10" s="43"/>
      <c r="K10" s="43"/>
      <c r="L10" s="43"/>
      <c r="M10" s="290"/>
      <c r="N10" s="290"/>
      <c r="O10" s="290"/>
      <c r="P10" s="290"/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  <c r="AH10" s="290"/>
    </row>
    <row r="11" spans="1:34" x14ac:dyDescent="0.2">
      <c r="A11" s="41">
        <v>7</v>
      </c>
      <c r="B11" s="129">
        <v>-29899</v>
      </c>
      <c r="C11" s="11">
        <v>-29869</v>
      </c>
      <c r="D11" s="129">
        <v>-83960</v>
      </c>
      <c r="E11" s="11">
        <v>-83430</v>
      </c>
      <c r="F11" s="11">
        <f t="shared" si="0"/>
        <v>560</v>
      </c>
      <c r="G11" s="41"/>
      <c r="H11" s="43"/>
      <c r="I11" s="43"/>
      <c r="J11" s="43"/>
      <c r="K11" s="43"/>
      <c r="L11" s="43"/>
      <c r="M11" s="290"/>
      <c r="N11" s="290"/>
      <c r="O11" s="290"/>
      <c r="P11" s="290"/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  <c r="AH11" s="290"/>
    </row>
    <row r="12" spans="1:34" x14ac:dyDescent="0.2">
      <c r="A12" s="41">
        <v>8</v>
      </c>
      <c r="B12" s="11">
        <v>-10720</v>
      </c>
      <c r="C12" s="11">
        <v>-10152</v>
      </c>
      <c r="D12" s="129">
        <v>-104080</v>
      </c>
      <c r="E12" s="11">
        <v>-104207</v>
      </c>
      <c r="F12" s="11">
        <f t="shared" si="0"/>
        <v>441</v>
      </c>
      <c r="G12" s="41"/>
      <c r="H12" s="43"/>
      <c r="I12" s="43"/>
      <c r="J12" s="43"/>
      <c r="K12" s="43"/>
      <c r="L12" s="43"/>
      <c r="M12" s="290"/>
      <c r="N12" s="290"/>
      <c r="O12" s="290"/>
      <c r="P12" s="290"/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  <c r="AH12" s="290"/>
    </row>
    <row r="13" spans="1:34" x14ac:dyDescent="0.2">
      <c r="A13" s="41">
        <v>9</v>
      </c>
      <c r="B13" s="129">
        <v>-14972</v>
      </c>
      <c r="C13" s="11">
        <v>-15000</v>
      </c>
      <c r="D13" s="129">
        <v>-57592</v>
      </c>
      <c r="E13" s="11">
        <v>-56846</v>
      </c>
      <c r="F13" s="11">
        <f t="shared" si="0"/>
        <v>718</v>
      </c>
      <c r="G13" s="41"/>
      <c r="H13" s="43"/>
      <c r="I13" s="43"/>
      <c r="J13" s="43"/>
      <c r="K13" s="43"/>
      <c r="L13" s="43"/>
      <c r="M13" s="290"/>
      <c r="N13" s="290"/>
      <c r="O13" s="290"/>
      <c r="P13" s="290"/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  <c r="AH13" s="290"/>
    </row>
    <row r="14" spans="1:34" x14ac:dyDescent="0.2">
      <c r="A14" s="41">
        <v>10</v>
      </c>
      <c r="B14" s="11">
        <v>-14997</v>
      </c>
      <c r="C14" s="11">
        <v>-15000</v>
      </c>
      <c r="D14" s="129">
        <v>-93909</v>
      </c>
      <c r="E14" s="11">
        <v>-93216</v>
      </c>
      <c r="F14" s="11">
        <f t="shared" si="0"/>
        <v>690</v>
      </c>
      <c r="G14" s="41"/>
      <c r="H14" s="43"/>
      <c r="I14" s="43"/>
      <c r="J14" s="43"/>
      <c r="K14" s="43"/>
      <c r="L14" s="43"/>
      <c r="M14" s="290"/>
      <c r="N14" s="290"/>
      <c r="O14" s="290"/>
      <c r="P14" s="290"/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  <c r="AH14" s="290"/>
    </row>
    <row r="15" spans="1:34" x14ac:dyDescent="0.2">
      <c r="A15" s="41">
        <v>11</v>
      </c>
      <c r="B15" s="11">
        <v>-613</v>
      </c>
      <c r="C15" s="11"/>
      <c r="D15" s="11">
        <v>-79398</v>
      </c>
      <c r="E15" s="11">
        <v>-78955</v>
      </c>
      <c r="F15" s="11">
        <f t="shared" si="0"/>
        <v>1056</v>
      </c>
      <c r="G15" s="41"/>
      <c r="H15" s="43"/>
      <c r="I15" s="43"/>
      <c r="J15" s="43"/>
      <c r="K15" s="43"/>
      <c r="L15" s="43"/>
      <c r="M15" s="290"/>
      <c r="N15" s="290"/>
      <c r="O15" s="290"/>
      <c r="P15" s="290"/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  <c r="AH15" s="290"/>
    </row>
    <row r="16" spans="1:34" x14ac:dyDescent="0.2">
      <c r="A16" s="41">
        <v>12</v>
      </c>
      <c r="B16" s="11">
        <v>-5137</v>
      </c>
      <c r="C16" s="11">
        <v>-5000</v>
      </c>
      <c r="D16" s="11">
        <v>-58921</v>
      </c>
      <c r="E16" s="11">
        <v>-59382</v>
      </c>
      <c r="F16" s="11">
        <f t="shared" si="0"/>
        <v>-324</v>
      </c>
      <c r="G16" s="41"/>
      <c r="H16" s="43"/>
      <c r="I16" s="43"/>
      <c r="J16" s="43"/>
      <c r="K16" s="43"/>
      <c r="L16" s="43"/>
      <c r="M16" s="290"/>
      <c r="N16" s="290"/>
      <c r="O16" s="290"/>
      <c r="P16" s="290"/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  <c r="AH16" s="290"/>
    </row>
    <row r="17" spans="1:34" x14ac:dyDescent="0.2">
      <c r="A17" s="41">
        <v>13</v>
      </c>
      <c r="B17" s="11">
        <v>-5527</v>
      </c>
      <c r="C17" s="11">
        <v>-5000</v>
      </c>
      <c r="D17" s="11">
        <v>-59922</v>
      </c>
      <c r="E17" s="11">
        <v>-59382</v>
      </c>
      <c r="F17" s="11">
        <f t="shared" si="0"/>
        <v>1067</v>
      </c>
      <c r="G17" s="41"/>
      <c r="H17" s="43"/>
      <c r="I17" s="43"/>
      <c r="J17" s="43"/>
      <c r="K17" s="43"/>
      <c r="L17" s="43"/>
      <c r="M17" s="290"/>
      <c r="N17" s="290"/>
      <c r="O17" s="290"/>
      <c r="P17" s="290"/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  <c r="AH17" s="290"/>
    </row>
    <row r="18" spans="1:34" x14ac:dyDescent="0.2">
      <c r="A18" s="41">
        <v>14</v>
      </c>
      <c r="B18" s="11">
        <v>-5814</v>
      </c>
      <c r="C18" s="11">
        <v>-5000</v>
      </c>
      <c r="D18" s="11">
        <v>-57766</v>
      </c>
      <c r="E18" s="11">
        <v>-57060</v>
      </c>
      <c r="F18" s="11">
        <f t="shared" si="0"/>
        <v>1520</v>
      </c>
      <c r="G18" s="41"/>
      <c r="H18" s="43"/>
      <c r="I18" s="43"/>
      <c r="J18" s="43"/>
      <c r="K18" s="43"/>
      <c r="L18" s="43"/>
      <c r="M18" s="290"/>
      <c r="N18" s="290"/>
      <c r="O18" s="290"/>
      <c r="P18" s="290"/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  <c r="AH18" s="290"/>
    </row>
    <row r="19" spans="1:34" x14ac:dyDescent="0.2">
      <c r="A19" s="41">
        <v>15</v>
      </c>
      <c r="B19" s="11"/>
      <c r="C19" s="11"/>
      <c r="D19" s="11">
        <v>-88029</v>
      </c>
      <c r="E19" s="11">
        <v>-87799</v>
      </c>
      <c r="F19" s="11">
        <f t="shared" si="0"/>
        <v>230</v>
      </c>
      <c r="G19" s="41"/>
      <c r="H19" s="43"/>
      <c r="I19" s="43"/>
      <c r="J19" s="43"/>
      <c r="K19" s="43"/>
      <c r="L19" s="43"/>
      <c r="M19" s="290"/>
      <c r="N19" s="290"/>
      <c r="O19" s="290"/>
      <c r="P19" s="290"/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  <c r="AH19" s="290"/>
    </row>
    <row r="20" spans="1:34" x14ac:dyDescent="0.2">
      <c r="A20" s="41">
        <v>16</v>
      </c>
      <c r="B20" s="11">
        <v>-4789</v>
      </c>
      <c r="C20" s="11">
        <v>-4155</v>
      </c>
      <c r="D20" s="11">
        <v>-81538</v>
      </c>
      <c r="E20" s="11">
        <v>-80882</v>
      </c>
      <c r="F20" s="11">
        <f t="shared" si="0"/>
        <v>1290</v>
      </c>
      <c r="G20" s="41"/>
      <c r="H20" s="43"/>
      <c r="I20" s="43"/>
      <c r="J20" s="43"/>
      <c r="K20" s="43"/>
      <c r="L20" s="43"/>
      <c r="M20" s="290"/>
      <c r="N20" s="290"/>
      <c r="O20" s="290"/>
      <c r="P20" s="290"/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  <c r="AH20" s="290"/>
    </row>
    <row r="21" spans="1:34" x14ac:dyDescent="0.2">
      <c r="A21" s="41">
        <v>17</v>
      </c>
      <c r="B21" s="11">
        <v>-22716</v>
      </c>
      <c r="C21" s="11">
        <v>-22154</v>
      </c>
      <c r="D21" s="11">
        <v>-91857</v>
      </c>
      <c r="E21" s="11">
        <v>-91315</v>
      </c>
      <c r="F21" s="11">
        <f t="shared" si="0"/>
        <v>1104</v>
      </c>
      <c r="G21" s="41"/>
      <c r="H21" s="43"/>
      <c r="I21" s="43"/>
      <c r="J21" s="43"/>
      <c r="K21" s="43"/>
      <c r="L21" s="43"/>
      <c r="M21" s="290"/>
      <c r="N21" s="290"/>
      <c r="O21" s="290"/>
      <c r="P21" s="290"/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  <c r="AH21" s="290"/>
    </row>
    <row r="22" spans="1:34" x14ac:dyDescent="0.2">
      <c r="A22" s="41">
        <v>18</v>
      </c>
      <c r="B22" s="11">
        <v>-324</v>
      </c>
      <c r="C22" s="11"/>
      <c r="D22" s="11">
        <v>-65366</v>
      </c>
      <c r="E22" s="11">
        <v>-64929</v>
      </c>
      <c r="F22" s="11">
        <f t="shared" si="0"/>
        <v>761</v>
      </c>
      <c r="G22" s="41"/>
      <c r="H22" s="43"/>
      <c r="I22" s="43"/>
      <c r="J22" s="43"/>
      <c r="K22" s="43"/>
      <c r="L22" s="43"/>
      <c r="M22" s="290"/>
      <c r="N22" s="290"/>
      <c r="O22" s="290"/>
      <c r="P22" s="290"/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  <c r="AH22" s="290"/>
    </row>
    <row r="23" spans="1:34" x14ac:dyDescent="0.2">
      <c r="A23" s="41">
        <v>19</v>
      </c>
      <c r="B23" s="11"/>
      <c r="C23" s="11"/>
      <c r="D23" s="11">
        <v>-70622</v>
      </c>
      <c r="E23" s="11">
        <v>-72649</v>
      </c>
      <c r="F23" s="11">
        <f t="shared" si="0"/>
        <v>-2027</v>
      </c>
      <c r="G23" s="41"/>
      <c r="H23" s="43"/>
      <c r="I23" s="43"/>
      <c r="J23" s="43"/>
      <c r="K23" s="43"/>
      <c r="L23" s="43"/>
      <c r="M23" s="290"/>
      <c r="N23" s="290"/>
      <c r="O23" s="290"/>
      <c r="P23" s="290"/>
      <c r="Q23" s="290"/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  <c r="AH23" s="290"/>
    </row>
    <row r="24" spans="1:34" x14ac:dyDescent="0.2">
      <c r="A24" s="41">
        <v>20</v>
      </c>
      <c r="B24" s="11"/>
      <c r="C24" s="11"/>
      <c r="D24" s="11">
        <v>-72881</v>
      </c>
      <c r="E24" s="11">
        <v>-72649</v>
      </c>
      <c r="F24" s="11">
        <f t="shared" si="0"/>
        <v>232</v>
      </c>
      <c r="G24" s="41"/>
      <c r="H24" s="43"/>
      <c r="I24" s="43"/>
      <c r="J24" s="43"/>
      <c r="K24" s="43"/>
      <c r="L24" s="43"/>
      <c r="M24" s="290"/>
      <c r="N24" s="290"/>
      <c r="O24" s="290"/>
      <c r="P24" s="290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  <c r="AH24" s="290"/>
    </row>
    <row r="25" spans="1:34" x14ac:dyDescent="0.2">
      <c r="A25" s="41">
        <v>21</v>
      </c>
      <c r="B25" s="11"/>
      <c r="C25" s="11"/>
      <c r="D25" s="11">
        <v>-61293</v>
      </c>
      <c r="E25" s="11">
        <v>-62649</v>
      </c>
      <c r="F25" s="11">
        <f t="shared" si="0"/>
        <v>-1356</v>
      </c>
      <c r="G25" s="41"/>
      <c r="H25" s="43"/>
      <c r="I25" s="43"/>
      <c r="J25" s="43"/>
      <c r="K25" s="43"/>
      <c r="L25" s="43"/>
      <c r="M25" s="290"/>
      <c r="N25" s="290"/>
      <c r="O25" s="290"/>
      <c r="P25" s="290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  <c r="AH25" s="290"/>
    </row>
    <row r="26" spans="1:34" x14ac:dyDescent="0.2">
      <c r="A26" s="41">
        <v>22</v>
      </c>
      <c r="B26" s="11"/>
      <c r="C26" s="11"/>
      <c r="D26" s="11">
        <v>-72050</v>
      </c>
      <c r="E26" s="11">
        <v>-71395</v>
      </c>
      <c r="F26" s="11">
        <f t="shared" si="0"/>
        <v>655</v>
      </c>
      <c r="G26" s="41"/>
      <c r="H26" s="43"/>
      <c r="I26" s="43"/>
      <c r="J26" s="43"/>
      <c r="K26" s="43"/>
      <c r="L26" s="43"/>
      <c r="M26" s="290"/>
      <c r="N26" s="290"/>
      <c r="O26" s="290"/>
      <c r="P26" s="290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  <c r="AH26" s="290"/>
    </row>
    <row r="27" spans="1:34" x14ac:dyDescent="0.2">
      <c r="A27" s="41">
        <v>23</v>
      </c>
      <c r="B27" s="11">
        <v>-11234</v>
      </c>
      <c r="C27" s="11">
        <v>-10000</v>
      </c>
      <c r="D27" s="11">
        <v>-29918</v>
      </c>
      <c r="E27" s="11">
        <v>-29430</v>
      </c>
      <c r="F27" s="11">
        <f t="shared" si="0"/>
        <v>1722</v>
      </c>
      <c r="G27" s="41"/>
      <c r="H27" s="43"/>
      <c r="I27" s="43"/>
      <c r="J27" s="43"/>
      <c r="K27" s="43"/>
      <c r="L27" s="43"/>
      <c r="M27" s="290"/>
      <c r="N27" s="290"/>
      <c r="O27" s="290"/>
      <c r="P27" s="290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  <c r="AH27" s="290"/>
    </row>
    <row r="28" spans="1:34" x14ac:dyDescent="0.2">
      <c r="A28" s="41">
        <v>24</v>
      </c>
      <c r="B28" s="11">
        <v>-10772</v>
      </c>
      <c r="C28" s="11">
        <v>-10000</v>
      </c>
      <c r="D28" s="11">
        <v>-62174</v>
      </c>
      <c r="E28" s="11">
        <v>-61769</v>
      </c>
      <c r="F28" s="11">
        <f t="shared" si="0"/>
        <v>1177</v>
      </c>
      <c r="G28" s="41"/>
      <c r="H28" s="43"/>
      <c r="I28" s="43"/>
      <c r="J28" s="43"/>
      <c r="K28" s="43"/>
      <c r="L28" s="43"/>
      <c r="M28" s="290"/>
      <c r="N28" s="290"/>
      <c r="O28" s="290"/>
      <c r="P28" s="290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  <c r="AH28" s="290"/>
    </row>
    <row r="29" spans="1:34" x14ac:dyDescent="0.2">
      <c r="A29" s="41">
        <v>25</v>
      </c>
      <c r="B29" s="11">
        <v>-10014</v>
      </c>
      <c r="C29" s="11">
        <v>-10000</v>
      </c>
      <c r="D29" s="11">
        <v>-57210</v>
      </c>
      <c r="E29" s="11">
        <v>-57075</v>
      </c>
      <c r="F29" s="11">
        <f t="shared" si="0"/>
        <v>149</v>
      </c>
      <c r="G29" s="41"/>
      <c r="H29" s="43"/>
      <c r="I29" s="43"/>
      <c r="J29" s="43"/>
      <c r="K29" s="43"/>
      <c r="L29" s="43"/>
      <c r="M29" s="290"/>
      <c r="N29" s="290"/>
      <c r="O29" s="290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  <c r="AH29" s="290"/>
    </row>
    <row r="30" spans="1:34" x14ac:dyDescent="0.2">
      <c r="A30" s="41">
        <v>26</v>
      </c>
      <c r="B30" s="11">
        <v>-10509</v>
      </c>
      <c r="C30" s="11">
        <v>-10000</v>
      </c>
      <c r="D30" s="11">
        <v>-37433</v>
      </c>
      <c r="E30" s="11">
        <v>-36900</v>
      </c>
      <c r="F30" s="11">
        <f t="shared" si="0"/>
        <v>1042</v>
      </c>
      <c r="G30" s="41"/>
      <c r="H30" s="43"/>
      <c r="I30" s="43"/>
      <c r="J30" s="43"/>
      <c r="K30" s="43"/>
      <c r="L30" s="43"/>
      <c r="M30" s="290"/>
      <c r="N30" s="290"/>
      <c r="O30" s="290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  <c r="AH30" s="290"/>
    </row>
    <row r="31" spans="1:34" x14ac:dyDescent="0.2">
      <c r="A31" s="41">
        <v>27</v>
      </c>
      <c r="B31" s="11">
        <v>-10566</v>
      </c>
      <c r="C31" s="11">
        <v>-10000</v>
      </c>
      <c r="D31" s="11">
        <v>-43203</v>
      </c>
      <c r="E31" s="11">
        <v>-36900</v>
      </c>
      <c r="F31" s="11">
        <f t="shared" si="0"/>
        <v>6869</v>
      </c>
      <c r="G31" s="41"/>
      <c r="H31" s="43"/>
      <c r="I31" s="43"/>
      <c r="J31" s="43"/>
      <c r="K31" s="43"/>
      <c r="L31" s="43"/>
      <c r="M31" s="290"/>
      <c r="N31" s="290"/>
      <c r="O31" s="290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  <c r="AH31" s="290"/>
    </row>
    <row r="32" spans="1:34" x14ac:dyDescent="0.2">
      <c r="A32" s="41">
        <v>28</v>
      </c>
      <c r="B32" s="11">
        <v>-12117</v>
      </c>
      <c r="C32" s="11">
        <v>-10000</v>
      </c>
      <c r="D32" s="11">
        <v>-27265</v>
      </c>
      <c r="E32" s="11">
        <v>-26900</v>
      </c>
      <c r="F32" s="11">
        <f t="shared" si="0"/>
        <v>2482</v>
      </c>
      <c r="G32" s="41"/>
      <c r="H32" s="43"/>
      <c r="I32" s="43"/>
      <c r="J32" s="43"/>
      <c r="K32" s="43"/>
      <c r="L32" s="43"/>
      <c r="M32" s="290"/>
      <c r="N32" s="290"/>
      <c r="O32" s="290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  <c r="AH32" s="290"/>
    </row>
    <row r="33" spans="1:34" x14ac:dyDescent="0.2">
      <c r="A33" s="41">
        <v>29</v>
      </c>
      <c r="B33" s="11">
        <v>-9932</v>
      </c>
      <c r="C33" s="11">
        <v>-10000</v>
      </c>
      <c r="D33" s="11">
        <v>-19196</v>
      </c>
      <c r="E33" s="11">
        <v>-12104</v>
      </c>
      <c r="F33" s="11">
        <f t="shared" si="0"/>
        <v>7024</v>
      </c>
      <c r="G33" s="41"/>
      <c r="H33" s="43"/>
      <c r="I33" s="43"/>
      <c r="J33" s="43"/>
      <c r="K33" s="43"/>
      <c r="L33" s="43"/>
      <c r="M33" s="290"/>
      <c r="N33" s="290"/>
      <c r="O33" s="290"/>
      <c r="P33" s="290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  <c r="AH33" s="290"/>
    </row>
    <row r="34" spans="1:34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290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  <c r="AH34" s="290"/>
    </row>
    <row r="35" spans="1:34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290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  <c r="AH35" s="290"/>
    </row>
    <row r="36" spans="1:34" x14ac:dyDescent="0.2">
      <c r="A36" s="41"/>
      <c r="B36" s="11">
        <f>SUM(B5:B35)</f>
        <v>-279780</v>
      </c>
      <c r="C36" s="44">
        <f>SUM(C5:C35)</f>
        <v>-271068</v>
      </c>
      <c r="D36" s="43">
        <f>SUM(D5:D35)</f>
        <v>-1801831</v>
      </c>
      <c r="E36" s="43">
        <f>SUM(E5:E35)</f>
        <v>-1779813</v>
      </c>
      <c r="F36" s="11">
        <f>SUM(F5:F35)</f>
        <v>30730</v>
      </c>
      <c r="G36" s="41"/>
      <c r="H36" s="43"/>
      <c r="I36" s="43"/>
      <c r="J36" s="43"/>
      <c r="K36" s="43"/>
      <c r="L36" s="43"/>
      <c r="M36" s="290"/>
      <c r="N36" s="290"/>
      <c r="O36" s="290"/>
      <c r="P36" s="290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  <c r="AH36" s="290"/>
    </row>
    <row r="37" spans="1:34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290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  <c r="AH37" s="290"/>
    </row>
    <row r="38" spans="1:34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1"/>
      <c r="M38" s="290"/>
      <c r="N38" s="290"/>
      <c r="O38" s="290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  <c r="AH38" s="290"/>
    </row>
    <row r="39" spans="1:34" x14ac:dyDescent="0.2">
      <c r="A39" s="32"/>
      <c r="B39" s="32"/>
      <c r="C39" s="15"/>
      <c r="D39" s="15"/>
      <c r="E39" s="15"/>
      <c r="F39" s="494">
        <f>+summary!G5</f>
        <v>2.09</v>
      </c>
      <c r="G39" s="32"/>
      <c r="H39" s="204"/>
      <c r="I39" s="150"/>
      <c r="J39" s="346"/>
      <c r="K39" s="452"/>
      <c r="L39" s="150"/>
      <c r="M39" s="290"/>
      <c r="N39" s="290"/>
      <c r="O39" s="290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  <c r="AH39" s="290"/>
    </row>
    <row r="40" spans="1:34" x14ac:dyDescent="0.2">
      <c r="A40" s="32"/>
      <c r="B40" s="32"/>
      <c r="C40" s="48"/>
      <c r="D40" s="47"/>
      <c r="E40" s="48"/>
      <c r="F40" s="46">
        <f>+F39*F36</f>
        <v>64225.7</v>
      </c>
      <c r="G40" s="32"/>
      <c r="H40" s="204"/>
      <c r="I40" s="206"/>
      <c r="J40" s="346"/>
      <c r="K40" s="346"/>
      <c r="L40" s="150"/>
      <c r="M40" s="290"/>
      <c r="N40" s="290"/>
      <c r="O40" s="290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  <c r="AH40" s="290"/>
    </row>
    <row r="41" spans="1:34" x14ac:dyDescent="0.2">
      <c r="A41" s="32"/>
      <c r="B41" s="32"/>
      <c r="C41" s="47"/>
      <c r="D41" s="47"/>
      <c r="E41" s="47"/>
      <c r="F41" s="24"/>
      <c r="G41" s="32"/>
      <c r="H41" s="453"/>
      <c r="I41" s="206"/>
      <c r="J41" s="454"/>
      <c r="K41" s="454"/>
      <c r="L41" s="15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</row>
    <row r="42" spans="1:34" x14ac:dyDescent="0.2">
      <c r="A42" s="57">
        <v>37256</v>
      </c>
      <c r="B42" s="32"/>
      <c r="C42" s="462"/>
      <c r="D42" s="111"/>
      <c r="E42" s="462"/>
      <c r="F42" s="493">
        <v>9676</v>
      </c>
      <c r="G42" s="32"/>
      <c r="H42" s="453"/>
      <c r="I42" s="206"/>
      <c r="J42" s="454"/>
      <c r="K42" s="454"/>
      <c r="L42" s="303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</row>
    <row r="43" spans="1:34" x14ac:dyDescent="0.2">
      <c r="A43" s="57">
        <v>37285</v>
      </c>
      <c r="B43" s="32"/>
      <c r="C43" s="106"/>
      <c r="D43" s="106"/>
      <c r="E43" s="106"/>
      <c r="F43" s="24">
        <f>+F40+F42</f>
        <v>73901.7</v>
      </c>
      <c r="H43" s="290"/>
      <c r="I43" s="290"/>
      <c r="J43" s="290"/>
      <c r="K43" s="290"/>
      <c r="L43" s="455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</row>
    <row r="44" spans="1:34" x14ac:dyDescent="0.2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</row>
    <row r="45" spans="1:34" x14ac:dyDescent="0.2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290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  <c r="AH45" s="290"/>
    </row>
    <row r="46" spans="1:34" x14ac:dyDescent="0.2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290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  <c r="AH46" s="290"/>
    </row>
    <row r="47" spans="1:34" x14ac:dyDescent="0.2">
      <c r="A47" s="32" t="s">
        <v>314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290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  <c r="AH47" s="290"/>
    </row>
    <row r="48" spans="1:34" x14ac:dyDescent="0.2">
      <c r="A48" s="49">
        <f>+A42</f>
        <v>37256</v>
      </c>
      <c r="B48" s="32"/>
      <c r="C48" s="32"/>
      <c r="D48" s="508">
        <v>19943.240000000002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290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  <c r="AH48" s="290"/>
    </row>
    <row r="49" spans="1:34" x14ac:dyDescent="0.2">
      <c r="A49" s="49">
        <f>+A43</f>
        <v>37285</v>
      </c>
      <c r="B49" s="32"/>
      <c r="C49" s="32"/>
      <c r="D49" s="76">
        <f>+F36</f>
        <v>30730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290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  <c r="AH49" s="290"/>
    </row>
    <row r="50" spans="1:34" x14ac:dyDescent="0.2">
      <c r="A50" s="32"/>
      <c r="B50" s="32"/>
      <c r="C50" s="32"/>
      <c r="D50" s="75">
        <f>+D49+D48</f>
        <v>50673.240000000005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290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  <c r="AH50" s="290"/>
    </row>
    <row r="51" spans="1:34" x14ac:dyDescent="0.2">
      <c r="D51" s="259"/>
      <c r="H51" s="290"/>
      <c r="I51" s="290"/>
      <c r="J51" s="290"/>
      <c r="K51" s="290"/>
      <c r="L51" s="290"/>
      <c r="M51" s="290"/>
      <c r="N51" s="290"/>
      <c r="O51" s="290"/>
      <c r="P51" s="290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  <c r="AH51" s="290"/>
    </row>
    <row r="52" spans="1:34" x14ac:dyDescent="0.2">
      <c r="H52" s="290"/>
      <c r="I52" s="290"/>
      <c r="J52" s="290"/>
      <c r="K52" s="290"/>
      <c r="L52" s="290"/>
      <c r="M52" s="290"/>
      <c r="N52" s="290"/>
      <c r="O52" s="290"/>
      <c r="P52" s="290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  <c r="AH52" s="290"/>
    </row>
    <row r="53" spans="1:34" x14ac:dyDescent="0.2">
      <c r="H53" s="290"/>
      <c r="I53" s="290"/>
      <c r="J53" s="290"/>
      <c r="K53" s="290"/>
      <c r="L53" s="290"/>
      <c r="M53" s="290"/>
      <c r="N53" s="290"/>
      <c r="O53" s="290"/>
      <c r="P53" s="290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  <c r="AH53" s="290"/>
    </row>
    <row r="54" spans="1:34" x14ac:dyDescent="0.2">
      <c r="H54" s="290"/>
      <c r="I54" s="290"/>
      <c r="J54" s="290"/>
      <c r="K54" s="290"/>
      <c r="L54" s="290"/>
      <c r="M54" s="290"/>
      <c r="N54" s="290"/>
      <c r="O54" s="290"/>
      <c r="P54" s="290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  <c r="AH54" s="290"/>
    </row>
    <row r="55" spans="1:34" x14ac:dyDescent="0.2">
      <c r="H55" s="290"/>
      <c r="I55" s="290"/>
      <c r="J55" s="290"/>
      <c r="K55" s="290"/>
      <c r="L55" s="290"/>
      <c r="M55" s="290"/>
      <c r="N55" s="290"/>
      <c r="O55" s="290"/>
      <c r="P55" s="290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  <c r="AH55" s="290"/>
    </row>
    <row r="56" spans="1:34" x14ac:dyDescent="0.2">
      <c r="H56" s="290"/>
      <c r="I56" s="290"/>
      <c r="J56" s="290"/>
      <c r="K56" s="290"/>
      <c r="L56" s="290"/>
      <c r="M56" s="290"/>
      <c r="N56" s="290"/>
      <c r="O56" s="290"/>
      <c r="P56" s="290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  <c r="AH56" s="290"/>
    </row>
    <row r="57" spans="1:34" x14ac:dyDescent="0.2">
      <c r="H57" s="290"/>
      <c r="I57" s="290"/>
      <c r="J57" s="290"/>
      <c r="K57" s="290"/>
      <c r="L57" s="290"/>
      <c r="M57" s="290"/>
      <c r="N57" s="290"/>
      <c r="O57" s="290"/>
      <c r="P57" s="290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  <c r="AH57" s="290"/>
    </row>
    <row r="58" spans="1:34" x14ac:dyDescent="0.2">
      <c r="H58" s="290"/>
      <c r="I58" s="290"/>
      <c r="J58" s="290"/>
      <c r="K58" s="290"/>
      <c r="L58" s="290"/>
      <c r="M58" s="290"/>
      <c r="N58" s="290"/>
      <c r="O58" s="290"/>
      <c r="P58" s="290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  <c r="AH58" s="290"/>
    </row>
    <row r="59" spans="1:34" x14ac:dyDescent="0.2">
      <c r="H59" s="290"/>
      <c r="I59" s="290"/>
      <c r="J59" s="290"/>
      <c r="K59" s="290"/>
      <c r="L59" s="290"/>
      <c r="M59" s="290"/>
      <c r="N59" s="290"/>
      <c r="O59" s="290"/>
      <c r="P59" s="290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  <c r="AH59" s="290"/>
    </row>
    <row r="60" spans="1:34" x14ac:dyDescent="0.2">
      <c r="H60" s="290"/>
      <c r="I60" s="290"/>
      <c r="J60" s="290"/>
      <c r="K60" s="290"/>
      <c r="L60" s="290"/>
      <c r="M60" s="290"/>
      <c r="N60" s="290"/>
      <c r="O60" s="290"/>
      <c r="P60" s="290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  <c r="AH60" s="290"/>
    </row>
    <row r="61" spans="1:34" x14ac:dyDescent="0.2">
      <c r="H61" s="290"/>
      <c r="I61" s="290"/>
      <c r="J61" s="290"/>
      <c r="K61" s="290"/>
      <c r="L61" s="290"/>
      <c r="M61" s="290"/>
      <c r="N61" s="290"/>
      <c r="O61" s="290"/>
      <c r="P61" s="290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  <c r="AH61" s="290"/>
    </row>
    <row r="62" spans="1:34" x14ac:dyDescent="0.2">
      <c r="H62" s="290"/>
      <c r="I62" s="290"/>
      <c r="J62" s="290"/>
      <c r="K62" s="290"/>
      <c r="L62" s="290"/>
      <c r="M62" s="290"/>
      <c r="N62" s="290"/>
      <c r="O62" s="290"/>
      <c r="P62" s="290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  <c r="AH62" s="290"/>
    </row>
    <row r="63" spans="1:34" x14ac:dyDescent="0.2">
      <c r="H63" s="290"/>
      <c r="I63" s="290"/>
      <c r="J63" s="290"/>
      <c r="K63" s="290"/>
      <c r="L63" s="290"/>
      <c r="M63" s="290"/>
      <c r="N63" s="290"/>
      <c r="O63" s="290"/>
      <c r="P63" s="290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  <c r="AH63" s="290"/>
    </row>
    <row r="64" spans="1:34" x14ac:dyDescent="0.2">
      <c r="H64" s="290"/>
      <c r="I64" s="290"/>
      <c r="J64" s="290"/>
      <c r="K64" s="290"/>
      <c r="L64" s="290"/>
      <c r="M64" s="290"/>
      <c r="N64" s="290"/>
      <c r="O64" s="290"/>
      <c r="P64" s="290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  <c r="AH64" s="290"/>
    </row>
    <row r="65" spans="8:34" x14ac:dyDescent="0.2">
      <c r="H65" s="290"/>
      <c r="I65" s="290"/>
      <c r="J65" s="290"/>
      <c r="K65" s="290"/>
      <c r="L65" s="290"/>
      <c r="M65" s="290"/>
      <c r="N65" s="290"/>
      <c r="O65" s="290"/>
      <c r="P65" s="290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  <c r="AH65" s="290"/>
    </row>
    <row r="66" spans="8:34" x14ac:dyDescent="0.2">
      <c r="H66" s="290"/>
      <c r="I66" s="290"/>
      <c r="J66" s="290"/>
      <c r="K66" s="290"/>
      <c r="L66" s="290"/>
      <c r="M66" s="290"/>
      <c r="N66" s="290"/>
      <c r="O66" s="290"/>
      <c r="P66" s="290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  <c r="AH66" s="290"/>
    </row>
    <row r="67" spans="8:34" x14ac:dyDescent="0.2">
      <c r="H67" s="290"/>
      <c r="I67" s="290"/>
      <c r="J67" s="290"/>
      <c r="K67" s="290"/>
      <c r="L67" s="290"/>
      <c r="M67" s="290"/>
      <c r="N67" s="290"/>
      <c r="O67" s="290"/>
      <c r="P67" s="290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  <c r="AH67" s="290"/>
    </row>
    <row r="68" spans="8:34" x14ac:dyDescent="0.2">
      <c r="H68" s="290"/>
      <c r="I68" s="290"/>
      <c r="J68" s="290"/>
      <c r="K68" s="290"/>
      <c r="L68" s="290"/>
      <c r="M68" s="290"/>
      <c r="N68" s="290"/>
      <c r="O68" s="290"/>
      <c r="P68" s="290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  <c r="AH68" s="290"/>
    </row>
    <row r="69" spans="8:34" x14ac:dyDescent="0.2">
      <c r="H69" s="290"/>
      <c r="I69" s="290"/>
      <c r="J69" s="290"/>
      <c r="K69" s="290"/>
      <c r="L69" s="290"/>
      <c r="M69" s="290"/>
      <c r="N69" s="290"/>
      <c r="O69" s="290"/>
      <c r="P69" s="290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  <c r="AH69" s="290"/>
    </row>
    <row r="70" spans="8:34" x14ac:dyDescent="0.2">
      <c r="H70" s="290"/>
      <c r="I70" s="290"/>
      <c r="J70" s="290"/>
      <c r="K70" s="290"/>
      <c r="L70" s="290"/>
      <c r="M70" s="290"/>
      <c r="N70" s="290"/>
      <c r="O70" s="290"/>
      <c r="P70" s="290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  <c r="AH70" s="290"/>
    </row>
    <row r="71" spans="8:34" x14ac:dyDescent="0.2">
      <c r="H71" s="290"/>
      <c r="I71" s="290"/>
      <c r="J71" s="290"/>
      <c r="K71" s="290"/>
      <c r="L71" s="290"/>
      <c r="M71" s="290"/>
      <c r="N71" s="290"/>
      <c r="O71" s="290"/>
      <c r="P71" s="290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  <c r="AH71" s="290"/>
    </row>
    <row r="72" spans="8:34" x14ac:dyDescent="0.2">
      <c r="H72" s="290"/>
      <c r="I72" s="290"/>
      <c r="J72" s="290"/>
      <c r="K72" s="290"/>
      <c r="L72" s="290"/>
      <c r="M72" s="290"/>
      <c r="N72" s="290"/>
      <c r="O72" s="290"/>
      <c r="P72" s="290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  <c r="AH72" s="290"/>
    </row>
    <row r="73" spans="8:34" x14ac:dyDescent="0.2">
      <c r="H73" s="290"/>
      <c r="I73" s="290"/>
      <c r="J73" s="290"/>
      <c r="K73" s="290"/>
      <c r="L73" s="290"/>
      <c r="M73" s="290"/>
      <c r="N73" s="290"/>
      <c r="O73" s="290"/>
      <c r="P73" s="290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  <c r="AH73" s="290"/>
    </row>
    <row r="74" spans="8:34" x14ac:dyDescent="0.2">
      <c r="H74" s="290"/>
      <c r="I74" s="290"/>
      <c r="J74" s="290"/>
      <c r="K74" s="290"/>
      <c r="L74" s="290"/>
      <c r="M74" s="290"/>
      <c r="N74" s="290"/>
      <c r="O74" s="290"/>
      <c r="P74" s="290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  <c r="AH74" s="290"/>
    </row>
    <row r="75" spans="8:34" x14ac:dyDescent="0.2">
      <c r="H75" s="290"/>
      <c r="I75" s="290"/>
      <c r="J75" s="290"/>
      <c r="K75" s="290"/>
      <c r="L75" s="290"/>
      <c r="M75" s="290"/>
      <c r="N75" s="290"/>
      <c r="O75" s="290"/>
      <c r="P75" s="290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  <c r="AH75" s="290"/>
    </row>
    <row r="76" spans="8:34" x14ac:dyDescent="0.2">
      <c r="H76" s="290"/>
      <c r="I76" s="290"/>
      <c r="J76" s="290"/>
      <c r="K76" s="290"/>
      <c r="L76" s="290"/>
      <c r="M76" s="290"/>
      <c r="N76" s="290"/>
      <c r="O76" s="290"/>
      <c r="P76" s="290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  <c r="AH76" s="290"/>
    </row>
    <row r="77" spans="8:34" x14ac:dyDescent="0.2">
      <c r="H77" s="290"/>
      <c r="I77" s="290"/>
      <c r="J77" s="290"/>
      <c r="K77" s="290"/>
      <c r="L77" s="290"/>
      <c r="M77" s="290"/>
      <c r="N77" s="290"/>
      <c r="O77" s="290"/>
      <c r="P77" s="290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  <c r="AH77" s="290"/>
    </row>
    <row r="78" spans="8:34" x14ac:dyDescent="0.2">
      <c r="H78" s="290"/>
      <c r="I78" s="290"/>
      <c r="J78" s="290"/>
      <c r="K78" s="290"/>
      <c r="L78" s="290"/>
      <c r="M78" s="290"/>
      <c r="N78" s="290"/>
      <c r="O78" s="290"/>
      <c r="P78" s="290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  <c r="AH78" s="290"/>
    </row>
    <row r="79" spans="8:34" x14ac:dyDescent="0.2">
      <c r="H79" s="290"/>
      <c r="I79" s="290"/>
      <c r="J79" s="290"/>
      <c r="K79" s="290"/>
      <c r="L79" s="290"/>
      <c r="M79" s="290"/>
      <c r="N79" s="290"/>
      <c r="O79" s="290"/>
      <c r="P79" s="290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  <c r="AH79" s="290"/>
    </row>
    <row r="80" spans="8:34" x14ac:dyDescent="0.2">
      <c r="H80" s="290"/>
      <c r="I80" s="290"/>
      <c r="J80" s="290"/>
      <c r="K80" s="290"/>
      <c r="L80" s="290"/>
      <c r="M80" s="290"/>
      <c r="N80" s="290"/>
      <c r="O80" s="290"/>
      <c r="P80" s="290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  <c r="AH80" s="290"/>
    </row>
    <row r="81" spans="8:34" x14ac:dyDescent="0.2">
      <c r="H81" s="290"/>
      <c r="I81" s="290"/>
      <c r="J81" s="290"/>
      <c r="K81" s="290"/>
      <c r="L81" s="290"/>
      <c r="M81" s="290"/>
      <c r="N81" s="290"/>
      <c r="O81" s="290"/>
      <c r="P81" s="290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  <c r="AH81" s="290"/>
    </row>
    <row r="82" spans="8:34" x14ac:dyDescent="0.2">
      <c r="H82" s="290"/>
      <c r="I82" s="290"/>
      <c r="J82" s="290"/>
      <c r="K82" s="290"/>
      <c r="L82" s="290"/>
      <c r="M82" s="290"/>
      <c r="N82" s="290"/>
      <c r="O82" s="290"/>
      <c r="P82" s="290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  <c r="AH82" s="290"/>
    </row>
    <row r="83" spans="8:34" x14ac:dyDescent="0.2">
      <c r="H83" s="290"/>
      <c r="I83" s="290"/>
      <c r="J83" s="290"/>
      <c r="K83" s="290"/>
      <c r="L83" s="290"/>
      <c r="M83" s="290"/>
      <c r="N83" s="290"/>
      <c r="O83" s="290"/>
      <c r="P83" s="290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  <c r="AH83" s="290"/>
    </row>
    <row r="84" spans="8:34" x14ac:dyDescent="0.2">
      <c r="H84" s="290"/>
      <c r="I84" s="290"/>
      <c r="J84" s="290"/>
      <c r="K84" s="290"/>
      <c r="L84" s="290"/>
      <c r="M84" s="290"/>
      <c r="N84" s="290"/>
      <c r="O84" s="290"/>
      <c r="P84" s="290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  <c r="AH84" s="290"/>
    </row>
    <row r="85" spans="8:34" x14ac:dyDescent="0.2">
      <c r="H85" s="290"/>
      <c r="I85" s="290"/>
      <c r="J85" s="290"/>
      <c r="K85" s="290"/>
      <c r="L85" s="290"/>
      <c r="M85" s="290"/>
      <c r="N85" s="290"/>
      <c r="O85" s="290"/>
      <c r="P85" s="290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  <c r="AH85" s="290"/>
    </row>
    <row r="86" spans="8:34" x14ac:dyDescent="0.2">
      <c r="H86" s="290"/>
      <c r="I86" s="290"/>
      <c r="J86" s="290"/>
      <c r="K86" s="290"/>
      <c r="L86" s="290"/>
      <c r="M86" s="290"/>
      <c r="N86" s="290"/>
      <c r="O86" s="290"/>
      <c r="P86" s="290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  <c r="AH86" s="290"/>
    </row>
    <row r="87" spans="8:34" x14ac:dyDescent="0.2">
      <c r="H87" s="290"/>
      <c r="I87" s="290"/>
      <c r="J87" s="290"/>
      <c r="K87" s="290"/>
      <c r="L87" s="290"/>
      <c r="M87" s="290"/>
      <c r="N87" s="290"/>
      <c r="O87" s="290"/>
      <c r="P87" s="290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  <c r="AH87" s="290"/>
    </row>
    <row r="88" spans="8:34" x14ac:dyDescent="0.2">
      <c r="H88" s="290"/>
      <c r="I88" s="290"/>
      <c r="J88" s="290"/>
      <c r="K88" s="290"/>
      <c r="L88" s="290"/>
      <c r="M88" s="290"/>
      <c r="N88" s="290"/>
      <c r="O88" s="290"/>
      <c r="P88" s="290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  <c r="AH88" s="290"/>
    </row>
    <row r="89" spans="8:34" x14ac:dyDescent="0.2">
      <c r="H89" s="290"/>
      <c r="I89" s="290"/>
      <c r="J89" s="290"/>
      <c r="K89" s="290"/>
      <c r="L89" s="290"/>
      <c r="M89" s="290"/>
      <c r="N89" s="290"/>
      <c r="O89" s="290"/>
      <c r="P89" s="290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  <c r="AH89" s="290"/>
    </row>
    <row r="90" spans="8:34" x14ac:dyDescent="0.2">
      <c r="H90" s="290"/>
      <c r="I90" s="290"/>
      <c r="J90" s="290"/>
      <c r="K90" s="290"/>
      <c r="L90" s="290"/>
      <c r="M90" s="290"/>
      <c r="N90" s="290"/>
      <c r="O90" s="290"/>
      <c r="P90" s="290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  <c r="AH90" s="290"/>
    </row>
    <row r="91" spans="8:34" x14ac:dyDescent="0.2">
      <c r="H91" s="290"/>
      <c r="I91" s="290"/>
      <c r="J91" s="290"/>
      <c r="K91" s="290"/>
      <c r="L91" s="290"/>
      <c r="M91" s="290"/>
      <c r="N91" s="290"/>
      <c r="O91" s="290"/>
      <c r="P91" s="290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  <c r="AH91" s="290"/>
    </row>
    <row r="92" spans="8:34" x14ac:dyDescent="0.2">
      <c r="H92" s="290"/>
      <c r="I92" s="290"/>
      <c r="J92" s="290"/>
      <c r="K92" s="290"/>
      <c r="L92" s="290"/>
      <c r="M92" s="290"/>
      <c r="N92" s="290"/>
      <c r="O92" s="290"/>
      <c r="P92" s="290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  <c r="AH92" s="290"/>
    </row>
    <row r="93" spans="8:34" x14ac:dyDescent="0.2">
      <c r="H93" s="290"/>
      <c r="I93" s="290"/>
      <c r="J93" s="290"/>
      <c r="K93" s="290"/>
      <c r="L93" s="290"/>
      <c r="M93" s="290"/>
      <c r="N93" s="290"/>
      <c r="O93" s="290"/>
      <c r="P93" s="290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  <c r="AH93" s="290"/>
    </row>
    <row r="94" spans="8:34" x14ac:dyDescent="0.2">
      <c r="H94" s="290"/>
      <c r="I94" s="290"/>
      <c r="J94" s="290"/>
      <c r="K94" s="290"/>
      <c r="L94" s="290"/>
      <c r="M94" s="290"/>
      <c r="N94" s="290"/>
      <c r="O94" s="290"/>
      <c r="P94" s="290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  <c r="AH94" s="290"/>
    </row>
    <row r="95" spans="8:34" x14ac:dyDescent="0.2">
      <c r="H95" s="290"/>
      <c r="I95" s="290"/>
      <c r="J95" s="290"/>
      <c r="K95" s="290"/>
      <c r="L95" s="290"/>
      <c r="M95" s="290"/>
      <c r="N95" s="290"/>
      <c r="O95" s="290"/>
      <c r="P95" s="290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  <c r="AH95" s="290"/>
    </row>
    <row r="96" spans="8:34" x14ac:dyDescent="0.2">
      <c r="H96" s="290"/>
      <c r="I96" s="290"/>
      <c r="J96" s="290"/>
      <c r="K96" s="290"/>
      <c r="L96" s="290"/>
      <c r="M96" s="290"/>
      <c r="N96" s="290"/>
      <c r="O96" s="290"/>
      <c r="P96" s="290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  <c r="AH96" s="290"/>
    </row>
    <row r="97" spans="8:34" x14ac:dyDescent="0.2">
      <c r="H97" s="290"/>
      <c r="I97" s="290"/>
      <c r="J97" s="290"/>
      <c r="K97" s="290"/>
      <c r="L97" s="290"/>
      <c r="M97" s="290"/>
      <c r="N97" s="290"/>
      <c r="O97" s="290"/>
      <c r="P97" s="290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  <c r="AH97" s="290"/>
    </row>
    <row r="98" spans="8:34" x14ac:dyDescent="0.2">
      <c r="H98" s="290"/>
      <c r="I98" s="290"/>
      <c r="J98" s="290"/>
      <c r="K98" s="290"/>
      <c r="L98" s="290"/>
      <c r="M98" s="290"/>
      <c r="N98" s="290"/>
      <c r="O98" s="290"/>
      <c r="P98" s="290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  <c r="AH98" s="290"/>
    </row>
    <row r="99" spans="8:34" x14ac:dyDescent="0.2">
      <c r="H99" s="290"/>
      <c r="I99" s="290"/>
      <c r="J99" s="290"/>
      <c r="K99" s="290"/>
      <c r="L99" s="290"/>
      <c r="M99" s="290"/>
      <c r="N99" s="290"/>
      <c r="O99" s="290"/>
      <c r="P99" s="290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  <c r="AH99" s="290"/>
    </row>
    <row r="100" spans="8:34" x14ac:dyDescent="0.2">
      <c r="H100" s="290"/>
      <c r="I100" s="290"/>
      <c r="J100" s="290"/>
      <c r="K100" s="290"/>
      <c r="L100" s="290"/>
      <c r="M100" s="290"/>
      <c r="N100" s="290"/>
      <c r="O100" s="290"/>
      <c r="P100" s="290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  <c r="AH100" s="290"/>
    </row>
    <row r="101" spans="8:34" x14ac:dyDescent="0.2">
      <c r="H101" s="290"/>
      <c r="I101" s="290"/>
      <c r="J101" s="290"/>
      <c r="K101" s="290"/>
      <c r="L101" s="290"/>
      <c r="M101" s="290"/>
      <c r="N101" s="290"/>
      <c r="O101" s="290"/>
      <c r="P101" s="290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  <c r="AH101" s="290"/>
    </row>
    <row r="102" spans="8:34" x14ac:dyDescent="0.2">
      <c r="H102" s="290"/>
      <c r="I102" s="290"/>
      <c r="J102" s="290"/>
      <c r="K102" s="290"/>
      <c r="L102" s="290"/>
      <c r="M102" s="290"/>
      <c r="N102" s="290"/>
      <c r="O102" s="290"/>
      <c r="P102" s="290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  <c r="AH102" s="290"/>
    </row>
    <row r="103" spans="8:34" x14ac:dyDescent="0.2">
      <c r="H103" s="290"/>
      <c r="I103" s="290"/>
      <c r="J103" s="290"/>
      <c r="K103" s="290"/>
      <c r="L103" s="290"/>
      <c r="M103" s="290"/>
      <c r="N103" s="290"/>
      <c r="O103" s="290"/>
      <c r="P103" s="290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  <c r="AH103" s="290"/>
    </row>
    <row r="104" spans="8:34" x14ac:dyDescent="0.2">
      <c r="H104" s="290"/>
      <c r="I104" s="290"/>
      <c r="J104" s="290"/>
      <c r="K104" s="290"/>
      <c r="L104" s="290"/>
      <c r="M104" s="290"/>
      <c r="N104" s="290"/>
      <c r="O104" s="290"/>
      <c r="P104" s="290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  <c r="AH104" s="290"/>
    </row>
    <row r="105" spans="8:34" x14ac:dyDescent="0.2">
      <c r="H105" s="290"/>
      <c r="I105" s="290"/>
      <c r="J105" s="290"/>
      <c r="K105" s="290"/>
      <c r="L105" s="290"/>
      <c r="M105" s="290"/>
      <c r="N105" s="290"/>
      <c r="O105" s="290"/>
      <c r="P105" s="290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  <c r="AH105" s="290"/>
    </row>
    <row r="106" spans="8:34" x14ac:dyDescent="0.2">
      <c r="H106" s="290"/>
      <c r="I106" s="290"/>
      <c r="J106" s="290"/>
      <c r="K106" s="290"/>
      <c r="L106" s="290"/>
      <c r="M106" s="290"/>
      <c r="N106" s="290"/>
      <c r="O106" s="290"/>
      <c r="P106" s="290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  <c r="AH106" s="290"/>
    </row>
    <row r="107" spans="8:34" x14ac:dyDescent="0.2">
      <c r="H107" s="290"/>
      <c r="I107" s="290"/>
      <c r="J107" s="290"/>
      <c r="K107" s="290"/>
      <c r="L107" s="290"/>
      <c r="M107" s="290"/>
      <c r="N107" s="290"/>
      <c r="O107" s="290"/>
      <c r="P107" s="290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  <c r="AH107" s="290"/>
    </row>
    <row r="108" spans="8:34" x14ac:dyDescent="0.2">
      <c r="H108" s="290"/>
      <c r="I108" s="290"/>
      <c r="J108" s="290"/>
      <c r="K108" s="290"/>
      <c r="L108" s="290"/>
      <c r="M108" s="290"/>
      <c r="N108" s="290"/>
      <c r="O108" s="290"/>
      <c r="P108" s="290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  <c r="AH108" s="290"/>
    </row>
    <row r="109" spans="8:34" x14ac:dyDescent="0.2">
      <c r="H109" s="290"/>
      <c r="I109" s="290"/>
      <c r="J109" s="290"/>
      <c r="K109" s="290"/>
      <c r="L109" s="290"/>
      <c r="M109" s="290"/>
      <c r="N109" s="290"/>
      <c r="O109" s="290"/>
      <c r="P109" s="290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  <c r="AH109" s="290"/>
    </row>
    <row r="110" spans="8:34" x14ac:dyDescent="0.2">
      <c r="H110" s="290"/>
      <c r="I110" s="290"/>
      <c r="J110" s="290"/>
      <c r="K110" s="290"/>
      <c r="L110" s="290"/>
      <c r="M110" s="290"/>
      <c r="N110" s="290"/>
      <c r="O110" s="290"/>
      <c r="P110" s="290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  <c r="AH110" s="290"/>
    </row>
    <row r="111" spans="8:34" x14ac:dyDescent="0.2">
      <c r="H111" s="290"/>
      <c r="I111" s="290"/>
      <c r="J111" s="290"/>
      <c r="K111" s="290"/>
      <c r="L111" s="290"/>
      <c r="M111" s="290"/>
      <c r="N111" s="290"/>
      <c r="O111" s="290"/>
      <c r="P111" s="290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  <c r="AH111" s="290"/>
    </row>
    <row r="112" spans="8:34" x14ac:dyDescent="0.2">
      <c r="H112" s="290"/>
      <c r="I112" s="290"/>
      <c r="J112" s="290"/>
      <c r="K112" s="290"/>
      <c r="L112" s="290"/>
      <c r="M112" s="290"/>
      <c r="N112" s="290"/>
      <c r="O112" s="290"/>
      <c r="P112" s="290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  <c r="AH112" s="290"/>
    </row>
    <row r="113" spans="8:34" x14ac:dyDescent="0.2">
      <c r="H113" s="290"/>
      <c r="I113" s="290"/>
      <c r="J113" s="290"/>
      <c r="K113" s="290"/>
      <c r="L113" s="290"/>
      <c r="M113" s="290"/>
      <c r="N113" s="290"/>
      <c r="O113" s="290"/>
      <c r="P113" s="290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  <c r="AH113" s="290"/>
    </row>
    <row r="114" spans="8:34" x14ac:dyDescent="0.2">
      <c r="H114" s="290"/>
      <c r="I114" s="290"/>
      <c r="J114" s="290"/>
      <c r="K114" s="290"/>
      <c r="L114" s="290"/>
      <c r="M114" s="290"/>
      <c r="N114" s="290"/>
      <c r="O114" s="290"/>
      <c r="P114" s="290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  <c r="AH114" s="290"/>
    </row>
    <row r="115" spans="8:34" x14ac:dyDescent="0.2">
      <c r="H115" s="290"/>
      <c r="I115" s="290"/>
      <c r="J115" s="290"/>
      <c r="K115" s="290"/>
      <c r="L115" s="290"/>
      <c r="M115" s="290"/>
      <c r="N115" s="290"/>
      <c r="O115" s="290"/>
      <c r="P115" s="290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  <c r="AH115" s="290"/>
    </row>
    <row r="116" spans="8:34" x14ac:dyDescent="0.2">
      <c r="H116" s="290"/>
      <c r="I116" s="290"/>
      <c r="J116" s="290"/>
      <c r="K116" s="290"/>
      <c r="L116" s="290"/>
      <c r="M116" s="290"/>
      <c r="N116" s="290"/>
      <c r="O116" s="290"/>
      <c r="P116" s="290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  <c r="AH116" s="290"/>
    </row>
    <row r="117" spans="8:34" x14ac:dyDescent="0.2">
      <c r="H117" s="290"/>
      <c r="I117" s="290"/>
      <c r="J117" s="290"/>
      <c r="K117" s="290"/>
      <c r="L117" s="290"/>
      <c r="M117" s="290"/>
      <c r="N117" s="290"/>
      <c r="O117" s="290"/>
      <c r="P117" s="290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  <c r="AH117" s="290"/>
    </row>
    <row r="118" spans="8:34" x14ac:dyDescent="0.2">
      <c r="H118" s="290"/>
      <c r="I118" s="290"/>
      <c r="J118" s="290"/>
      <c r="K118" s="290"/>
      <c r="L118" s="290"/>
      <c r="M118" s="290"/>
      <c r="N118" s="290"/>
      <c r="O118" s="290"/>
      <c r="P118" s="290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  <c r="AH118" s="290"/>
    </row>
    <row r="119" spans="8:34" x14ac:dyDescent="0.2">
      <c r="H119" s="290"/>
      <c r="I119" s="290"/>
      <c r="J119" s="290"/>
      <c r="K119" s="290"/>
      <c r="L119" s="290"/>
      <c r="M119" s="290"/>
      <c r="N119" s="290"/>
      <c r="O119" s="290"/>
      <c r="P119" s="290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  <c r="AH119" s="290"/>
    </row>
    <row r="120" spans="8:34" x14ac:dyDescent="0.2">
      <c r="H120" s="290"/>
      <c r="I120" s="290"/>
      <c r="J120" s="290"/>
      <c r="K120" s="290"/>
      <c r="L120" s="290"/>
      <c r="M120" s="290"/>
      <c r="N120" s="290"/>
      <c r="O120" s="290"/>
      <c r="P120" s="290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  <c r="AH120" s="290"/>
    </row>
    <row r="121" spans="8:34" x14ac:dyDescent="0.2">
      <c r="H121" s="290"/>
      <c r="I121" s="290"/>
      <c r="J121" s="290"/>
      <c r="K121" s="290"/>
      <c r="L121" s="290"/>
      <c r="M121" s="290"/>
      <c r="N121" s="290"/>
      <c r="O121" s="290"/>
      <c r="P121" s="290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  <c r="AH121" s="290"/>
    </row>
    <row r="122" spans="8:34" x14ac:dyDescent="0.2">
      <c r="H122" s="290"/>
      <c r="I122" s="290"/>
      <c r="J122" s="290"/>
      <c r="K122" s="290"/>
      <c r="L122" s="290"/>
      <c r="M122" s="290"/>
      <c r="N122" s="290"/>
      <c r="O122" s="290"/>
      <c r="P122" s="290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  <c r="AH122" s="290"/>
    </row>
    <row r="123" spans="8:34" x14ac:dyDescent="0.2">
      <c r="H123" s="290"/>
      <c r="I123" s="290"/>
      <c r="J123" s="290"/>
      <c r="K123" s="290"/>
      <c r="L123" s="290"/>
      <c r="M123" s="290"/>
      <c r="N123" s="290"/>
      <c r="O123" s="290"/>
      <c r="P123" s="290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  <c r="AH123" s="290"/>
    </row>
    <row r="124" spans="8:34" x14ac:dyDescent="0.2">
      <c r="H124" s="290"/>
      <c r="I124" s="290"/>
      <c r="J124" s="290"/>
      <c r="K124" s="290"/>
      <c r="L124" s="290"/>
      <c r="M124" s="290"/>
      <c r="N124" s="290"/>
      <c r="O124" s="290"/>
      <c r="P124" s="290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  <c r="AH124" s="290"/>
    </row>
    <row r="125" spans="8:34" x14ac:dyDescent="0.2">
      <c r="H125" s="290"/>
      <c r="I125" s="290"/>
      <c r="J125" s="290"/>
      <c r="K125" s="290"/>
      <c r="L125" s="290"/>
      <c r="M125" s="290"/>
      <c r="N125" s="290"/>
      <c r="O125" s="290"/>
      <c r="P125" s="290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  <c r="AH125" s="290"/>
    </row>
    <row r="126" spans="8:34" x14ac:dyDescent="0.2">
      <c r="H126" s="290"/>
      <c r="I126" s="290"/>
      <c r="J126" s="290"/>
      <c r="K126" s="290"/>
      <c r="L126" s="290"/>
      <c r="M126" s="290"/>
      <c r="N126" s="290"/>
      <c r="O126" s="290"/>
      <c r="P126" s="290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  <c r="AH126" s="290"/>
    </row>
    <row r="127" spans="8:34" x14ac:dyDescent="0.2">
      <c r="H127" s="290"/>
      <c r="I127" s="290"/>
      <c r="J127" s="290"/>
      <c r="K127" s="290"/>
      <c r="L127" s="290"/>
      <c r="M127" s="290"/>
      <c r="N127" s="290"/>
      <c r="O127" s="290"/>
      <c r="P127" s="290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  <c r="AH127" s="290"/>
    </row>
    <row r="128" spans="8:34" x14ac:dyDescent="0.2">
      <c r="H128" s="290"/>
      <c r="I128" s="290"/>
      <c r="J128" s="290"/>
      <c r="K128" s="290"/>
      <c r="L128" s="290"/>
      <c r="M128" s="290"/>
      <c r="N128" s="290"/>
      <c r="O128" s="290"/>
      <c r="P128" s="290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  <c r="AH128" s="290"/>
    </row>
    <row r="129" spans="8:34" x14ac:dyDescent="0.2">
      <c r="H129" s="290"/>
      <c r="I129" s="290"/>
      <c r="J129" s="290"/>
      <c r="K129" s="290"/>
      <c r="L129" s="290"/>
      <c r="M129" s="290"/>
      <c r="N129" s="290"/>
      <c r="O129" s="290"/>
      <c r="P129" s="290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  <c r="AH129" s="290"/>
    </row>
    <row r="130" spans="8:34" x14ac:dyDescent="0.2">
      <c r="H130" s="290"/>
      <c r="I130" s="290"/>
      <c r="J130" s="290"/>
      <c r="K130" s="290"/>
      <c r="L130" s="290"/>
      <c r="M130" s="290"/>
      <c r="N130" s="290"/>
      <c r="O130" s="290"/>
      <c r="P130" s="290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  <c r="AH130" s="290"/>
    </row>
    <row r="131" spans="8:34" x14ac:dyDescent="0.2">
      <c r="H131" s="290"/>
      <c r="I131" s="290"/>
      <c r="J131" s="290"/>
      <c r="K131" s="290"/>
      <c r="L131" s="290"/>
      <c r="M131" s="290"/>
      <c r="N131" s="290"/>
      <c r="O131" s="290"/>
      <c r="P131" s="290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  <c r="AH131" s="290"/>
    </row>
    <row r="132" spans="8:34" x14ac:dyDescent="0.2">
      <c r="H132" s="290"/>
      <c r="I132" s="290"/>
      <c r="J132" s="290"/>
      <c r="K132" s="290"/>
      <c r="L132" s="290"/>
      <c r="M132" s="290"/>
      <c r="N132" s="290"/>
      <c r="O132" s="290"/>
      <c r="P132" s="290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  <c r="AH132" s="290"/>
    </row>
    <row r="133" spans="8:34" x14ac:dyDescent="0.2">
      <c r="H133" s="290"/>
      <c r="I133" s="290"/>
      <c r="J133" s="290"/>
      <c r="K133" s="290"/>
      <c r="L133" s="290"/>
      <c r="M133" s="290"/>
      <c r="N133" s="290"/>
      <c r="O133" s="290"/>
      <c r="P133" s="290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  <c r="AH133" s="290"/>
    </row>
    <row r="134" spans="8:34" x14ac:dyDescent="0.2">
      <c r="H134" s="290"/>
      <c r="I134" s="290"/>
      <c r="J134" s="290"/>
      <c r="K134" s="290"/>
      <c r="L134" s="290"/>
      <c r="M134" s="290"/>
      <c r="N134" s="290"/>
      <c r="O134" s="290"/>
      <c r="P134" s="290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  <c r="AH134" s="290"/>
    </row>
    <row r="135" spans="8:34" x14ac:dyDescent="0.2">
      <c r="H135" s="290"/>
      <c r="I135" s="290"/>
      <c r="J135" s="290"/>
      <c r="K135" s="290"/>
      <c r="L135" s="290"/>
      <c r="M135" s="290"/>
      <c r="N135" s="290"/>
      <c r="O135" s="290"/>
      <c r="P135" s="290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  <c r="AH135" s="290"/>
    </row>
    <row r="136" spans="8:34" x14ac:dyDescent="0.2">
      <c r="H136" s="290"/>
      <c r="I136" s="290"/>
      <c r="J136" s="290"/>
      <c r="K136" s="290"/>
      <c r="L136" s="290"/>
      <c r="M136" s="290"/>
      <c r="N136" s="290"/>
      <c r="O136" s="290"/>
      <c r="P136" s="290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  <c r="AH136" s="290"/>
    </row>
    <row r="137" spans="8:34" x14ac:dyDescent="0.2">
      <c r="H137" s="290"/>
      <c r="I137" s="290"/>
      <c r="J137" s="290"/>
      <c r="K137" s="290"/>
      <c r="L137" s="290"/>
      <c r="M137" s="290"/>
      <c r="N137" s="290"/>
      <c r="O137" s="290"/>
      <c r="P137" s="290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  <c r="AH137" s="290"/>
    </row>
    <row r="138" spans="8:34" x14ac:dyDescent="0.2">
      <c r="H138" s="290"/>
      <c r="I138" s="290"/>
      <c r="J138" s="290"/>
      <c r="K138" s="290"/>
      <c r="L138" s="290"/>
      <c r="M138" s="290"/>
      <c r="N138" s="290"/>
      <c r="O138" s="290"/>
      <c r="P138" s="290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  <c r="AH138" s="290"/>
    </row>
    <row r="139" spans="8:34" x14ac:dyDescent="0.2">
      <c r="H139" s="290"/>
      <c r="I139" s="290"/>
      <c r="J139" s="290"/>
      <c r="K139" s="290"/>
      <c r="L139" s="290"/>
      <c r="M139" s="290"/>
      <c r="N139" s="290"/>
      <c r="O139" s="290"/>
      <c r="P139" s="290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  <c r="AH139" s="290"/>
    </row>
    <row r="140" spans="8:34" x14ac:dyDescent="0.2">
      <c r="H140" s="290"/>
      <c r="I140" s="290"/>
      <c r="J140" s="290"/>
      <c r="K140" s="290"/>
      <c r="L140" s="290"/>
      <c r="M140" s="290"/>
      <c r="N140" s="290"/>
      <c r="O140" s="290"/>
      <c r="P140" s="290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  <c r="AH140" s="290"/>
    </row>
    <row r="141" spans="8:34" x14ac:dyDescent="0.2">
      <c r="H141" s="290"/>
      <c r="I141" s="290"/>
      <c r="J141" s="290"/>
      <c r="K141" s="290"/>
      <c r="L141" s="290"/>
      <c r="M141" s="290"/>
      <c r="N141" s="290"/>
      <c r="O141" s="290"/>
      <c r="P141" s="290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  <c r="AH141" s="290"/>
    </row>
    <row r="142" spans="8:34" x14ac:dyDescent="0.2">
      <c r="H142" s="290"/>
      <c r="I142" s="290"/>
      <c r="J142" s="290"/>
      <c r="K142" s="290"/>
      <c r="L142" s="290"/>
      <c r="M142" s="290"/>
      <c r="N142" s="290"/>
      <c r="O142" s="290"/>
      <c r="P142" s="290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  <c r="AH142" s="290"/>
    </row>
    <row r="143" spans="8:34" x14ac:dyDescent="0.2">
      <c r="H143" s="290"/>
      <c r="I143" s="290"/>
      <c r="J143" s="290"/>
      <c r="K143" s="290"/>
      <c r="L143" s="290"/>
      <c r="M143" s="290"/>
      <c r="N143" s="290"/>
      <c r="O143" s="290"/>
      <c r="P143" s="290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  <c r="AH143" s="290"/>
    </row>
    <row r="144" spans="8:34" x14ac:dyDescent="0.2">
      <c r="H144" s="290"/>
      <c r="I144" s="290"/>
      <c r="J144" s="290"/>
      <c r="K144" s="290"/>
      <c r="L144" s="290"/>
      <c r="M144" s="290"/>
      <c r="N144" s="290"/>
      <c r="O144" s="290"/>
      <c r="P144" s="290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  <c r="AH144" s="290"/>
    </row>
    <row r="145" spans="8:34" x14ac:dyDescent="0.2">
      <c r="H145" s="290"/>
      <c r="I145" s="290"/>
      <c r="J145" s="290"/>
      <c r="K145" s="290"/>
      <c r="L145" s="290"/>
      <c r="M145" s="290"/>
      <c r="N145" s="290"/>
      <c r="O145" s="290"/>
      <c r="P145" s="290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  <c r="AH145" s="290"/>
    </row>
    <row r="146" spans="8:34" x14ac:dyDescent="0.2">
      <c r="H146" s="290"/>
      <c r="I146" s="290"/>
      <c r="J146" s="290"/>
      <c r="K146" s="290"/>
      <c r="L146" s="290"/>
      <c r="M146" s="290"/>
      <c r="N146" s="290"/>
      <c r="O146" s="290"/>
      <c r="P146" s="290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  <c r="AH146" s="290"/>
    </row>
    <row r="147" spans="8:34" x14ac:dyDescent="0.2">
      <c r="H147" s="290"/>
      <c r="I147" s="290"/>
      <c r="J147" s="290"/>
      <c r="K147" s="290"/>
      <c r="L147" s="290"/>
      <c r="M147" s="290"/>
      <c r="N147" s="290"/>
      <c r="O147" s="290"/>
      <c r="P147" s="290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  <c r="AH147" s="290"/>
    </row>
    <row r="148" spans="8:34" x14ac:dyDescent="0.2">
      <c r="H148" s="290"/>
      <c r="I148" s="290"/>
      <c r="J148" s="290"/>
      <c r="K148" s="290"/>
      <c r="L148" s="290"/>
      <c r="M148" s="290"/>
      <c r="N148" s="290"/>
      <c r="O148" s="290"/>
      <c r="P148" s="290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  <c r="AH148" s="290"/>
    </row>
    <row r="149" spans="8:34" x14ac:dyDescent="0.2">
      <c r="H149" s="290"/>
      <c r="I149" s="290"/>
      <c r="J149" s="290"/>
      <c r="K149" s="290"/>
      <c r="L149" s="290"/>
      <c r="M149" s="290"/>
      <c r="N149" s="290"/>
      <c r="O149" s="290"/>
      <c r="P149" s="290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  <c r="AH149" s="290"/>
    </row>
    <row r="150" spans="8:34" x14ac:dyDescent="0.2">
      <c r="H150" s="290"/>
      <c r="I150" s="290"/>
      <c r="J150" s="290"/>
      <c r="K150" s="290"/>
      <c r="L150" s="290"/>
      <c r="M150" s="290"/>
      <c r="N150" s="290"/>
      <c r="O150" s="290"/>
      <c r="P150" s="290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  <c r="AH150" s="290"/>
    </row>
    <row r="151" spans="8:34" x14ac:dyDescent="0.2">
      <c r="H151" s="290"/>
      <c r="I151" s="290"/>
      <c r="J151" s="290"/>
      <c r="K151" s="290"/>
      <c r="L151" s="290"/>
      <c r="M151" s="290"/>
      <c r="N151" s="290"/>
      <c r="O151" s="290"/>
      <c r="P151" s="290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  <c r="AH151" s="290"/>
    </row>
    <row r="152" spans="8:34" x14ac:dyDescent="0.2">
      <c r="H152" s="290"/>
      <c r="I152" s="290"/>
      <c r="J152" s="290"/>
      <c r="K152" s="290"/>
      <c r="L152" s="290"/>
      <c r="M152" s="290"/>
      <c r="N152" s="290"/>
      <c r="O152" s="290"/>
      <c r="P152" s="290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  <c r="AH152" s="290"/>
    </row>
    <row r="153" spans="8:34" x14ac:dyDescent="0.2">
      <c r="H153" s="290"/>
      <c r="I153" s="290"/>
      <c r="J153" s="290"/>
      <c r="K153" s="290"/>
      <c r="L153" s="290"/>
      <c r="M153" s="290"/>
      <c r="N153" s="290"/>
      <c r="O153" s="290"/>
      <c r="P153" s="290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  <c r="AH153" s="290"/>
    </row>
    <row r="154" spans="8:34" x14ac:dyDescent="0.2">
      <c r="H154" s="290"/>
      <c r="I154" s="290"/>
      <c r="J154" s="290"/>
      <c r="K154" s="290"/>
      <c r="L154" s="290"/>
      <c r="M154" s="290"/>
      <c r="N154" s="290"/>
      <c r="O154" s="290"/>
      <c r="P154" s="290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  <c r="AH154" s="290"/>
    </row>
    <row r="155" spans="8:34" x14ac:dyDescent="0.2">
      <c r="H155" s="290"/>
      <c r="I155" s="290"/>
      <c r="J155" s="290"/>
      <c r="K155" s="290"/>
      <c r="L155" s="290"/>
      <c r="M155" s="290"/>
      <c r="N155" s="290"/>
      <c r="O155" s="290"/>
      <c r="P155" s="290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  <c r="AH155" s="290"/>
    </row>
    <row r="156" spans="8:34" x14ac:dyDescent="0.2">
      <c r="H156" s="290"/>
      <c r="I156" s="290"/>
      <c r="J156" s="290"/>
      <c r="K156" s="290"/>
      <c r="L156" s="290"/>
      <c r="M156" s="290"/>
      <c r="N156" s="290"/>
      <c r="O156" s="290"/>
      <c r="P156" s="290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  <c r="AH156" s="290"/>
    </row>
    <row r="157" spans="8:34" x14ac:dyDescent="0.2">
      <c r="H157" s="290"/>
      <c r="I157" s="290"/>
      <c r="J157" s="290"/>
      <c r="K157" s="290"/>
      <c r="L157" s="290"/>
      <c r="M157" s="290"/>
      <c r="N157" s="290"/>
      <c r="O157" s="290"/>
      <c r="P157" s="290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  <c r="AH157" s="290"/>
    </row>
    <row r="158" spans="8:34" x14ac:dyDescent="0.2">
      <c r="H158" s="290"/>
      <c r="I158" s="290"/>
      <c r="J158" s="290"/>
      <c r="K158" s="290"/>
      <c r="L158" s="290"/>
      <c r="M158" s="290"/>
      <c r="N158" s="290"/>
      <c r="O158" s="290"/>
      <c r="P158" s="290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  <c r="AH158" s="290"/>
    </row>
    <row r="159" spans="8:34" x14ac:dyDescent="0.2">
      <c r="H159" s="290"/>
      <c r="I159" s="290"/>
      <c r="J159" s="290"/>
      <c r="K159" s="290"/>
      <c r="L159" s="290"/>
      <c r="M159" s="290"/>
      <c r="N159" s="290"/>
      <c r="O159" s="290"/>
      <c r="P159" s="290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  <c r="AH159" s="290"/>
    </row>
    <row r="160" spans="8:34" x14ac:dyDescent="0.2">
      <c r="H160" s="290"/>
      <c r="I160" s="290"/>
      <c r="J160" s="290"/>
      <c r="K160" s="290"/>
      <c r="L160" s="290"/>
      <c r="M160" s="290"/>
      <c r="N160" s="290"/>
      <c r="O160" s="290"/>
      <c r="P160" s="290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  <c r="AH160" s="290"/>
    </row>
    <row r="161" spans="8:34" x14ac:dyDescent="0.2">
      <c r="H161" s="290"/>
      <c r="I161" s="290"/>
      <c r="J161" s="290"/>
      <c r="K161" s="290"/>
      <c r="L161" s="290"/>
      <c r="M161" s="290"/>
      <c r="N161" s="290"/>
      <c r="O161" s="290"/>
      <c r="P161" s="290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  <c r="AH161" s="290"/>
    </row>
    <row r="162" spans="8:34" x14ac:dyDescent="0.2">
      <c r="H162" s="290"/>
      <c r="I162" s="290"/>
      <c r="J162" s="290"/>
      <c r="K162" s="290"/>
      <c r="L162" s="290"/>
      <c r="M162" s="290"/>
      <c r="N162" s="290"/>
      <c r="O162" s="290"/>
      <c r="P162" s="290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  <c r="AH162" s="290"/>
    </row>
    <row r="163" spans="8:34" x14ac:dyDescent="0.2">
      <c r="H163" s="290"/>
      <c r="I163" s="290"/>
      <c r="J163" s="290"/>
      <c r="K163" s="290"/>
      <c r="L163" s="290"/>
      <c r="M163" s="290"/>
      <c r="N163" s="290"/>
      <c r="O163" s="290"/>
      <c r="P163" s="290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  <c r="AH163" s="290"/>
    </row>
    <row r="164" spans="8:34" x14ac:dyDescent="0.2">
      <c r="H164" s="290"/>
      <c r="I164" s="290"/>
      <c r="J164" s="290"/>
      <c r="K164" s="290"/>
      <c r="L164" s="290"/>
      <c r="M164" s="290"/>
      <c r="N164" s="290"/>
      <c r="O164" s="290"/>
      <c r="P164" s="290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  <c r="AH164" s="290"/>
    </row>
    <row r="165" spans="8:34" x14ac:dyDescent="0.2">
      <c r="H165" s="290"/>
      <c r="I165" s="290"/>
      <c r="J165" s="290"/>
      <c r="K165" s="290"/>
      <c r="L165" s="290"/>
      <c r="M165" s="290"/>
      <c r="N165" s="290"/>
      <c r="O165" s="290"/>
      <c r="P165" s="290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  <c r="AH165" s="290"/>
    </row>
    <row r="166" spans="8:34" x14ac:dyDescent="0.2">
      <c r="H166" s="290"/>
      <c r="I166" s="290"/>
      <c r="J166" s="290"/>
      <c r="K166" s="290"/>
      <c r="L166" s="290"/>
      <c r="M166" s="290"/>
      <c r="N166" s="290"/>
      <c r="O166" s="290"/>
      <c r="P166" s="290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  <c r="AH166" s="290"/>
    </row>
    <row r="167" spans="8:34" x14ac:dyDescent="0.2">
      <c r="H167" s="290"/>
      <c r="I167" s="290"/>
      <c r="J167" s="290"/>
      <c r="K167" s="290"/>
      <c r="L167" s="290"/>
      <c r="M167" s="290"/>
      <c r="N167" s="290"/>
      <c r="O167" s="290"/>
      <c r="P167" s="290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  <c r="AH167" s="290"/>
    </row>
    <row r="168" spans="8:34" x14ac:dyDescent="0.2">
      <c r="H168" s="290"/>
      <c r="I168" s="290"/>
      <c r="J168" s="290"/>
      <c r="K168" s="290"/>
      <c r="L168" s="290"/>
      <c r="M168" s="290"/>
      <c r="N168" s="290"/>
      <c r="O168" s="290"/>
      <c r="P168" s="290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  <c r="AH168" s="290"/>
    </row>
    <row r="169" spans="8:34" x14ac:dyDescent="0.2">
      <c r="H169" s="290"/>
      <c r="I169" s="290"/>
      <c r="J169" s="290"/>
      <c r="K169" s="290"/>
      <c r="L169" s="290"/>
      <c r="M169" s="290"/>
      <c r="N169" s="290"/>
      <c r="O169" s="290"/>
      <c r="P169" s="290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  <c r="AH169" s="290"/>
    </row>
    <row r="170" spans="8:34" x14ac:dyDescent="0.2">
      <c r="H170" s="290"/>
      <c r="I170" s="290"/>
      <c r="J170" s="290"/>
      <c r="K170" s="290"/>
      <c r="L170" s="290"/>
      <c r="M170" s="290"/>
      <c r="N170" s="290"/>
      <c r="O170" s="290"/>
      <c r="P170" s="290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  <c r="AH170" s="290"/>
    </row>
    <row r="171" spans="8:34" x14ac:dyDescent="0.2">
      <c r="H171" s="290"/>
      <c r="I171" s="290"/>
      <c r="J171" s="290"/>
      <c r="K171" s="290"/>
      <c r="L171" s="290"/>
      <c r="M171" s="290"/>
      <c r="N171" s="290"/>
      <c r="O171" s="290"/>
      <c r="P171" s="290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  <c r="AH171" s="290"/>
    </row>
    <row r="172" spans="8:34" x14ac:dyDescent="0.2">
      <c r="H172" s="290"/>
      <c r="I172" s="290"/>
      <c r="J172" s="290"/>
      <c r="K172" s="290"/>
      <c r="L172" s="290"/>
      <c r="M172" s="290"/>
      <c r="N172" s="290"/>
      <c r="O172" s="290"/>
      <c r="P172" s="290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  <c r="AH172" s="290"/>
    </row>
    <row r="173" spans="8:34" x14ac:dyDescent="0.2">
      <c r="H173" s="290"/>
      <c r="I173" s="290"/>
      <c r="J173" s="290"/>
      <c r="K173" s="290"/>
      <c r="L173" s="290"/>
      <c r="M173" s="290"/>
      <c r="N173" s="290"/>
      <c r="O173" s="290"/>
      <c r="P173" s="290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  <c r="AH173" s="290"/>
    </row>
    <row r="174" spans="8:34" x14ac:dyDescent="0.2">
      <c r="H174" s="290"/>
      <c r="I174" s="290"/>
      <c r="J174" s="290"/>
      <c r="K174" s="290"/>
      <c r="L174" s="290"/>
      <c r="M174" s="290"/>
      <c r="N174" s="290"/>
      <c r="O174" s="290"/>
      <c r="P174" s="290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  <c r="AH174" s="290"/>
    </row>
    <row r="175" spans="8:34" x14ac:dyDescent="0.2">
      <c r="H175" s="290"/>
      <c r="I175" s="290"/>
      <c r="J175" s="290"/>
      <c r="K175" s="290"/>
      <c r="L175" s="290"/>
      <c r="M175" s="290"/>
      <c r="N175" s="290"/>
      <c r="O175" s="290"/>
      <c r="P175" s="290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  <c r="AH175" s="290"/>
    </row>
    <row r="176" spans="8:34" x14ac:dyDescent="0.2">
      <c r="H176" s="290"/>
      <c r="I176" s="290"/>
      <c r="J176" s="290"/>
      <c r="K176" s="290"/>
      <c r="L176" s="290"/>
      <c r="M176" s="290"/>
      <c r="N176" s="290"/>
      <c r="O176" s="290"/>
      <c r="P176" s="290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  <c r="AH176" s="290"/>
    </row>
    <row r="177" spans="8:34" x14ac:dyDescent="0.2">
      <c r="H177" s="290"/>
      <c r="I177" s="290"/>
      <c r="J177" s="290"/>
      <c r="K177" s="290"/>
      <c r="L177" s="290"/>
      <c r="M177" s="290"/>
      <c r="N177" s="290"/>
      <c r="O177" s="290"/>
      <c r="P177" s="290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  <c r="AH177" s="290"/>
    </row>
    <row r="178" spans="8:34" x14ac:dyDescent="0.2">
      <c r="H178" s="290"/>
      <c r="I178" s="290"/>
      <c r="J178" s="290"/>
      <c r="K178" s="290"/>
      <c r="L178" s="290"/>
      <c r="M178" s="290"/>
      <c r="N178" s="290"/>
      <c r="O178" s="290"/>
      <c r="P178" s="290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  <c r="AH178" s="290"/>
    </row>
    <row r="179" spans="8:34" x14ac:dyDescent="0.2">
      <c r="H179" s="290"/>
      <c r="I179" s="290"/>
      <c r="J179" s="290"/>
      <c r="K179" s="290"/>
      <c r="L179" s="290"/>
      <c r="M179" s="290"/>
      <c r="N179" s="290"/>
      <c r="O179" s="290"/>
      <c r="P179" s="290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  <c r="AH179" s="290"/>
    </row>
    <row r="180" spans="8:34" x14ac:dyDescent="0.2">
      <c r="H180" s="290"/>
      <c r="I180" s="290"/>
      <c r="J180" s="290"/>
      <c r="K180" s="290"/>
      <c r="L180" s="290"/>
      <c r="M180" s="290"/>
      <c r="N180" s="290"/>
      <c r="O180" s="290"/>
      <c r="P180" s="290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  <c r="AH180" s="290"/>
    </row>
    <row r="181" spans="8:34" x14ac:dyDescent="0.2">
      <c r="H181" s="290"/>
      <c r="I181" s="290"/>
      <c r="J181" s="290"/>
      <c r="K181" s="290"/>
      <c r="L181" s="290"/>
      <c r="M181" s="290"/>
      <c r="N181" s="290"/>
      <c r="O181" s="290"/>
      <c r="P181" s="290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  <c r="AH181" s="290"/>
    </row>
    <row r="182" spans="8:34" x14ac:dyDescent="0.2">
      <c r="H182" s="290"/>
      <c r="I182" s="290"/>
      <c r="J182" s="290"/>
      <c r="K182" s="290"/>
      <c r="L182" s="290"/>
      <c r="M182" s="290"/>
      <c r="N182" s="290"/>
      <c r="O182" s="290"/>
      <c r="P182" s="290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  <c r="AH182" s="290"/>
    </row>
    <row r="183" spans="8:34" x14ac:dyDescent="0.2">
      <c r="H183" s="290"/>
      <c r="I183" s="290"/>
      <c r="J183" s="290"/>
      <c r="K183" s="290"/>
      <c r="L183" s="290"/>
      <c r="M183" s="290"/>
      <c r="N183" s="290"/>
      <c r="O183" s="290"/>
      <c r="P183" s="290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  <c r="AH183" s="290"/>
    </row>
    <row r="184" spans="8:34" x14ac:dyDescent="0.2">
      <c r="H184" s="290"/>
      <c r="I184" s="290"/>
      <c r="J184" s="290"/>
      <c r="K184" s="290"/>
      <c r="L184" s="290"/>
      <c r="M184" s="290"/>
      <c r="N184" s="290"/>
      <c r="O184" s="290"/>
      <c r="P184" s="290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  <c r="AH184" s="290"/>
    </row>
    <row r="185" spans="8:34" x14ac:dyDescent="0.2">
      <c r="H185" s="290"/>
      <c r="I185" s="290"/>
      <c r="J185" s="290"/>
      <c r="K185" s="290"/>
      <c r="L185" s="290"/>
      <c r="M185" s="290"/>
      <c r="N185" s="290"/>
      <c r="O185" s="290"/>
      <c r="P185" s="290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  <c r="AH185" s="290"/>
    </row>
    <row r="186" spans="8:34" x14ac:dyDescent="0.2">
      <c r="H186" s="290"/>
      <c r="I186" s="290"/>
      <c r="J186" s="290"/>
      <c r="K186" s="290"/>
      <c r="L186" s="290"/>
      <c r="M186" s="290"/>
      <c r="N186" s="290"/>
      <c r="O186" s="290"/>
      <c r="P186" s="290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  <c r="AH186" s="290"/>
    </row>
    <row r="187" spans="8:34" x14ac:dyDescent="0.2">
      <c r="H187" s="290"/>
      <c r="I187" s="290"/>
      <c r="J187" s="290"/>
      <c r="K187" s="290"/>
      <c r="L187" s="290"/>
      <c r="M187" s="290"/>
      <c r="N187" s="290"/>
      <c r="O187" s="290"/>
      <c r="P187" s="290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  <c r="AH187" s="290"/>
    </row>
    <row r="188" spans="8:34" x14ac:dyDescent="0.2">
      <c r="H188" s="290"/>
      <c r="I188" s="290"/>
      <c r="J188" s="290"/>
      <c r="K188" s="290"/>
      <c r="L188" s="290"/>
      <c r="M188" s="290"/>
      <c r="N188" s="290"/>
      <c r="O188" s="290"/>
      <c r="P188" s="290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  <c r="AH188" s="290"/>
    </row>
    <row r="189" spans="8:34" x14ac:dyDescent="0.2">
      <c r="H189" s="290"/>
      <c r="I189" s="290"/>
      <c r="J189" s="290"/>
      <c r="K189" s="290"/>
      <c r="L189" s="290"/>
      <c r="M189" s="290"/>
      <c r="N189" s="290"/>
      <c r="O189" s="290"/>
      <c r="P189" s="290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  <c r="AH189" s="290"/>
    </row>
    <row r="190" spans="8:34" x14ac:dyDescent="0.2">
      <c r="H190" s="290"/>
      <c r="I190" s="290"/>
      <c r="J190" s="290"/>
      <c r="K190" s="290"/>
      <c r="L190" s="290"/>
      <c r="M190" s="290"/>
      <c r="N190" s="290"/>
      <c r="O190" s="290"/>
      <c r="P190" s="290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  <c r="AH190" s="290"/>
    </row>
    <row r="191" spans="8:34" x14ac:dyDescent="0.2">
      <c r="H191" s="290"/>
      <c r="I191" s="290"/>
      <c r="J191" s="290"/>
      <c r="K191" s="290"/>
      <c r="L191" s="290"/>
      <c r="M191" s="290"/>
      <c r="N191" s="290"/>
      <c r="O191" s="290"/>
      <c r="P191" s="290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  <c r="AH191" s="290"/>
    </row>
    <row r="192" spans="8:34" x14ac:dyDescent="0.2">
      <c r="H192" s="290"/>
      <c r="I192" s="290"/>
      <c r="J192" s="290"/>
      <c r="K192" s="290"/>
      <c r="L192" s="290"/>
      <c r="M192" s="290"/>
      <c r="N192" s="290"/>
      <c r="O192" s="290"/>
      <c r="P192" s="290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  <c r="AH192" s="290"/>
    </row>
    <row r="193" spans="8:34" x14ac:dyDescent="0.2">
      <c r="H193" s="290"/>
      <c r="I193" s="290"/>
      <c r="J193" s="290"/>
      <c r="K193" s="290"/>
      <c r="L193" s="290"/>
      <c r="M193" s="290"/>
      <c r="N193" s="290"/>
      <c r="O193" s="290"/>
      <c r="P193" s="290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  <c r="AH193" s="290"/>
    </row>
    <row r="194" spans="8:34" x14ac:dyDescent="0.2">
      <c r="H194" s="290"/>
      <c r="I194" s="290"/>
      <c r="J194" s="290"/>
      <c r="K194" s="290"/>
      <c r="L194" s="290"/>
      <c r="M194" s="290"/>
      <c r="N194" s="290"/>
      <c r="O194" s="290"/>
      <c r="P194" s="290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  <c r="AH194" s="290"/>
    </row>
    <row r="195" spans="8:34" x14ac:dyDescent="0.2">
      <c r="H195" s="290"/>
      <c r="I195" s="290"/>
      <c r="J195" s="290"/>
      <c r="K195" s="290"/>
      <c r="L195" s="290"/>
      <c r="M195" s="290"/>
      <c r="N195" s="290"/>
      <c r="O195" s="290"/>
      <c r="P195" s="290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  <c r="AH195" s="290"/>
    </row>
    <row r="196" spans="8:34" x14ac:dyDescent="0.2">
      <c r="H196" s="290"/>
      <c r="I196" s="290"/>
      <c r="J196" s="290"/>
      <c r="K196" s="290"/>
      <c r="L196" s="290"/>
      <c r="M196" s="290"/>
      <c r="N196" s="290"/>
      <c r="O196" s="290"/>
      <c r="P196" s="290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  <c r="AH196" s="290"/>
    </row>
    <row r="197" spans="8:34" x14ac:dyDescent="0.2">
      <c r="H197" s="290"/>
      <c r="I197" s="290"/>
      <c r="J197" s="290"/>
      <c r="K197" s="290"/>
      <c r="L197" s="290"/>
      <c r="M197" s="290"/>
      <c r="N197" s="290"/>
      <c r="O197" s="290"/>
      <c r="P197" s="290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  <c r="AH197" s="290"/>
    </row>
    <row r="198" spans="8:34" x14ac:dyDescent="0.2">
      <c r="H198" s="290"/>
      <c r="I198" s="290"/>
      <c r="J198" s="290"/>
      <c r="K198" s="290"/>
      <c r="L198" s="290"/>
      <c r="M198" s="290"/>
      <c r="N198" s="290"/>
      <c r="O198" s="290"/>
      <c r="P198" s="290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  <c r="AH198" s="290"/>
    </row>
    <row r="199" spans="8:34" x14ac:dyDescent="0.2">
      <c r="H199" s="290"/>
      <c r="I199" s="290"/>
      <c r="J199" s="290"/>
      <c r="K199" s="290"/>
      <c r="L199" s="290"/>
      <c r="M199" s="290"/>
      <c r="N199" s="290"/>
      <c r="O199" s="290"/>
      <c r="P199" s="290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  <c r="AH199" s="290"/>
    </row>
    <row r="200" spans="8:34" x14ac:dyDescent="0.2">
      <c r="H200" s="290"/>
      <c r="I200" s="290"/>
      <c r="J200" s="290"/>
      <c r="K200" s="290"/>
      <c r="L200" s="290"/>
      <c r="M200" s="290"/>
      <c r="N200" s="290"/>
      <c r="O200" s="290"/>
      <c r="P200" s="290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  <c r="AH200" s="290"/>
    </row>
    <row r="201" spans="8:34" x14ac:dyDescent="0.2">
      <c r="H201" s="290"/>
      <c r="I201" s="290"/>
      <c r="J201" s="290"/>
      <c r="K201" s="290"/>
      <c r="L201" s="290"/>
      <c r="M201" s="290"/>
      <c r="N201" s="290"/>
      <c r="O201" s="290"/>
      <c r="P201" s="290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  <c r="AH201" s="290"/>
    </row>
    <row r="202" spans="8:34" x14ac:dyDescent="0.2">
      <c r="H202" s="290"/>
      <c r="I202" s="290"/>
      <c r="J202" s="290"/>
      <c r="K202" s="290"/>
      <c r="L202" s="290"/>
      <c r="M202" s="290"/>
      <c r="N202" s="290"/>
      <c r="O202" s="290"/>
      <c r="P202" s="290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  <c r="AH202" s="290"/>
    </row>
    <row r="203" spans="8:34" x14ac:dyDescent="0.2">
      <c r="H203" s="290"/>
      <c r="I203" s="290"/>
      <c r="J203" s="290"/>
      <c r="K203" s="290"/>
      <c r="L203" s="290"/>
      <c r="M203" s="290"/>
      <c r="N203" s="290"/>
      <c r="O203" s="290"/>
      <c r="P203" s="290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  <c r="AH203" s="290"/>
    </row>
    <row r="204" spans="8:34" x14ac:dyDescent="0.2">
      <c r="H204" s="290"/>
      <c r="I204" s="290"/>
      <c r="J204" s="290"/>
      <c r="K204" s="290"/>
      <c r="L204" s="290"/>
      <c r="M204" s="290"/>
      <c r="N204" s="290"/>
      <c r="O204" s="290"/>
      <c r="P204" s="290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  <c r="AH204" s="290"/>
    </row>
    <row r="205" spans="8:34" x14ac:dyDescent="0.2">
      <c r="H205" s="290"/>
      <c r="I205" s="290"/>
      <c r="J205" s="290"/>
      <c r="K205" s="290"/>
      <c r="L205" s="290"/>
      <c r="M205" s="290"/>
      <c r="N205" s="290"/>
      <c r="O205" s="290"/>
      <c r="P205" s="290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  <c r="AH205" s="290"/>
    </row>
    <row r="206" spans="8:34" x14ac:dyDescent="0.2">
      <c r="H206" s="290"/>
      <c r="I206" s="290"/>
      <c r="J206" s="290"/>
      <c r="K206" s="290"/>
      <c r="L206" s="290"/>
      <c r="M206" s="290"/>
      <c r="N206" s="290"/>
      <c r="O206" s="290"/>
      <c r="P206" s="290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  <c r="AH206" s="290"/>
    </row>
    <row r="207" spans="8:34" x14ac:dyDescent="0.2">
      <c r="H207" s="290"/>
      <c r="I207" s="290"/>
      <c r="J207" s="290"/>
      <c r="K207" s="290"/>
      <c r="L207" s="290"/>
      <c r="M207" s="290"/>
      <c r="N207" s="290"/>
      <c r="O207" s="290"/>
      <c r="P207" s="290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  <c r="AH207" s="290"/>
    </row>
    <row r="208" spans="8:34" x14ac:dyDescent="0.2">
      <c r="H208" s="290"/>
      <c r="I208" s="290"/>
      <c r="J208" s="290"/>
      <c r="K208" s="290"/>
      <c r="L208" s="290"/>
      <c r="M208" s="290"/>
      <c r="N208" s="290"/>
      <c r="O208" s="290"/>
      <c r="P208" s="290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  <c r="AH208" s="290"/>
    </row>
    <row r="209" spans="8:34" x14ac:dyDescent="0.2">
      <c r="H209" s="290"/>
      <c r="I209" s="290"/>
      <c r="J209" s="290"/>
      <c r="K209" s="290"/>
      <c r="L209" s="290"/>
      <c r="M209" s="290"/>
      <c r="N209" s="290"/>
      <c r="O209" s="290"/>
      <c r="P209" s="290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  <c r="AH209" s="290"/>
    </row>
    <row r="210" spans="8:34" x14ac:dyDescent="0.2">
      <c r="H210" s="290"/>
      <c r="I210" s="290"/>
      <c r="J210" s="290"/>
      <c r="K210" s="290"/>
      <c r="L210" s="290"/>
      <c r="M210" s="290"/>
      <c r="N210" s="290"/>
      <c r="O210" s="290"/>
      <c r="P210" s="290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  <c r="AH210" s="290"/>
    </row>
    <row r="211" spans="8:34" x14ac:dyDescent="0.2">
      <c r="H211" s="290"/>
      <c r="I211" s="290"/>
      <c r="J211" s="290"/>
      <c r="K211" s="290"/>
      <c r="L211" s="290"/>
      <c r="M211" s="290"/>
      <c r="N211" s="290"/>
      <c r="O211" s="290"/>
      <c r="P211" s="290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  <c r="AH211" s="290"/>
    </row>
    <row r="212" spans="8:34" x14ac:dyDescent="0.2">
      <c r="H212" s="290"/>
      <c r="I212" s="290"/>
      <c r="J212" s="290"/>
      <c r="K212" s="290"/>
      <c r="L212" s="290"/>
      <c r="M212" s="290"/>
      <c r="N212" s="290"/>
      <c r="O212" s="290"/>
      <c r="P212" s="290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  <c r="AH212" s="290"/>
    </row>
    <row r="213" spans="8:34" x14ac:dyDescent="0.2">
      <c r="H213" s="290"/>
      <c r="I213" s="290"/>
      <c r="J213" s="290"/>
      <c r="K213" s="290"/>
      <c r="L213" s="290"/>
      <c r="M213" s="290"/>
      <c r="N213" s="290"/>
      <c r="O213" s="290"/>
      <c r="P213" s="290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  <c r="AH213" s="290"/>
    </row>
    <row r="214" spans="8:34" x14ac:dyDescent="0.2">
      <c r="H214" s="290"/>
      <c r="I214" s="290"/>
      <c r="J214" s="290"/>
      <c r="K214" s="290"/>
      <c r="L214" s="290"/>
      <c r="M214" s="290"/>
      <c r="N214" s="290"/>
      <c r="O214" s="290"/>
      <c r="P214" s="290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  <c r="AH214" s="290"/>
    </row>
    <row r="215" spans="8:34" x14ac:dyDescent="0.2">
      <c r="H215" s="290"/>
      <c r="I215" s="290"/>
      <c r="J215" s="290"/>
      <c r="K215" s="290"/>
      <c r="L215" s="290"/>
      <c r="M215" s="290"/>
      <c r="N215" s="290"/>
      <c r="O215" s="290"/>
      <c r="P215" s="290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  <c r="AH215" s="290"/>
    </row>
    <row r="216" spans="8:34" x14ac:dyDescent="0.2">
      <c r="H216" s="290"/>
      <c r="I216" s="290"/>
      <c r="J216" s="290"/>
      <c r="K216" s="290"/>
      <c r="L216" s="290"/>
      <c r="M216" s="290"/>
      <c r="N216" s="290"/>
      <c r="O216" s="290"/>
      <c r="P216" s="290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  <c r="AH216" s="290"/>
    </row>
    <row r="217" spans="8:34" x14ac:dyDescent="0.2">
      <c r="H217" s="290"/>
      <c r="I217" s="290"/>
      <c r="J217" s="290"/>
      <c r="K217" s="290"/>
      <c r="L217" s="290"/>
      <c r="M217" s="290"/>
      <c r="N217" s="290"/>
      <c r="O217" s="290"/>
      <c r="P217" s="290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  <c r="AH217" s="290"/>
    </row>
    <row r="218" spans="8:34" x14ac:dyDescent="0.2">
      <c r="H218" s="290"/>
      <c r="I218" s="290"/>
      <c r="J218" s="290"/>
      <c r="K218" s="290"/>
      <c r="L218" s="290"/>
      <c r="M218" s="290"/>
      <c r="N218" s="290"/>
      <c r="O218" s="290"/>
      <c r="P218" s="290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  <c r="AH218" s="290"/>
    </row>
    <row r="219" spans="8:34" x14ac:dyDescent="0.2">
      <c r="H219" s="290"/>
      <c r="I219" s="290"/>
      <c r="J219" s="290"/>
      <c r="K219" s="290"/>
      <c r="L219" s="290"/>
      <c r="M219" s="290"/>
      <c r="N219" s="290"/>
      <c r="O219" s="290"/>
      <c r="P219" s="290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  <c r="AH219" s="290"/>
    </row>
    <row r="220" spans="8:34" x14ac:dyDescent="0.2">
      <c r="H220" s="290"/>
      <c r="I220" s="290"/>
      <c r="J220" s="290"/>
      <c r="K220" s="290"/>
      <c r="L220" s="290"/>
      <c r="M220" s="290"/>
      <c r="N220" s="290"/>
      <c r="O220" s="290"/>
      <c r="P220" s="290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  <c r="AH220" s="290"/>
    </row>
    <row r="221" spans="8:34" x14ac:dyDescent="0.2">
      <c r="H221" s="290"/>
      <c r="I221" s="290"/>
      <c r="J221" s="290"/>
      <c r="K221" s="290"/>
      <c r="L221" s="290"/>
      <c r="M221" s="290"/>
      <c r="N221" s="290"/>
      <c r="O221" s="290"/>
      <c r="P221" s="290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  <c r="AH221" s="290"/>
    </row>
    <row r="222" spans="8:34" x14ac:dyDescent="0.2">
      <c r="H222" s="290"/>
      <c r="I222" s="290"/>
      <c r="J222" s="290"/>
      <c r="K222" s="290"/>
      <c r="L222" s="290"/>
      <c r="M222" s="290"/>
      <c r="N222" s="290"/>
      <c r="O222" s="290"/>
      <c r="P222" s="290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  <c r="AH222" s="290"/>
    </row>
    <row r="223" spans="8:34" x14ac:dyDescent="0.2">
      <c r="H223" s="290"/>
      <c r="I223" s="290"/>
      <c r="J223" s="290"/>
      <c r="K223" s="290"/>
      <c r="L223" s="290"/>
      <c r="M223" s="290"/>
      <c r="N223" s="290"/>
      <c r="O223" s="290"/>
      <c r="P223" s="290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  <c r="AH223" s="290"/>
    </row>
    <row r="224" spans="8:34" x14ac:dyDescent="0.2">
      <c r="H224" s="290"/>
      <c r="I224" s="290"/>
      <c r="J224" s="290"/>
      <c r="K224" s="290"/>
      <c r="L224" s="290"/>
      <c r="M224" s="290"/>
      <c r="N224" s="290"/>
      <c r="O224" s="290"/>
      <c r="P224" s="290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  <c r="AH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211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5" t="s">
        <v>213</v>
      </c>
      <c r="C3" s="208"/>
      <c r="D3" s="445" t="s">
        <v>214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212</v>
      </c>
      <c r="C4" s="32"/>
      <c r="D4" s="231" t="s">
        <v>215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-2143</v>
      </c>
      <c r="C6" s="24">
        <v>-1613</v>
      </c>
      <c r="D6" s="24">
        <v>-799</v>
      </c>
      <c r="E6" s="24">
        <v>-2000</v>
      </c>
      <c r="F6" s="24">
        <f>+C6+E6-B6-D6</f>
        <v>-671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-2506</v>
      </c>
      <c r="C7" s="24">
        <v>-1613</v>
      </c>
      <c r="D7" s="24">
        <v>-2650</v>
      </c>
      <c r="E7" s="24">
        <v>-2000</v>
      </c>
      <c r="F7" s="24">
        <f t="shared" ref="F7:F36" si="0">+C7+E7-B7-D7</f>
        <v>1543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-2105</v>
      </c>
      <c r="C8" s="24">
        <v>-1613</v>
      </c>
      <c r="D8" s="24">
        <v>-2614</v>
      </c>
      <c r="E8" s="24">
        <v>-2000</v>
      </c>
      <c r="F8" s="24">
        <f t="shared" si="0"/>
        <v>1106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-2259</v>
      </c>
      <c r="C9" s="24">
        <v>-1613</v>
      </c>
      <c r="D9" s="51">
        <v>-2483</v>
      </c>
      <c r="E9" s="24">
        <v>-2000</v>
      </c>
      <c r="F9" s="24">
        <f t="shared" si="0"/>
        <v>1129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-1911</v>
      </c>
      <c r="C10" s="24">
        <v>-1613</v>
      </c>
      <c r="D10" s="51">
        <v>-2346</v>
      </c>
      <c r="E10" s="24">
        <v>-2000</v>
      </c>
      <c r="F10" s="24">
        <f t="shared" si="0"/>
        <v>644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-2267</v>
      </c>
      <c r="C11" s="24">
        <v>-1613</v>
      </c>
      <c r="D11" s="24">
        <v>-807</v>
      </c>
      <c r="E11" s="24">
        <v>-2000</v>
      </c>
      <c r="F11" s="24">
        <f t="shared" si="0"/>
        <v>-539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-2257</v>
      </c>
      <c r="C12" s="24">
        <v>-1613</v>
      </c>
      <c r="D12" s="51">
        <v>-2535</v>
      </c>
      <c r="E12" s="24">
        <v>-2000</v>
      </c>
      <c r="F12" s="24">
        <f t="shared" si="0"/>
        <v>1179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-1680</v>
      </c>
      <c r="C13" s="24">
        <v>-1613</v>
      </c>
      <c r="D13" s="24">
        <v>-2454</v>
      </c>
      <c r="E13" s="24">
        <v>-2000</v>
      </c>
      <c r="F13" s="24">
        <f t="shared" si="0"/>
        <v>521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-1667</v>
      </c>
      <c r="C14" s="24">
        <v>-1613</v>
      </c>
      <c r="D14" s="24">
        <v>-2378</v>
      </c>
      <c r="E14" s="24">
        <v>-2000</v>
      </c>
      <c r="F14" s="24">
        <f t="shared" si="0"/>
        <v>432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-1953</v>
      </c>
      <c r="C15" s="24">
        <v>-1613</v>
      </c>
      <c r="D15" s="24">
        <v>-2547</v>
      </c>
      <c r="E15" s="24">
        <v>-2000</v>
      </c>
      <c r="F15" s="24">
        <f t="shared" si="0"/>
        <v>887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-2326</v>
      </c>
      <c r="C16" s="24">
        <v>-1613</v>
      </c>
      <c r="D16" s="24">
        <v>-2312</v>
      </c>
      <c r="E16" s="24">
        <v>-2000</v>
      </c>
      <c r="F16" s="24">
        <f t="shared" si="0"/>
        <v>1025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-2069</v>
      </c>
      <c r="C17" s="24">
        <v>-1613</v>
      </c>
      <c r="D17" s="24">
        <v>-136</v>
      </c>
      <c r="E17" s="24">
        <v>-2000</v>
      </c>
      <c r="F17" s="24">
        <f t="shared" si="0"/>
        <v>-1408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-2204</v>
      </c>
      <c r="C18" s="24">
        <v>-1613</v>
      </c>
      <c r="D18" s="24">
        <v>-781</v>
      </c>
      <c r="E18" s="24">
        <v>-2000</v>
      </c>
      <c r="F18" s="24">
        <f t="shared" si="0"/>
        <v>-628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-2256</v>
      </c>
      <c r="C19" s="24">
        <v>-1613</v>
      </c>
      <c r="D19" s="24">
        <v>-2627</v>
      </c>
      <c r="E19" s="24">
        <v>-2000</v>
      </c>
      <c r="F19" s="24">
        <f t="shared" si="0"/>
        <v>1270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-2266</v>
      </c>
      <c r="C20" s="24">
        <v>-1613</v>
      </c>
      <c r="D20" s="24">
        <v>-2448</v>
      </c>
      <c r="E20" s="24"/>
      <c r="F20" s="24">
        <f t="shared" si="0"/>
        <v>3101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-2143</v>
      </c>
      <c r="C21" s="24">
        <v>-1613</v>
      </c>
      <c r="D21" s="24">
        <v>-2667</v>
      </c>
      <c r="E21" s="24">
        <v>-2000</v>
      </c>
      <c r="F21" s="24">
        <f t="shared" si="0"/>
        <v>1197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-2422</v>
      </c>
      <c r="C22" s="24">
        <v>-1613</v>
      </c>
      <c r="D22" s="24">
        <v>-2536</v>
      </c>
      <c r="E22" s="24">
        <v>-2000</v>
      </c>
      <c r="F22" s="24">
        <f t="shared" si="0"/>
        <v>1345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-2214</v>
      </c>
      <c r="C23" s="24">
        <v>-1613</v>
      </c>
      <c r="D23" s="24">
        <v>-2557</v>
      </c>
      <c r="E23" s="24">
        <v>-2000</v>
      </c>
      <c r="F23" s="24">
        <f t="shared" si="0"/>
        <v>1158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-2318</v>
      </c>
      <c r="C24" s="24">
        <v>-1613</v>
      </c>
      <c r="D24" s="24">
        <v>-2477</v>
      </c>
      <c r="E24" s="24">
        <v>-2000</v>
      </c>
      <c r="F24" s="24">
        <f t="shared" si="0"/>
        <v>1182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-2323</v>
      </c>
      <c r="C25" s="24">
        <v>-1613</v>
      </c>
      <c r="D25" s="24">
        <v>-723</v>
      </c>
      <c r="E25" s="24">
        <v>-2000</v>
      </c>
      <c r="F25" s="24">
        <f t="shared" si="0"/>
        <v>-567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>
        <v>-834</v>
      </c>
      <c r="C26" s="24">
        <v>-1613</v>
      </c>
      <c r="D26" s="24">
        <v>-2456</v>
      </c>
      <c r="E26" s="24">
        <v>-2000</v>
      </c>
      <c r="F26" s="24">
        <f t="shared" si="0"/>
        <v>-323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>
        <v>-2018</v>
      </c>
      <c r="C27" s="24">
        <v>-1613</v>
      </c>
      <c r="D27" s="24">
        <v>-2286</v>
      </c>
      <c r="E27" s="24">
        <v>-2000</v>
      </c>
      <c r="F27" s="24">
        <f t="shared" si="0"/>
        <v>691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>
        <v>-2349</v>
      </c>
      <c r="C28" s="24">
        <v>-3613</v>
      </c>
      <c r="D28" s="24">
        <v>-2539</v>
      </c>
      <c r="E28" s="24">
        <v>-2000</v>
      </c>
      <c r="F28" s="24">
        <f t="shared" si="0"/>
        <v>-725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>
        <v>-1994</v>
      </c>
      <c r="C29" s="24">
        <v>-3613</v>
      </c>
      <c r="D29" s="24">
        <v>-2614</v>
      </c>
      <c r="E29" s="24">
        <v>-2000</v>
      </c>
      <c r="F29" s="24">
        <f t="shared" si="0"/>
        <v>-1005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>
        <v>-2459</v>
      </c>
      <c r="C30" s="24">
        <v>-3613</v>
      </c>
      <c r="D30" s="24">
        <v>-2233</v>
      </c>
      <c r="E30" s="24">
        <v>-2000</v>
      </c>
      <c r="F30" s="24">
        <f t="shared" si="0"/>
        <v>-921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>
        <v>-2170</v>
      </c>
      <c r="C31" s="24">
        <v>-3613</v>
      </c>
      <c r="D31" s="24">
        <v>-91</v>
      </c>
      <c r="E31" s="24">
        <v>-2000</v>
      </c>
      <c r="F31" s="24">
        <f t="shared" si="0"/>
        <v>-3352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>
        <v>-2330</v>
      </c>
      <c r="C32" s="24">
        <v>-3613</v>
      </c>
      <c r="D32" s="24">
        <v>-720</v>
      </c>
      <c r="E32" s="24">
        <v>-2000</v>
      </c>
      <c r="F32" s="24">
        <f t="shared" si="0"/>
        <v>-2563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>
        <v>-2157</v>
      </c>
      <c r="C33" s="24">
        <v>-3613</v>
      </c>
      <c r="D33" s="24">
        <v>-2240</v>
      </c>
      <c r="E33" s="24">
        <v>-2000</v>
      </c>
      <c r="F33" s="24">
        <f t="shared" si="0"/>
        <v>-1216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-59600</v>
      </c>
      <c r="C37" s="24">
        <f>SUM(C6:C36)</f>
        <v>-57164</v>
      </c>
      <c r="D37" s="24">
        <f>SUM(D6:D36)</f>
        <v>-56056</v>
      </c>
      <c r="E37" s="24">
        <f>SUM(E6:E36)</f>
        <v>-54000</v>
      </c>
      <c r="F37" s="24">
        <f>SUM(F6:F36)</f>
        <v>4492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2.08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9343.36</v>
      </c>
      <c r="G39" s="442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2">
        <v>37256</v>
      </c>
      <c r="C40" s="319"/>
      <c r="D40" s="262"/>
      <c r="E40" s="262"/>
      <c r="F40" s="523">
        <v>-133395.24</v>
      </c>
      <c r="G40" s="442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2">
        <v>37284</v>
      </c>
      <c r="C41" s="319"/>
      <c r="D41" s="262"/>
      <c r="E41" s="262"/>
      <c r="F41" s="104">
        <f>+F40+F39</f>
        <v>-124051.87999999999</v>
      </c>
      <c r="G41" s="442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24">
        <v>-43412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37284</v>
      </c>
      <c r="B47" s="32"/>
      <c r="C47" s="32"/>
      <c r="D47" s="350">
        <f>+F37</f>
        <v>4492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-38920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1" workbookViewId="0">
      <selection activeCell="A41" sqref="A41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219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220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5" t="s">
        <v>221</v>
      </c>
      <c r="C3" s="208"/>
      <c r="D3" s="445" t="s">
        <v>223</v>
      </c>
      <c r="E3" s="207"/>
      <c r="F3" s="445" t="s">
        <v>225</v>
      </c>
      <c r="G3" s="207"/>
      <c r="H3" s="445" t="s">
        <v>227</v>
      </c>
      <c r="I3" s="207"/>
      <c r="J3" s="445" t="s">
        <v>229</v>
      </c>
      <c r="K3" s="207"/>
      <c r="L3" s="445" t="s">
        <v>231</v>
      </c>
      <c r="M3" s="207"/>
      <c r="N3" s="445" t="s">
        <v>233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222</v>
      </c>
      <c r="C4" s="32"/>
      <c r="D4" s="231" t="s">
        <v>224</v>
      </c>
      <c r="E4" s="24"/>
      <c r="F4" s="231" t="s">
        <v>226</v>
      </c>
      <c r="G4" s="24"/>
      <c r="H4" s="231" t="s">
        <v>228</v>
      </c>
      <c r="I4" s="24"/>
      <c r="J4" s="231" t="s">
        <v>230</v>
      </c>
      <c r="K4" s="24"/>
      <c r="L4" s="231" t="s">
        <v>232</v>
      </c>
      <c r="M4" s="24"/>
      <c r="N4" s="231" t="s">
        <v>234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-2197</v>
      </c>
      <c r="C6" s="24">
        <v>-2135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37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-2276</v>
      </c>
      <c r="C7" s="24">
        <v>-2135</v>
      </c>
      <c r="D7" s="24">
        <v>-4</v>
      </c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120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-2197</v>
      </c>
      <c r="C8" s="24">
        <v>-2135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37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-2147</v>
      </c>
      <c r="C9" s="24">
        <v>-2135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-13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-2142</v>
      </c>
      <c r="C10" s="24">
        <v>-2135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-18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-2155</v>
      </c>
      <c r="C11" s="24">
        <v>-2135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-5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-2065</v>
      </c>
      <c r="C12" s="24">
        <v>-2135</v>
      </c>
      <c r="D12" s="51"/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-95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-2033</v>
      </c>
      <c r="C13" s="24">
        <v>-2135</v>
      </c>
      <c r="D13" s="24">
        <v>-2</v>
      </c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-125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-2041</v>
      </c>
      <c r="C14" s="24">
        <v>-2135</v>
      </c>
      <c r="D14" s="24">
        <v>-2</v>
      </c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-117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-2149</v>
      </c>
      <c r="C15" s="24">
        <v>-2135</v>
      </c>
      <c r="D15" s="24"/>
      <c r="E15" s="24">
        <v>-25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-11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-2104</v>
      </c>
      <c r="C16" s="24">
        <v>-2135</v>
      </c>
      <c r="D16" s="24"/>
      <c r="E16" s="24">
        <v>-25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-56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>
        <v>-2098</v>
      </c>
      <c r="C17" s="24">
        <v>-2135</v>
      </c>
      <c r="D17" s="24"/>
      <c r="E17" s="24">
        <v>-25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-62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>
        <v>-2095</v>
      </c>
      <c r="C18" s="24">
        <v>-2135</v>
      </c>
      <c r="D18" s="24"/>
      <c r="E18" s="24">
        <v>-25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-65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>
        <v>-2107</v>
      </c>
      <c r="C19" s="24">
        <v>-2135</v>
      </c>
      <c r="D19" s="24"/>
      <c r="E19" s="24">
        <v>-25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-53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>
        <v>-2037</v>
      </c>
      <c r="C20" s="24">
        <v>-2135</v>
      </c>
      <c r="D20" s="24"/>
      <c r="E20" s="24">
        <v>-25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-123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>
        <v>-2142</v>
      </c>
      <c r="C21" s="24">
        <v>-2135</v>
      </c>
      <c r="D21" s="24"/>
      <c r="E21" s="24">
        <v>-25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-18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>
        <v>-2099</v>
      </c>
      <c r="C22" s="24">
        <v>-2135</v>
      </c>
      <c r="D22" s="24"/>
      <c r="E22" s="24">
        <v>-25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-61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>
        <v>-2195</v>
      </c>
      <c r="C23" s="24">
        <v>-2135</v>
      </c>
      <c r="D23" s="24"/>
      <c r="E23" s="24">
        <v>-25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35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>
        <v>-2128</v>
      </c>
      <c r="C24" s="24">
        <v>-2135</v>
      </c>
      <c r="D24" s="24"/>
      <c r="E24" s="24">
        <v>-25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-32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>
        <v>-2170</v>
      </c>
      <c r="C25" s="24">
        <v>-2135</v>
      </c>
      <c r="D25" s="24"/>
      <c r="E25" s="24">
        <v>-25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10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>
        <v>-2072</v>
      </c>
      <c r="C26" s="24">
        <v>-2135</v>
      </c>
      <c r="D26" s="24"/>
      <c r="E26" s="24">
        <v>-25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-88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>
        <v>-1958</v>
      </c>
      <c r="C27" s="24">
        <v>-2135</v>
      </c>
      <c r="D27" s="24"/>
      <c r="E27" s="24">
        <v>-25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-202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>
        <v>-2118</v>
      </c>
      <c r="C28" s="24">
        <v>-2135</v>
      </c>
      <c r="D28" s="24">
        <v>-7</v>
      </c>
      <c r="E28" s="24">
        <v>-25</v>
      </c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-35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>
        <v>-2191</v>
      </c>
      <c r="C29" s="24">
        <v>-2135</v>
      </c>
      <c r="D29" s="24"/>
      <c r="E29" s="24">
        <v>-25</v>
      </c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31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>
        <v>-2157</v>
      </c>
      <c r="C30" s="24">
        <v>-2135</v>
      </c>
      <c r="D30" s="24"/>
      <c r="E30" s="24">
        <v>-25</v>
      </c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-3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>
        <v>-2127</v>
      </c>
      <c r="C31" s="24">
        <v>-2135</v>
      </c>
      <c r="D31" s="24"/>
      <c r="E31" s="24">
        <v>-25</v>
      </c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-33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>
        <v>-2108</v>
      </c>
      <c r="C32" s="24">
        <v>-2135</v>
      </c>
      <c r="D32" s="24"/>
      <c r="E32" s="24">
        <v>-25</v>
      </c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-52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>
        <v>-1984</v>
      </c>
      <c r="C33" s="24">
        <v>-2135</v>
      </c>
      <c r="D33" s="24"/>
      <c r="E33" s="24">
        <v>-25</v>
      </c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-176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>
        <v>-2050</v>
      </c>
      <c r="C34" s="24">
        <v>-2135</v>
      </c>
      <c r="D34" s="24"/>
      <c r="E34" s="24">
        <v>-25</v>
      </c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-110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>
        <v>-2338</v>
      </c>
      <c r="C35" s="24">
        <v>-2135</v>
      </c>
      <c r="D35" s="24"/>
      <c r="E35" s="24">
        <v>-25</v>
      </c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178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-63680</v>
      </c>
      <c r="C37" s="24">
        <f t="shared" si="1"/>
        <v>-64050</v>
      </c>
      <c r="D37" s="24">
        <f t="shared" si="1"/>
        <v>-15</v>
      </c>
      <c r="E37" s="24">
        <f t="shared" si="1"/>
        <v>-750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-1105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2.08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2"/>
      <c r="P39" s="104">
        <f>+P38*P37</f>
        <v>-2298.4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2">
        <v>37256</v>
      </c>
      <c r="E40" s="14"/>
      <c r="O40" s="442"/>
      <c r="P40" s="523">
        <v>93989.4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2">
        <v>37286</v>
      </c>
      <c r="E41" s="14"/>
      <c r="O41" s="442"/>
      <c r="P41" s="104">
        <f>+P40+P39</f>
        <v>91691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37256</v>
      </c>
      <c r="B46" s="32"/>
      <c r="C46" s="32"/>
      <c r="D46" s="524">
        <v>39070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37286</v>
      </c>
      <c r="B47" s="32"/>
      <c r="C47" s="32"/>
      <c r="D47" s="350">
        <f>+P37</f>
        <v>-1105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37965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296</v>
      </c>
      <c r="C3" s="87"/>
      <c r="D3" s="87"/>
    </row>
    <row r="4" spans="1:4" x14ac:dyDescent="0.2">
      <c r="A4" s="3"/>
      <c r="B4" s="328" t="s">
        <v>295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-13559</v>
      </c>
      <c r="C6" s="11">
        <v>-14000</v>
      </c>
      <c r="D6" s="25">
        <f>+C6-B6</f>
        <v>-441</v>
      </c>
    </row>
    <row r="7" spans="1:4" x14ac:dyDescent="0.2">
      <c r="A7" s="10">
        <v>2</v>
      </c>
      <c r="B7" s="11">
        <v>-13675</v>
      </c>
      <c r="C7" s="11">
        <v>-14000</v>
      </c>
      <c r="D7" s="25">
        <f t="shared" ref="D7:D36" si="0">+C7-B7</f>
        <v>-325</v>
      </c>
    </row>
    <row r="8" spans="1:4" x14ac:dyDescent="0.2">
      <c r="A8" s="10">
        <v>3</v>
      </c>
      <c r="B8" s="129">
        <v>-13732</v>
      </c>
      <c r="C8" s="11">
        <v>-14000</v>
      </c>
      <c r="D8" s="25">
        <f t="shared" si="0"/>
        <v>-268</v>
      </c>
    </row>
    <row r="9" spans="1:4" x14ac:dyDescent="0.2">
      <c r="A9" s="10">
        <v>4</v>
      </c>
      <c r="B9" s="129">
        <v>-13318</v>
      </c>
      <c r="C9" s="11">
        <v>-14000</v>
      </c>
      <c r="D9" s="25">
        <f t="shared" si="0"/>
        <v>-682</v>
      </c>
    </row>
    <row r="10" spans="1:4" x14ac:dyDescent="0.2">
      <c r="A10" s="10">
        <v>5</v>
      </c>
      <c r="B10" s="129">
        <v>-14017</v>
      </c>
      <c r="C10" s="11">
        <v>-14000</v>
      </c>
      <c r="D10" s="25">
        <f t="shared" si="0"/>
        <v>17</v>
      </c>
    </row>
    <row r="11" spans="1:4" x14ac:dyDescent="0.2">
      <c r="A11" s="10">
        <v>6</v>
      </c>
      <c r="B11" s="129">
        <v>-13620</v>
      </c>
      <c r="C11" s="11">
        <v>-14000</v>
      </c>
      <c r="D11" s="25">
        <f t="shared" si="0"/>
        <v>-380</v>
      </c>
    </row>
    <row r="12" spans="1:4" x14ac:dyDescent="0.2">
      <c r="A12" s="10">
        <v>7</v>
      </c>
      <c r="B12" s="129">
        <v>-13282</v>
      </c>
      <c r="C12" s="11">
        <v>-14000</v>
      </c>
      <c r="D12" s="25">
        <f t="shared" si="0"/>
        <v>-718</v>
      </c>
    </row>
    <row r="13" spans="1:4" x14ac:dyDescent="0.2">
      <c r="A13" s="10">
        <v>8</v>
      </c>
      <c r="B13" s="11">
        <v>-13676</v>
      </c>
      <c r="C13" s="11">
        <v>-14000</v>
      </c>
      <c r="D13" s="25">
        <f t="shared" si="0"/>
        <v>-324</v>
      </c>
    </row>
    <row r="14" spans="1:4" x14ac:dyDescent="0.2">
      <c r="A14" s="10">
        <v>9</v>
      </c>
      <c r="B14" s="11">
        <v>-13585</v>
      </c>
      <c r="C14" s="11">
        <v>-14000</v>
      </c>
      <c r="D14" s="25">
        <f t="shared" si="0"/>
        <v>-415</v>
      </c>
    </row>
    <row r="15" spans="1:4" x14ac:dyDescent="0.2">
      <c r="A15" s="10">
        <v>10</v>
      </c>
      <c r="B15" s="11">
        <v>-13644</v>
      </c>
      <c r="C15" s="11">
        <v>-14000</v>
      </c>
      <c r="D15" s="25">
        <f t="shared" si="0"/>
        <v>-356</v>
      </c>
    </row>
    <row r="16" spans="1:4" x14ac:dyDescent="0.2">
      <c r="A16" s="10">
        <v>11</v>
      </c>
      <c r="B16" s="11">
        <v>-13501</v>
      </c>
      <c r="C16" s="11">
        <v>-14000</v>
      </c>
      <c r="D16" s="25">
        <f t="shared" si="0"/>
        <v>-499</v>
      </c>
    </row>
    <row r="17" spans="1:4" x14ac:dyDescent="0.2">
      <c r="A17" s="10">
        <v>12</v>
      </c>
      <c r="B17" s="11">
        <v>-15295</v>
      </c>
      <c r="C17" s="11">
        <v>-14000</v>
      </c>
      <c r="D17" s="25">
        <f t="shared" si="0"/>
        <v>1295</v>
      </c>
    </row>
    <row r="18" spans="1:4" x14ac:dyDescent="0.2">
      <c r="A18" s="10">
        <v>13</v>
      </c>
      <c r="B18" s="11">
        <v>-14142</v>
      </c>
      <c r="C18" s="11">
        <v>-14000</v>
      </c>
      <c r="D18" s="25">
        <f t="shared" si="0"/>
        <v>142</v>
      </c>
    </row>
    <row r="19" spans="1:4" x14ac:dyDescent="0.2">
      <c r="A19" s="10">
        <v>14</v>
      </c>
      <c r="B19" s="11">
        <v>-14021</v>
      </c>
      <c r="C19" s="11">
        <v>-14000</v>
      </c>
      <c r="D19" s="25">
        <f t="shared" si="0"/>
        <v>21</v>
      </c>
    </row>
    <row r="20" spans="1:4" x14ac:dyDescent="0.2">
      <c r="A20" s="10">
        <v>15</v>
      </c>
      <c r="B20" s="11">
        <v>-14016</v>
      </c>
      <c r="C20" s="11">
        <v>-14000</v>
      </c>
      <c r="D20" s="25">
        <f t="shared" si="0"/>
        <v>16</v>
      </c>
    </row>
    <row r="21" spans="1:4" x14ac:dyDescent="0.2">
      <c r="A21" s="10">
        <v>16</v>
      </c>
      <c r="B21" s="11">
        <v>-12589</v>
      </c>
      <c r="C21" s="11">
        <v>-14000</v>
      </c>
      <c r="D21" s="25">
        <f t="shared" si="0"/>
        <v>-1411</v>
      </c>
    </row>
    <row r="22" spans="1:4" x14ac:dyDescent="0.2">
      <c r="A22" s="10">
        <v>17</v>
      </c>
      <c r="B22" s="11">
        <v>-13832</v>
      </c>
      <c r="C22" s="11">
        <v>-14000</v>
      </c>
      <c r="D22" s="25">
        <f t="shared" si="0"/>
        <v>-168</v>
      </c>
    </row>
    <row r="23" spans="1:4" x14ac:dyDescent="0.2">
      <c r="A23" s="10">
        <v>18</v>
      </c>
      <c r="B23" s="11">
        <v>-25911</v>
      </c>
      <c r="C23" s="11">
        <v>-25928</v>
      </c>
      <c r="D23" s="25">
        <f t="shared" si="0"/>
        <v>-17</v>
      </c>
    </row>
    <row r="24" spans="1:4" x14ac:dyDescent="0.2">
      <c r="A24" s="10">
        <v>19</v>
      </c>
      <c r="B24" s="11">
        <v>-14237</v>
      </c>
      <c r="C24" s="11">
        <v>-14000</v>
      </c>
      <c r="D24" s="25">
        <f t="shared" si="0"/>
        <v>237</v>
      </c>
    </row>
    <row r="25" spans="1:4" x14ac:dyDescent="0.2">
      <c r="A25" s="10">
        <v>20</v>
      </c>
      <c r="B25" s="11">
        <v>-13946</v>
      </c>
      <c r="C25" s="11">
        <v>-14000</v>
      </c>
      <c r="D25" s="25">
        <f t="shared" si="0"/>
        <v>-54</v>
      </c>
    </row>
    <row r="26" spans="1:4" x14ac:dyDescent="0.2">
      <c r="A26" s="10">
        <v>21</v>
      </c>
      <c r="B26" s="11">
        <v>-14148</v>
      </c>
      <c r="C26" s="11">
        <v>-14000</v>
      </c>
      <c r="D26" s="25">
        <f t="shared" si="0"/>
        <v>148</v>
      </c>
    </row>
    <row r="27" spans="1:4" x14ac:dyDescent="0.2">
      <c r="A27" s="10">
        <v>22</v>
      </c>
      <c r="B27" s="11">
        <v>-14162</v>
      </c>
      <c r="C27" s="11">
        <v>-14000</v>
      </c>
      <c r="D27" s="25">
        <f t="shared" si="0"/>
        <v>162</v>
      </c>
    </row>
    <row r="28" spans="1:4" x14ac:dyDescent="0.2">
      <c r="A28" s="10">
        <v>23</v>
      </c>
      <c r="B28" s="129">
        <v>-13848</v>
      </c>
      <c r="C28" s="11">
        <v>-14000</v>
      </c>
      <c r="D28" s="25">
        <f t="shared" si="0"/>
        <v>-152</v>
      </c>
    </row>
    <row r="29" spans="1:4" x14ac:dyDescent="0.2">
      <c r="A29" s="10">
        <v>24</v>
      </c>
      <c r="B29" s="11">
        <v>-15412</v>
      </c>
      <c r="C29" s="11">
        <v>-14000</v>
      </c>
      <c r="D29" s="25">
        <f t="shared" si="0"/>
        <v>1412</v>
      </c>
    </row>
    <row r="30" spans="1:4" x14ac:dyDescent="0.2">
      <c r="A30" s="10">
        <v>25</v>
      </c>
      <c r="B30" s="11">
        <v>-14122</v>
      </c>
      <c r="C30" s="11">
        <v>-14000</v>
      </c>
      <c r="D30" s="25">
        <f t="shared" si="0"/>
        <v>122</v>
      </c>
    </row>
    <row r="31" spans="1:4" x14ac:dyDescent="0.2">
      <c r="A31" s="10">
        <v>26</v>
      </c>
      <c r="B31" s="11">
        <v>-14127</v>
      </c>
      <c r="C31" s="11">
        <v>-14000</v>
      </c>
      <c r="D31" s="25">
        <f t="shared" si="0"/>
        <v>127</v>
      </c>
    </row>
    <row r="32" spans="1:4" x14ac:dyDescent="0.2">
      <c r="A32" s="10">
        <v>27</v>
      </c>
      <c r="B32" s="11">
        <v>-14092</v>
      </c>
      <c r="C32" s="11">
        <v>-14000</v>
      </c>
      <c r="D32" s="25">
        <f t="shared" si="0"/>
        <v>92</v>
      </c>
    </row>
    <row r="33" spans="1:4" x14ac:dyDescent="0.2">
      <c r="A33" s="10">
        <v>28</v>
      </c>
      <c r="B33" s="11">
        <v>-13992</v>
      </c>
      <c r="C33" s="11">
        <v>-14000</v>
      </c>
      <c r="D33" s="25">
        <f t="shared" si="0"/>
        <v>-8</v>
      </c>
    </row>
    <row r="34" spans="1:4" x14ac:dyDescent="0.2">
      <c r="A34" s="10">
        <v>29</v>
      </c>
      <c r="B34" s="11">
        <v>-29095</v>
      </c>
      <c r="C34" s="11">
        <v>-29000</v>
      </c>
      <c r="D34" s="25">
        <f t="shared" si="0"/>
        <v>95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-430596</v>
      </c>
      <c r="C37" s="11">
        <f>SUM(C6:C36)</f>
        <v>-432928</v>
      </c>
      <c r="D37" s="25">
        <f>SUM(D6:D36)</f>
        <v>-2332</v>
      </c>
    </row>
    <row r="38" spans="1:4" x14ac:dyDescent="0.2">
      <c r="A38" s="26"/>
      <c r="C38" s="14"/>
      <c r="D38" s="326">
        <f>+summary!G4</f>
        <v>2.08</v>
      </c>
    </row>
    <row r="39" spans="1:4" x14ac:dyDescent="0.2">
      <c r="D39" s="138">
        <f>+D38*D37</f>
        <v>-4850.5600000000004</v>
      </c>
    </row>
    <row r="40" spans="1:4" x14ac:dyDescent="0.2">
      <c r="A40" s="57">
        <v>37256</v>
      </c>
      <c r="C40" s="15"/>
      <c r="D40" s="529">
        <v>-15514.53</v>
      </c>
    </row>
    <row r="41" spans="1:4" x14ac:dyDescent="0.2">
      <c r="A41" s="57">
        <v>37285</v>
      </c>
      <c r="C41" s="48"/>
      <c r="D41" s="138">
        <f>+D40+D39</f>
        <v>-20365.09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5596</v>
      </c>
    </row>
    <row r="47" spans="1:4" x14ac:dyDescent="0.2">
      <c r="A47" s="49">
        <f>+A41</f>
        <v>37285</v>
      </c>
      <c r="B47" s="32"/>
      <c r="C47" s="32"/>
      <c r="D47" s="350">
        <f>+D37</f>
        <v>-2332</v>
      </c>
    </row>
    <row r="48" spans="1:4" x14ac:dyDescent="0.2">
      <c r="A48" s="32"/>
      <c r="B48" s="32"/>
      <c r="C48" s="32"/>
      <c r="D48" s="14">
        <f>+D47+D46</f>
        <v>3264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" workbookViewId="0">
      <selection activeCell="C31" sqref="C31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318</v>
      </c>
      <c r="C3" s="87"/>
      <c r="D3" s="87"/>
    </row>
    <row r="4" spans="1:4" x14ac:dyDescent="0.2">
      <c r="A4" s="3"/>
      <c r="B4" s="328" t="s">
        <v>319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3030</v>
      </c>
      <c r="C6" s="11">
        <v>2752</v>
      </c>
      <c r="D6" s="25">
        <f>+C6-B6</f>
        <v>-278</v>
      </c>
    </row>
    <row r="7" spans="1:4" x14ac:dyDescent="0.2">
      <c r="A7" s="10">
        <v>2</v>
      </c>
      <c r="B7" s="11">
        <v>2679</v>
      </c>
      <c r="C7" s="11">
        <v>2752</v>
      </c>
      <c r="D7" s="25">
        <f t="shared" ref="D7:D36" si="0">+C7-B7</f>
        <v>73</v>
      </c>
    </row>
    <row r="8" spans="1:4" x14ac:dyDescent="0.2">
      <c r="A8" s="10">
        <v>3</v>
      </c>
      <c r="B8" s="129">
        <v>3983</v>
      </c>
      <c r="C8" s="11">
        <v>2752</v>
      </c>
      <c r="D8" s="25">
        <f t="shared" si="0"/>
        <v>-1231</v>
      </c>
    </row>
    <row r="9" spans="1:4" x14ac:dyDescent="0.2">
      <c r="A9" s="10">
        <v>4</v>
      </c>
      <c r="B9" s="129">
        <v>2882</v>
      </c>
      <c r="C9" s="11">
        <v>2752</v>
      </c>
      <c r="D9" s="25">
        <f t="shared" si="0"/>
        <v>-130</v>
      </c>
    </row>
    <row r="10" spans="1:4" x14ac:dyDescent="0.2">
      <c r="A10" s="10">
        <v>5</v>
      </c>
      <c r="B10" s="129">
        <v>2914</v>
      </c>
      <c r="C10" s="11">
        <v>2752</v>
      </c>
      <c r="D10" s="25">
        <f t="shared" si="0"/>
        <v>-162</v>
      </c>
    </row>
    <row r="11" spans="1:4" x14ac:dyDescent="0.2">
      <c r="A11" s="10">
        <v>6</v>
      </c>
      <c r="B11" s="129">
        <v>2992</v>
      </c>
      <c r="C11" s="11">
        <v>2752</v>
      </c>
      <c r="D11" s="25">
        <f t="shared" si="0"/>
        <v>-240</v>
      </c>
    </row>
    <row r="12" spans="1:4" x14ac:dyDescent="0.2">
      <c r="A12" s="10">
        <v>7</v>
      </c>
      <c r="B12" s="129">
        <v>2937</v>
      </c>
      <c r="C12" s="11">
        <v>2752</v>
      </c>
      <c r="D12" s="25">
        <f t="shared" si="0"/>
        <v>-185</v>
      </c>
    </row>
    <row r="13" spans="1:4" x14ac:dyDescent="0.2">
      <c r="A13" s="10">
        <v>8</v>
      </c>
      <c r="B13" s="11">
        <v>2963</v>
      </c>
      <c r="C13" s="11">
        <v>2752</v>
      </c>
      <c r="D13" s="25">
        <f t="shared" si="0"/>
        <v>-211</v>
      </c>
    </row>
    <row r="14" spans="1:4" x14ac:dyDescent="0.2">
      <c r="A14" s="10">
        <v>9</v>
      </c>
      <c r="B14" s="11">
        <v>3271</v>
      </c>
      <c r="C14" s="11">
        <v>2752</v>
      </c>
      <c r="D14" s="25">
        <f t="shared" si="0"/>
        <v>-519</v>
      </c>
    </row>
    <row r="15" spans="1:4" x14ac:dyDescent="0.2">
      <c r="A15" s="10">
        <v>10</v>
      </c>
      <c r="B15" s="11">
        <v>3165</v>
      </c>
      <c r="C15" s="11">
        <v>2752</v>
      </c>
      <c r="D15" s="25">
        <f t="shared" si="0"/>
        <v>-413</v>
      </c>
    </row>
    <row r="16" spans="1:4" x14ac:dyDescent="0.2">
      <c r="A16" s="10">
        <v>11</v>
      </c>
      <c r="B16" s="11">
        <v>3089</v>
      </c>
      <c r="C16" s="11">
        <v>2752</v>
      </c>
      <c r="D16" s="25">
        <f t="shared" si="0"/>
        <v>-337</v>
      </c>
    </row>
    <row r="17" spans="1:4" x14ac:dyDescent="0.2">
      <c r="A17" s="10">
        <v>12</v>
      </c>
      <c r="B17" s="11">
        <v>3168</v>
      </c>
      <c r="C17" s="11">
        <v>2752</v>
      </c>
      <c r="D17" s="25">
        <f t="shared" si="0"/>
        <v>-416</v>
      </c>
    </row>
    <row r="18" spans="1:4" x14ac:dyDescent="0.2">
      <c r="A18" s="10">
        <v>13</v>
      </c>
      <c r="B18" s="11">
        <v>2550</v>
      </c>
      <c r="C18" s="11">
        <v>2752</v>
      </c>
      <c r="D18" s="25">
        <f t="shared" si="0"/>
        <v>202</v>
      </c>
    </row>
    <row r="19" spans="1:4" x14ac:dyDescent="0.2">
      <c r="A19" s="10">
        <v>14</v>
      </c>
      <c r="B19" s="11">
        <v>3143</v>
      </c>
      <c r="C19" s="11">
        <v>2752</v>
      </c>
      <c r="D19" s="25">
        <f t="shared" si="0"/>
        <v>-391</v>
      </c>
    </row>
    <row r="20" spans="1:4" x14ac:dyDescent="0.2">
      <c r="A20" s="10">
        <v>15</v>
      </c>
      <c r="B20" s="11">
        <v>2911</v>
      </c>
      <c r="C20" s="11">
        <v>2752</v>
      </c>
      <c r="D20" s="25">
        <f t="shared" si="0"/>
        <v>-159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45677</v>
      </c>
      <c r="C37" s="11">
        <f>SUM(C6:C36)</f>
        <v>41280</v>
      </c>
      <c r="D37" s="25">
        <f>SUM(D6:D36)</f>
        <v>-4397</v>
      </c>
    </row>
    <row r="38" spans="1:4" x14ac:dyDescent="0.2">
      <c r="A38" s="26"/>
      <c r="C38" s="14"/>
      <c r="D38" s="326">
        <f>+summary!G5</f>
        <v>2.09</v>
      </c>
    </row>
    <row r="39" spans="1:4" x14ac:dyDescent="0.2">
      <c r="D39" s="138">
        <f>+D38*D37</f>
        <v>-9189.73</v>
      </c>
    </row>
    <row r="40" spans="1:4" x14ac:dyDescent="0.2">
      <c r="A40" s="57">
        <v>37256</v>
      </c>
      <c r="C40" s="15"/>
      <c r="D40" s="529">
        <v>43180.07</v>
      </c>
    </row>
    <row r="41" spans="1:4" x14ac:dyDescent="0.2">
      <c r="A41" s="57">
        <v>37271</v>
      </c>
      <c r="C41" s="48"/>
      <c r="D41" s="138">
        <f>+D40+D39</f>
        <v>33990.339999999997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14850</v>
      </c>
    </row>
    <row r="47" spans="1:4" x14ac:dyDescent="0.2">
      <c r="A47" s="49">
        <f>+A41</f>
        <v>37271</v>
      </c>
      <c r="B47" s="32"/>
      <c r="C47" s="32"/>
      <c r="D47" s="350">
        <f>+D37</f>
        <v>-4397</v>
      </c>
    </row>
    <row r="48" spans="1:4" x14ac:dyDescent="0.2">
      <c r="A48" s="32"/>
      <c r="B48" s="32"/>
      <c r="C48" s="32"/>
      <c r="D48" s="14">
        <f>+D47+D46</f>
        <v>10453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workbookViewId="0">
      <selection activeCell="A10" sqref="A10"/>
    </sheetView>
  </sheetViews>
  <sheetFormatPr defaultRowHeight="12.75" x14ac:dyDescent="0.2"/>
  <cols>
    <col min="1" max="3" width="9.140625" style="246"/>
    <col min="4" max="5" width="9.85546875" style="246" customWidth="1"/>
    <col min="6" max="7" width="9.140625" style="246"/>
    <col min="8" max="8" width="9.85546875" style="246" customWidth="1"/>
    <col min="9" max="9" width="9.28515625" style="246" customWidth="1"/>
    <col min="10" max="10" width="9.85546875" style="246" customWidth="1"/>
    <col min="11" max="11" width="9.28515625" style="246" customWidth="1"/>
    <col min="12" max="12" width="9.85546875" style="246" customWidth="1"/>
    <col min="13" max="13" width="9.28515625" style="246" customWidth="1"/>
    <col min="14" max="16384" width="9.140625" style="246"/>
  </cols>
  <sheetData>
    <row r="2" spans="1:37" x14ac:dyDescent="0.2">
      <c r="B2" s="556" t="s">
        <v>301</v>
      </c>
    </row>
    <row r="3" spans="1:37" x14ac:dyDescent="0.2">
      <c r="B3" s="465">
        <v>10518</v>
      </c>
      <c r="D3" s="465">
        <v>13276</v>
      </c>
      <c r="F3" s="465">
        <v>13475</v>
      </c>
      <c r="H3" s="465">
        <v>500176</v>
      </c>
      <c r="J3" s="465">
        <v>500390</v>
      </c>
      <c r="L3" s="465">
        <v>500612</v>
      </c>
    </row>
    <row r="4" spans="1:37" x14ac:dyDescent="0.2">
      <c r="B4" s="557" t="s">
        <v>303</v>
      </c>
      <c r="C4" s="558"/>
      <c r="D4" s="559" t="s">
        <v>304</v>
      </c>
      <c r="E4" s="558"/>
      <c r="F4" s="559" t="s">
        <v>305</v>
      </c>
      <c r="G4" s="558"/>
      <c r="H4" s="559" t="s">
        <v>306</v>
      </c>
      <c r="I4" s="558"/>
      <c r="J4" s="559" t="s">
        <v>307</v>
      </c>
      <c r="K4" s="558"/>
      <c r="L4" s="559" t="s">
        <v>308</v>
      </c>
      <c r="M4" s="558"/>
      <c r="N4" s="558"/>
    </row>
    <row r="5" spans="1:37" x14ac:dyDescent="0.2">
      <c r="A5" s="560" t="s">
        <v>10</v>
      </c>
      <c r="B5" s="466" t="s">
        <v>19</v>
      </c>
      <c r="C5" s="466" t="s">
        <v>20</v>
      </c>
      <c r="D5" s="466" t="s">
        <v>19</v>
      </c>
      <c r="E5" s="466" t="s">
        <v>20</v>
      </c>
      <c r="F5" s="466" t="s">
        <v>19</v>
      </c>
      <c r="G5" s="466" t="s">
        <v>20</v>
      </c>
      <c r="H5" s="466" t="s">
        <v>19</v>
      </c>
      <c r="I5" s="466" t="s">
        <v>20</v>
      </c>
      <c r="J5" s="466" t="s">
        <v>19</v>
      </c>
      <c r="K5" s="466" t="s">
        <v>20</v>
      </c>
      <c r="L5" s="466" t="s">
        <v>19</v>
      </c>
      <c r="M5" s="466" t="s">
        <v>20</v>
      </c>
      <c r="N5" s="466"/>
      <c r="P5" s="561"/>
      <c r="Q5" s="561"/>
      <c r="R5" s="561"/>
      <c r="S5" s="561"/>
      <c r="T5" s="561"/>
      <c r="V5" s="562"/>
      <c r="AA5" s="563"/>
      <c r="AB5" s="561"/>
      <c r="AC5" s="561"/>
      <c r="AD5" s="561"/>
      <c r="AE5" s="561"/>
      <c r="AF5" s="561"/>
      <c r="AH5" s="562"/>
    </row>
    <row r="6" spans="1:37" x14ac:dyDescent="0.2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61"/>
      <c r="Q6" s="561"/>
      <c r="R6" s="561"/>
      <c r="S6" s="561"/>
      <c r="T6" s="561"/>
      <c r="U6" s="564"/>
      <c r="V6" s="562"/>
      <c r="Y6" s="565"/>
      <c r="AA6" s="563"/>
      <c r="AB6" s="561"/>
      <c r="AC6" s="561"/>
      <c r="AD6" s="561"/>
      <c r="AE6" s="561"/>
      <c r="AF6" s="561"/>
      <c r="AG6" s="564"/>
      <c r="AH6" s="562"/>
      <c r="AK6" s="565"/>
    </row>
    <row r="7" spans="1:37" x14ac:dyDescent="0.2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66"/>
      <c r="AB7" s="567"/>
      <c r="AC7" s="567"/>
      <c r="AD7" s="567"/>
      <c r="AE7" s="567"/>
      <c r="AF7" s="567"/>
      <c r="AG7" s="19"/>
      <c r="AH7" s="568"/>
      <c r="AI7" s="252"/>
      <c r="AJ7" s="264"/>
      <c r="AK7" s="565"/>
    </row>
    <row r="8" spans="1:37" x14ac:dyDescent="0.2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67"/>
      <c r="Q8" s="567"/>
      <c r="R8" s="567"/>
      <c r="S8" s="567"/>
      <c r="T8" s="567"/>
      <c r="U8" s="19"/>
      <c r="V8" s="568"/>
      <c r="W8" s="252"/>
      <c r="X8" s="264"/>
      <c r="Y8" s="565"/>
      <c r="AA8" s="566"/>
      <c r="AB8" s="567"/>
      <c r="AC8" s="567"/>
      <c r="AD8" s="567"/>
      <c r="AE8" s="567"/>
      <c r="AF8" s="567"/>
      <c r="AG8" s="19"/>
      <c r="AH8" s="568"/>
      <c r="AI8" s="252"/>
      <c r="AJ8" s="264"/>
      <c r="AK8" s="565"/>
    </row>
    <row r="9" spans="1:37" x14ac:dyDescent="0.2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67"/>
      <c r="S9" s="28"/>
      <c r="T9" s="567"/>
      <c r="U9" s="19"/>
      <c r="V9" s="568"/>
      <c r="W9" s="252"/>
      <c r="X9" s="264"/>
      <c r="Y9" s="565"/>
      <c r="AA9" s="566"/>
      <c r="AB9" s="567"/>
      <c r="AC9" s="567"/>
      <c r="AD9" s="567"/>
      <c r="AE9" s="567"/>
      <c r="AF9" s="567"/>
      <c r="AG9" s="19"/>
      <c r="AH9" s="568"/>
      <c r="AI9" s="252"/>
      <c r="AJ9" s="264"/>
      <c r="AK9" s="565"/>
    </row>
    <row r="10" spans="1:37" x14ac:dyDescent="0.2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67"/>
      <c r="S10" s="28"/>
      <c r="T10" s="567"/>
      <c r="U10" s="19"/>
      <c r="V10" s="568"/>
      <c r="W10" s="252"/>
      <c r="X10" s="264"/>
      <c r="Y10" s="565"/>
      <c r="AA10" s="566"/>
      <c r="AB10" s="567"/>
      <c r="AC10" s="567"/>
      <c r="AD10" s="567"/>
      <c r="AE10" s="567"/>
      <c r="AF10" s="567"/>
      <c r="AG10" s="19"/>
      <c r="AH10" s="568"/>
      <c r="AI10" s="252"/>
      <c r="AJ10" s="264"/>
      <c r="AK10" s="565"/>
    </row>
    <row r="11" spans="1:37" x14ac:dyDescent="0.2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67"/>
      <c r="S11" s="28"/>
      <c r="T11" s="567"/>
      <c r="U11" s="19"/>
      <c r="V11" s="568"/>
      <c r="W11" s="252"/>
      <c r="X11" s="264"/>
      <c r="Y11" s="565"/>
      <c r="AA11" s="566"/>
      <c r="AB11" s="567"/>
      <c r="AC11" s="567"/>
      <c r="AD11" s="567"/>
      <c r="AE11" s="567"/>
      <c r="AF11" s="567"/>
      <c r="AG11" s="19"/>
      <c r="AH11" s="568"/>
      <c r="AI11" s="252"/>
      <c r="AJ11" s="264"/>
      <c r="AK11" s="565"/>
    </row>
    <row r="12" spans="1:37" x14ac:dyDescent="0.2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67"/>
      <c r="S12" s="28"/>
      <c r="T12" s="567"/>
      <c r="U12" s="19"/>
      <c r="V12" s="568"/>
      <c r="W12" s="252"/>
      <c r="X12" s="264"/>
      <c r="Y12" s="565"/>
      <c r="AA12" s="566"/>
      <c r="AB12" s="567"/>
      <c r="AC12" s="567"/>
      <c r="AD12" s="567"/>
      <c r="AE12" s="567"/>
      <c r="AF12" s="567"/>
      <c r="AG12" s="19"/>
      <c r="AH12" s="568"/>
      <c r="AI12" s="252"/>
      <c r="AJ12" s="264"/>
      <c r="AK12" s="565"/>
    </row>
    <row r="13" spans="1:37" x14ac:dyDescent="0.2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67"/>
      <c r="S13" s="569"/>
      <c r="T13" s="567"/>
      <c r="U13" s="19"/>
      <c r="V13" s="568"/>
      <c r="W13" s="252"/>
      <c r="X13" s="264"/>
      <c r="Y13" s="565"/>
      <c r="AA13" s="566"/>
      <c r="AB13" s="567"/>
      <c r="AC13" s="567"/>
      <c r="AD13" s="567"/>
      <c r="AE13" s="567"/>
      <c r="AF13" s="567"/>
      <c r="AG13" s="19"/>
      <c r="AH13" s="568"/>
      <c r="AI13" s="252"/>
      <c r="AJ13" s="264"/>
      <c r="AK13" s="565"/>
    </row>
    <row r="14" spans="1:37" x14ac:dyDescent="0.2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67"/>
      <c r="S14" s="569"/>
      <c r="T14" s="567"/>
      <c r="U14" s="19"/>
      <c r="V14" s="568"/>
      <c r="W14" s="252"/>
      <c r="X14" s="264"/>
      <c r="Y14" s="565"/>
      <c r="AA14" s="566"/>
      <c r="AB14" s="567"/>
      <c r="AC14" s="567"/>
      <c r="AD14" s="567"/>
      <c r="AE14" s="567"/>
      <c r="AF14" s="567"/>
      <c r="AG14" s="19"/>
      <c r="AH14" s="568"/>
      <c r="AI14" s="252"/>
      <c r="AJ14" s="264"/>
      <c r="AK14" s="565"/>
    </row>
    <row r="15" spans="1:37" x14ac:dyDescent="0.2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67"/>
      <c r="S15" s="569"/>
      <c r="T15" s="567"/>
      <c r="U15" s="19"/>
      <c r="V15" s="568"/>
      <c r="W15" s="252"/>
      <c r="X15" s="264"/>
      <c r="Y15" s="565"/>
      <c r="AA15" s="566"/>
      <c r="AB15" s="567"/>
      <c r="AC15" s="567"/>
      <c r="AD15" s="567"/>
      <c r="AE15" s="567"/>
      <c r="AF15" s="567"/>
      <c r="AG15" s="19"/>
      <c r="AH15" s="568"/>
      <c r="AI15" s="252"/>
      <c r="AJ15" s="264"/>
      <c r="AK15" s="565"/>
    </row>
    <row r="16" spans="1:37" x14ac:dyDescent="0.2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67"/>
      <c r="S16" s="569"/>
      <c r="T16" s="567"/>
      <c r="U16" s="19"/>
      <c r="V16" s="568"/>
      <c r="W16" s="252"/>
      <c r="X16" s="264"/>
      <c r="Y16" s="565"/>
      <c r="AA16" s="566"/>
      <c r="AB16" s="567"/>
      <c r="AC16" s="567"/>
      <c r="AD16" s="567"/>
      <c r="AE16" s="567"/>
      <c r="AF16" s="567"/>
      <c r="AG16" s="19"/>
      <c r="AH16" s="568"/>
      <c r="AI16" s="252"/>
      <c r="AJ16" s="264"/>
      <c r="AK16" s="565"/>
    </row>
    <row r="17" spans="1:37" x14ac:dyDescent="0.2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67"/>
      <c r="S17" s="569"/>
      <c r="T17" s="567"/>
      <c r="U17" s="19"/>
      <c r="V17" s="568"/>
      <c r="W17" s="252"/>
      <c r="X17" s="264"/>
      <c r="Y17" s="565"/>
      <c r="AA17" s="566"/>
      <c r="AB17" s="567"/>
      <c r="AC17" s="567"/>
      <c r="AD17" s="567"/>
      <c r="AE17" s="567"/>
      <c r="AF17" s="567"/>
      <c r="AG17" s="19"/>
      <c r="AH17" s="568"/>
      <c r="AI17" s="252"/>
      <c r="AJ17" s="264"/>
      <c r="AK17" s="565"/>
    </row>
    <row r="18" spans="1:37" x14ac:dyDescent="0.2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67"/>
      <c r="S18" s="569"/>
      <c r="T18" s="567"/>
      <c r="U18" s="19"/>
      <c r="V18" s="568"/>
      <c r="W18" s="252"/>
      <c r="X18" s="264"/>
      <c r="Y18" s="565"/>
      <c r="AA18" s="566"/>
      <c r="AB18" s="567"/>
      <c r="AF18" s="567"/>
      <c r="AG18" s="19"/>
      <c r="AH18" s="568"/>
      <c r="AI18" s="252"/>
      <c r="AJ18" s="264"/>
      <c r="AK18" s="565"/>
    </row>
    <row r="19" spans="1:37" x14ac:dyDescent="0.2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67"/>
      <c r="T19" s="567"/>
      <c r="U19" s="19"/>
      <c r="V19" s="568"/>
      <c r="W19" s="252"/>
      <c r="X19" s="264"/>
      <c r="Y19" s="565"/>
      <c r="AA19" s="566"/>
      <c r="AB19" s="567"/>
      <c r="AF19" s="567"/>
      <c r="AG19" s="19"/>
      <c r="AH19" s="568"/>
      <c r="AI19" s="252"/>
      <c r="AJ19" s="264"/>
      <c r="AK19" s="565"/>
    </row>
    <row r="20" spans="1:37" x14ac:dyDescent="0.2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67"/>
      <c r="T20" s="567"/>
      <c r="U20" s="19"/>
      <c r="V20" s="568"/>
      <c r="W20" s="252"/>
      <c r="X20" s="264"/>
      <c r="Y20" s="565"/>
      <c r="AA20" s="566"/>
      <c r="AB20" s="567"/>
      <c r="AF20" s="567"/>
      <c r="AG20" s="19"/>
      <c r="AH20" s="568"/>
      <c r="AI20" s="252"/>
      <c r="AJ20" s="264"/>
      <c r="AK20" s="565"/>
    </row>
    <row r="21" spans="1:37" x14ac:dyDescent="0.2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66"/>
      <c r="AB21" s="567"/>
      <c r="AF21" s="567"/>
      <c r="AG21" s="19"/>
      <c r="AH21" s="568"/>
      <c r="AI21" s="252"/>
      <c r="AJ21" s="264"/>
      <c r="AK21" s="565"/>
    </row>
    <row r="22" spans="1:37" x14ac:dyDescent="0.2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66"/>
      <c r="AB22" s="51"/>
      <c r="AF22" s="567"/>
      <c r="AG22" s="19"/>
      <c r="AH22" s="568"/>
      <c r="AI22" s="252"/>
      <c r="AJ22" s="264"/>
      <c r="AK22" s="565"/>
    </row>
    <row r="23" spans="1:37" x14ac:dyDescent="0.2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67"/>
      <c r="Q23" s="567"/>
      <c r="R23" s="567"/>
      <c r="S23" s="567"/>
      <c r="T23" s="567"/>
      <c r="U23" s="19"/>
      <c r="V23" s="568"/>
      <c r="W23" s="252"/>
      <c r="X23" s="264"/>
      <c r="Y23" s="565"/>
      <c r="AA23" s="566"/>
      <c r="AB23" s="51"/>
      <c r="AF23" s="567"/>
      <c r="AG23" s="19"/>
      <c r="AH23" s="568"/>
      <c r="AI23" s="252"/>
      <c r="AJ23" s="264"/>
      <c r="AK23" s="565"/>
    </row>
    <row r="24" spans="1:37" x14ac:dyDescent="0.2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67"/>
      <c r="Q24" s="567"/>
      <c r="R24" s="567"/>
      <c r="S24" s="567"/>
      <c r="T24" s="567"/>
      <c r="U24" s="19"/>
      <c r="V24" s="568"/>
      <c r="W24" s="252"/>
      <c r="X24" s="264"/>
      <c r="Y24" s="565"/>
    </row>
    <row r="25" spans="1:37" x14ac:dyDescent="0.2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67"/>
      <c r="Q25" s="567"/>
      <c r="R25" s="567"/>
      <c r="S25" s="567"/>
      <c r="T25" s="567"/>
      <c r="U25" s="19"/>
      <c r="V25" s="568"/>
      <c r="W25" s="252"/>
      <c r="X25" s="264"/>
      <c r="Y25" s="565"/>
    </row>
    <row r="26" spans="1:37" x14ac:dyDescent="0.2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67"/>
      <c r="Q26" s="567"/>
      <c r="R26" s="567"/>
      <c r="S26" s="567"/>
      <c r="T26" s="567"/>
      <c r="U26" s="19"/>
      <c r="V26" s="568"/>
      <c r="W26" s="252"/>
      <c r="X26" s="264"/>
      <c r="Y26" s="565"/>
    </row>
    <row r="27" spans="1:37" x14ac:dyDescent="0.2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67"/>
      <c r="Q27" s="567"/>
      <c r="R27" s="567"/>
      <c r="S27" s="567"/>
      <c r="T27" s="567"/>
      <c r="U27" s="19"/>
      <c r="V27" s="568"/>
      <c r="W27" s="252"/>
      <c r="X27" s="264"/>
      <c r="Y27" s="565"/>
    </row>
    <row r="28" spans="1:37" x14ac:dyDescent="0.2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67"/>
      <c r="Q28" s="567"/>
      <c r="R28" s="567"/>
      <c r="S28" s="567"/>
      <c r="T28" s="567"/>
      <c r="U28" s="19"/>
      <c r="V28" s="568"/>
      <c r="W28" s="252"/>
      <c r="X28" s="264"/>
      <c r="Y28" s="565"/>
    </row>
    <row r="29" spans="1:37" x14ac:dyDescent="0.2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67"/>
      <c r="Q29" s="567"/>
      <c r="R29" s="567"/>
      <c r="S29" s="567"/>
      <c r="T29" s="567"/>
      <c r="U29" s="19"/>
      <c r="V29" s="568"/>
      <c r="W29" s="252"/>
      <c r="X29" s="264"/>
      <c r="Y29" s="565"/>
    </row>
    <row r="30" spans="1:37" x14ac:dyDescent="0.2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67"/>
      <c r="Q30" s="567"/>
      <c r="R30" s="567"/>
      <c r="S30" s="567"/>
      <c r="T30" s="567"/>
      <c r="U30" s="19"/>
      <c r="V30" s="568"/>
      <c r="W30" s="252"/>
      <c r="X30" s="264"/>
      <c r="Y30" s="565"/>
    </row>
    <row r="31" spans="1:37" x14ac:dyDescent="0.2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67"/>
      <c r="Q31" s="567"/>
      <c r="R31" s="567"/>
      <c r="S31" s="567"/>
      <c r="T31" s="567"/>
      <c r="U31" s="19"/>
      <c r="V31" s="568"/>
      <c r="W31" s="252"/>
      <c r="X31" s="264"/>
      <c r="Y31" s="565"/>
    </row>
    <row r="32" spans="1:37" x14ac:dyDescent="0.2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67"/>
      <c r="Q32" s="567"/>
      <c r="R32" s="567"/>
      <c r="S32" s="567"/>
      <c r="T32" s="567"/>
      <c r="U32" s="19"/>
      <c r="V32" s="568"/>
      <c r="W32" s="252"/>
      <c r="X32" s="264"/>
      <c r="Y32" s="565"/>
    </row>
    <row r="33" spans="1:25" x14ac:dyDescent="0.2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67"/>
      <c r="Q33" s="567"/>
      <c r="R33" s="567"/>
      <c r="S33" s="567"/>
      <c r="T33" s="567"/>
      <c r="U33" s="19"/>
      <c r="V33" s="568"/>
      <c r="W33" s="252"/>
      <c r="X33" s="264"/>
      <c r="Y33" s="565"/>
    </row>
    <row r="34" spans="1:25" x14ac:dyDescent="0.2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67"/>
      <c r="T34" s="567"/>
      <c r="U34" s="19"/>
      <c r="V34" s="568"/>
      <c r="W34" s="252"/>
      <c r="X34" s="264"/>
      <c r="Y34" s="565"/>
    </row>
    <row r="35" spans="1:25" x14ac:dyDescent="0.2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67"/>
      <c r="T35" s="567"/>
      <c r="U35" s="19"/>
      <c r="V35" s="568"/>
      <c r="W35" s="252"/>
      <c r="X35" s="264"/>
      <c r="Y35" s="565"/>
    </row>
    <row r="36" spans="1:25" x14ac:dyDescent="0.2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67"/>
      <c r="T36" s="567"/>
      <c r="U36" s="19"/>
      <c r="V36" s="568"/>
      <c r="W36" s="252"/>
      <c r="X36" s="264"/>
      <c r="Y36" s="565"/>
    </row>
    <row r="37" spans="1:25" x14ac:dyDescent="0.2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67"/>
      <c r="T37" s="567"/>
      <c r="U37" s="19"/>
      <c r="V37" s="568"/>
      <c r="W37" s="252"/>
      <c r="X37" s="264"/>
      <c r="Y37" s="565"/>
    </row>
    <row r="38" spans="1:25" x14ac:dyDescent="0.2">
      <c r="N38" s="264">
        <f>+summary!G4</f>
        <v>2.08</v>
      </c>
      <c r="P38" s="51"/>
      <c r="T38" s="567"/>
      <c r="U38" s="19"/>
      <c r="V38" s="568"/>
      <c r="W38" s="252"/>
      <c r="X38" s="264"/>
      <c r="Y38" s="565"/>
    </row>
    <row r="39" spans="1:25" x14ac:dyDescent="0.2">
      <c r="H39" s="262"/>
      <c r="I39" s="262"/>
      <c r="J39" s="262"/>
      <c r="K39" s="262"/>
      <c r="L39" s="262"/>
      <c r="M39" s="262"/>
      <c r="N39" s="473">
        <f>+N38*N37</f>
        <v>0</v>
      </c>
      <c r="P39" s="51"/>
      <c r="T39" s="567"/>
      <c r="U39" s="19"/>
      <c r="V39" s="568"/>
      <c r="W39" s="252"/>
      <c r="X39" s="264"/>
      <c r="Y39" s="565"/>
    </row>
    <row r="40" spans="1:25" x14ac:dyDescent="0.2">
      <c r="N40" s="329"/>
      <c r="P40" s="567"/>
      <c r="T40" s="567"/>
      <c r="U40" s="19"/>
      <c r="V40" s="568"/>
      <c r="W40" s="252"/>
      <c r="X40" s="264"/>
      <c r="Y40" s="565"/>
    </row>
    <row r="41" spans="1:25" x14ac:dyDescent="0.2">
      <c r="A41" s="263">
        <v>37256</v>
      </c>
      <c r="C41" s="131"/>
      <c r="E41" s="131"/>
      <c r="G41" s="131"/>
      <c r="I41" s="131"/>
      <c r="K41" s="131"/>
      <c r="M41" s="131"/>
      <c r="N41" s="570">
        <v>107948.28</v>
      </c>
      <c r="P41" s="567"/>
      <c r="T41" s="567"/>
      <c r="U41" s="19"/>
      <c r="V41" s="568"/>
      <c r="W41" s="252"/>
      <c r="X41" s="264"/>
      <c r="Y41" s="565"/>
    </row>
    <row r="42" spans="1:25" x14ac:dyDescent="0.2">
      <c r="N42" s="319"/>
      <c r="P42" s="567"/>
      <c r="T42" s="567"/>
      <c r="U42" s="19"/>
      <c r="V42" s="568"/>
      <c r="W42" s="252"/>
      <c r="X42" s="264"/>
      <c r="Y42" s="565"/>
    </row>
    <row r="43" spans="1:25" x14ac:dyDescent="0.2">
      <c r="A43" s="263">
        <v>37256</v>
      </c>
      <c r="N43" s="319">
        <f>+N41+N39</f>
        <v>107948.28</v>
      </c>
      <c r="P43" s="567"/>
      <c r="T43" s="567"/>
      <c r="U43" s="19"/>
      <c r="V43" s="568"/>
      <c r="W43" s="252"/>
      <c r="X43" s="264"/>
      <c r="Y43" s="565"/>
    </row>
    <row r="44" spans="1:25" x14ac:dyDescent="0.2">
      <c r="N44" s="329"/>
      <c r="P44" s="567"/>
      <c r="T44" s="567"/>
      <c r="U44" s="19"/>
      <c r="V44" s="568"/>
      <c r="W44" s="252"/>
      <c r="X44" s="264"/>
      <c r="Y44" s="565"/>
    </row>
    <row r="45" spans="1:25" x14ac:dyDescent="0.2">
      <c r="P45" s="567"/>
      <c r="T45" s="567"/>
      <c r="U45" s="19"/>
      <c r="V45" s="568"/>
      <c r="W45" s="252"/>
      <c r="X45" s="264"/>
      <c r="Y45" s="565"/>
    </row>
    <row r="46" spans="1:25" x14ac:dyDescent="0.2">
      <c r="B46" s="465"/>
      <c r="D46" s="465"/>
      <c r="F46" s="465"/>
      <c r="H46" s="465"/>
      <c r="J46" s="465"/>
      <c r="L46" s="465"/>
      <c r="O46" s="566"/>
      <c r="P46" s="51"/>
      <c r="T46" s="567"/>
      <c r="U46" s="19"/>
      <c r="V46" s="568"/>
      <c r="W46" s="252"/>
      <c r="X46" s="264"/>
      <c r="Y46" s="565"/>
    </row>
    <row r="47" spans="1:25" x14ac:dyDescent="0.2">
      <c r="A47" s="249" t="s">
        <v>149</v>
      </c>
      <c r="B47" s="249"/>
      <c r="C47" s="249"/>
      <c r="D47" s="249"/>
      <c r="E47" s="558"/>
      <c r="F47" s="558"/>
      <c r="G47" s="558"/>
      <c r="H47" s="558"/>
      <c r="I47" s="558"/>
      <c r="J47" s="558"/>
      <c r="K47" s="558"/>
      <c r="L47" s="558"/>
      <c r="M47" s="558"/>
      <c r="N47" s="558"/>
      <c r="O47" s="566"/>
      <c r="P47" s="51"/>
      <c r="T47" s="567"/>
      <c r="U47" s="19"/>
      <c r="V47" s="568"/>
      <c r="W47" s="252"/>
      <c r="X47" s="264"/>
      <c r="Y47" s="565"/>
    </row>
    <row r="48" spans="1:25" x14ac:dyDescent="0.2">
      <c r="A48" s="571">
        <f>+A41</f>
        <v>37256</v>
      </c>
      <c r="B48" s="249"/>
      <c r="C48" s="249"/>
      <c r="D48" s="572">
        <v>36315</v>
      </c>
      <c r="E48" s="466"/>
      <c r="F48" s="466"/>
      <c r="G48" s="466"/>
      <c r="H48" s="466"/>
      <c r="I48" s="466"/>
      <c r="J48" s="466"/>
      <c r="K48" s="466"/>
      <c r="L48" s="466"/>
      <c r="M48" s="466"/>
      <c r="N48" s="466"/>
      <c r="O48" s="566"/>
      <c r="T48" s="567"/>
      <c r="U48" s="19"/>
      <c r="V48" s="568"/>
      <c r="W48" s="252"/>
      <c r="X48" s="264"/>
      <c r="Y48" s="565"/>
    </row>
    <row r="49" spans="1:25" x14ac:dyDescent="0.2">
      <c r="A49" s="571">
        <f>+A43</f>
        <v>37256</v>
      </c>
      <c r="B49" s="249"/>
      <c r="C49" s="249"/>
      <c r="D49" s="459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66"/>
      <c r="T49" s="567"/>
      <c r="U49" s="19"/>
      <c r="V49" s="568"/>
      <c r="W49" s="252"/>
      <c r="X49" s="264"/>
      <c r="Y49" s="565"/>
    </row>
    <row r="50" spans="1:25" x14ac:dyDescent="0.2">
      <c r="A50" s="249"/>
      <c r="B50" s="249"/>
      <c r="C50" s="249"/>
      <c r="D50" s="262">
        <f>+D49+D48</f>
        <v>36315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66"/>
      <c r="U50" s="19"/>
    </row>
    <row r="51" spans="1:25" x14ac:dyDescent="0.2">
      <c r="A51" s="573"/>
      <c r="B51" s="574"/>
      <c r="C51" s="478"/>
      <c r="D51" s="478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66"/>
    </row>
    <row r="52" spans="1:25" x14ac:dyDescent="0.2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66"/>
    </row>
    <row r="53" spans="1:25" x14ac:dyDescent="0.2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66"/>
    </row>
    <row r="54" spans="1:25" x14ac:dyDescent="0.2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66"/>
    </row>
    <row r="55" spans="1:25" x14ac:dyDescent="0.2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66"/>
    </row>
    <row r="56" spans="1:25" x14ac:dyDescent="0.2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66"/>
    </row>
    <row r="57" spans="1:25" x14ac:dyDescent="0.2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66"/>
    </row>
    <row r="58" spans="1:25" x14ac:dyDescent="0.2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66"/>
    </row>
    <row r="59" spans="1:25" x14ac:dyDescent="0.2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66"/>
    </row>
    <row r="60" spans="1:25" x14ac:dyDescent="0.2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66"/>
    </row>
    <row r="61" spans="1:25" x14ac:dyDescent="0.2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66"/>
    </row>
    <row r="62" spans="1:25" x14ac:dyDescent="0.2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66"/>
    </row>
    <row r="63" spans="1:25" x14ac:dyDescent="0.2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66"/>
    </row>
    <row r="64" spans="1:25" x14ac:dyDescent="0.2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66"/>
    </row>
    <row r="65" spans="1:22" x14ac:dyDescent="0.2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66"/>
    </row>
    <row r="66" spans="1:22" x14ac:dyDescent="0.2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66"/>
    </row>
    <row r="67" spans="1:22" x14ac:dyDescent="0.2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66"/>
    </row>
    <row r="68" spans="1:22" x14ac:dyDescent="0.2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66"/>
    </row>
    <row r="69" spans="1:22" x14ac:dyDescent="0.2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66"/>
      <c r="P70" s="567"/>
      <c r="Q70" s="567"/>
      <c r="R70" s="567"/>
      <c r="S70" s="567"/>
      <c r="T70" s="567"/>
      <c r="U70" s="28"/>
      <c r="V70" s="575"/>
    </row>
    <row r="71" spans="1:22" x14ac:dyDescent="0.2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66"/>
      <c r="P71" s="567"/>
      <c r="Q71" s="567"/>
      <c r="R71" s="567"/>
      <c r="S71" s="567"/>
      <c r="T71" s="567"/>
      <c r="U71" s="28"/>
      <c r="V71" s="575"/>
    </row>
    <row r="72" spans="1:22" x14ac:dyDescent="0.2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66"/>
      <c r="P72" s="567"/>
      <c r="Q72" s="567"/>
      <c r="R72" s="567"/>
      <c r="S72" s="567"/>
      <c r="T72" s="567"/>
      <c r="U72" s="28"/>
      <c r="V72" s="575"/>
    </row>
    <row r="73" spans="1:22" x14ac:dyDescent="0.2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66"/>
      <c r="P73" s="567"/>
      <c r="Q73" s="567"/>
      <c r="R73" s="567"/>
      <c r="S73" s="567"/>
      <c r="T73" s="567"/>
      <c r="U73" s="28"/>
      <c r="V73" s="575"/>
    </row>
    <row r="74" spans="1:22" x14ac:dyDescent="0.2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66"/>
      <c r="P74" s="567"/>
      <c r="Q74" s="567"/>
      <c r="R74" s="567"/>
      <c r="S74" s="567"/>
      <c r="T74" s="567"/>
      <c r="U74" s="28"/>
      <c r="V74" s="575"/>
    </row>
    <row r="75" spans="1:22" x14ac:dyDescent="0.2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66"/>
      <c r="P75" s="567"/>
      <c r="Q75" s="567"/>
      <c r="R75" s="567"/>
      <c r="S75" s="567"/>
      <c r="T75" s="567"/>
      <c r="U75" s="28"/>
      <c r="V75" s="575"/>
    </row>
    <row r="76" spans="1:22" x14ac:dyDescent="0.2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66"/>
      <c r="P76" s="567"/>
      <c r="Q76" s="567"/>
      <c r="R76" s="567"/>
      <c r="S76" s="567"/>
      <c r="T76" s="567"/>
      <c r="U76" s="28"/>
      <c r="V76" s="575"/>
    </row>
    <row r="77" spans="1:22" x14ac:dyDescent="0.2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66"/>
      <c r="P77" s="567"/>
      <c r="Q77" s="567"/>
      <c r="R77" s="567"/>
      <c r="S77" s="567"/>
      <c r="T77" s="567"/>
      <c r="U77" s="28"/>
      <c r="V77" s="575"/>
    </row>
    <row r="78" spans="1:22" x14ac:dyDescent="0.2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66"/>
      <c r="P78" s="567"/>
      <c r="Q78" s="567"/>
      <c r="R78" s="567"/>
      <c r="S78" s="567"/>
      <c r="T78" s="567"/>
      <c r="U78" s="28"/>
      <c r="V78" s="575"/>
    </row>
    <row r="79" spans="1:22" x14ac:dyDescent="0.2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66"/>
      <c r="P79" s="567"/>
      <c r="Q79" s="567"/>
      <c r="R79" s="567"/>
      <c r="S79" s="567"/>
      <c r="T79" s="567"/>
      <c r="U79" s="28"/>
      <c r="V79" s="575"/>
    </row>
    <row r="80" spans="1:22" x14ac:dyDescent="0.2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66"/>
      <c r="P80" s="567"/>
      <c r="Q80" s="567"/>
      <c r="R80" s="567"/>
      <c r="S80" s="567"/>
      <c r="T80" s="567"/>
      <c r="U80" s="28"/>
      <c r="V80" s="575"/>
    </row>
    <row r="81" spans="1:22" x14ac:dyDescent="0.2">
      <c r="A81" s="261"/>
      <c r="C81" s="131"/>
      <c r="E81" s="131"/>
      <c r="G81" s="131"/>
      <c r="I81" s="131"/>
      <c r="K81" s="131"/>
      <c r="M81" s="131"/>
      <c r="O81" s="566"/>
      <c r="P81" s="567"/>
      <c r="Q81" s="567"/>
      <c r="R81" s="567"/>
      <c r="S81" s="567"/>
      <c r="T81" s="567"/>
      <c r="U81" s="28"/>
      <c r="V81" s="575"/>
    </row>
    <row r="82" spans="1:22" x14ac:dyDescent="0.2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66"/>
      <c r="P82" s="567"/>
      <c r="Q82" s="567"/>
      <c r="R82" s="567"/>
      <c r="S82" s="567"/>
      <c r="T82" s="567"/>
      <c r="U82" s="28"/>
      <c r="V82" s="575"/>
    </row>
    <row r="83" spans="1:22" x14ac:dyDescent="0.2">
      <c r="A83" s="261"/>
      <c r="C83" s="131"/>
      <c r="E83" s="131"/>
      <c r="H83" s="576"/>
      <c r="I83" s="576"/>
      <c r="J83" s="576"/>
      <c r="K83" s="576"/>
      <c r="L83" s="576"/>
      <c r="M83" s="576"/>
      <c r="N83" s="131"/>
      <c r="O83" s="566"/>
      <c r="P83" s="567"/>
      <c r="Q83" s="567"/>
      <c r="R83" s="567"/>
      <c r="S83" s="567"/>
      <c r="T83" s="567"/>
      <c r="V83" s="575"/>
    </row>
    <row r="84" spans="1:22" x14ac:dyDescent="0.2">
      <c r="A84" s="261"/>
      <c r="O84" s="566"/>
      <c r="P84" s="567"/>
      <c r="Q84" s="567"/>
      <c r="R84" s="567"/>
      <c r="S84" s="567"/>
      <c r="T84" s="567"/>
      <c r="V84" s="575"/>
    </row>
    <row r="85" spans="1:22" x14ac:dyDescent="0.2">
      <c r="A85" s="261"/>
      <c r="O85" s="566"/>
      <c r="P85" s="567"/>
      <c r="Q85" s="567"/>
      <c r="R85" s="567"/>
      <c r="S85" s="567"/>
      <c r="T85" s="567"/>
      <c r="V85" s="575"/>
    </row>
    <row r="86" spans="1:22" x14ac:dyDescent="0.2">
      <c r="A86" s="261"/>
      <c r="O86" s="566"/>
      <c r="P86" s="567"/>
      <c r="Q86" s="567"/>
      <c r="R86" s="567"/>
      <c r="S86" s="567"/>
      <c r="T86" s="567"/>
      <c r="V86" s="575"/>
    </row>
    <row r="87" spans="1:22" x14ac:dyDescent="0.2">
      <c r="A87" s="261"/>
      <c r="O87" s="566"/>
      <c r="P87" s="567"/>
      <c r="Q87" s="567"/>
      <c r="R87" s="567"/>
      <c r="S87" s="567"/>
      <c r="T87" s="567"/>
      <c r="V87" s="575"/>
    </row>
    <row r="88" spans="1:22" x14ac:dyDescent="0.2">
      <c r="A88" s="261"/>
      <c r="O88" s="566"/>
      <c r="P88" s="567"/>
      <c r="Q88" s="567"/>
      <c r="R88" s="567"/>
      <c r="S88" s="567"/>
      <c r="T88" s="567"/>
      <c r="V88" s="575"/>
    </row>
    <row r="89" spans="1:22" x14ac:dyDescent="0.2">
      <c r="A89" s="261"/>
      <c r="O89" s="566"/>
      <c r="P89" s="567"/>
      <c r="Q89" s="567"/>
      <c r="R89" s="567"/>
      <c r="S89" s="567"/>
      <c r="T89" s="567"/>
      <c r="V89" s="575"/>
    </row>
    <row r="90" spans="1:22" x14ac:dyDescent="0.2">
      <c r="B90" s="465"/>
      <c r="D90" s="465"/>
      <c r="F90" s="465"/>
      <c r="H90" s="465"/>
      <c r="J90" s="465"/>
      <c r="L90" s="465"/>
      <c r="O90" s="566"/>
      <c r="P90" s="567"/>
      <c r="Q90" s="567"/>
      <c r="R90" s="567"/>
      <c r="S90" s="567"/>
      <c r="T90" s="567"/>
      <c r="V90" s="575"/>
    </row>
    <row r="91" spans="1:22" x14ac:dyDescent="0.2">
      <c r="A91" s="577"/>
      <c r="B91" s="558"/>
      <c r="C91" s="558"/>
      <c r="D91" s="558"/>
      <c r="E91" s="558"/>
      <c r="F91" s="558"/>
      <c r="G91" s="558"/>
      <c r="H91" s="558"/>
      <c r="I91" s="558"/>
      <c r="J91" s="558"/>
      <c r="K91" s="558"/>
      <c r="L91" s="558"/>
      <c r="M91" s="558"/>
      <c r="N91" s="558"/>
      <c r="O91" s="566"/>
      <c r="P91" s="567"/>
      <c r="Q91" s="567"/>
      <c r="R91" s="567"/>
      <c r="S91" s="567"/>
      <c r="T91" s="567"/>
      <c r="V91" s="575"/>
    </row>
    <row r="92" spans="1:22" x14ac:dyDescent="0.2">
      <c r="A92" s="560"/>
      <c r="B92" s="466"/>
      <c r="C92" s="466"/>
      <c r="D92" s="466"/>
      <c r="E92" s="466"/>
      <c r="F92" s="466"/>
      <c r="G92" s="466"/>
      <c r="H92" s="466"/>
      <c r="I92" s="466"/>
      <c r="J92" s="466"/>
      <c r="K92" s="466"/>
      <c r="L92" s="466"/>
      <c r="M92" s="466"/>
      <c r="N92" s="466"/>
      <c r="O92" s="566"/>
      <c r="P92" s="576"/>
      <c r="Q92" s="576"/>
      <c r="R92" s="576"/>
      <c r="S92" s="576"/>
      <c r="T92" s="576"/>
      <c r="V92" s="561"/>
    </row>
    <row r="93" spans="1:22" x14ac:dyDescent="0.2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">
      <c r="A127" s="261"/>
      <c r="C127" s="131"/>
      <c r="E127" s="131"/>
      <c r="H127" s="576"/>
      <c r="I127" s="576"/>
      <c r="J127" s="576"/>
      <c r="K127" s="576"/>
      <c r="L127" s="576"/>
      <c r="M127" s="576"/>
      <c r="N127" s="131"/>
    </row>
    <row r="128" spans="1:14" x14ac:dyDescent="0.2">
      <c r="A128" s="261"/>
    </row>
    <row r="129" spans="1:14" x14ac:dyDescent="0.2">
      <c r="B129" s="465"/>
      <c r="D129" s="465"/>
      <c r="F129" s="465"/>
      <c r="H129" s="465"/>
      <c r="J129" s="465"/>
      <c r="L129" s="465"/>
    </row>
    <row r="130" spans="1:14" x14ac:dyDescent="0.2">
      <c r="B130" s="557"/>
      <c r="C130" s="558"/>
      <c r="D130" s="558"/>
      <c r="E130" s="558"/>
      <c r="F130" s="558"/>
      <c r="G130" s="558"/>
      <c r="H130" s="558"/>
      <c r="I130" s="558"/>
      <c r="J130" s="558"/>
      <c r="K130" s="558"/>
      <c r="L130" s="558"/>
      <c r="M130" s="558"/>
      <c r="N130" s="558"/>
    </row>
    <row r="131" spans="1:14" x14ac:dyDescent="0.2">
      <c r="A131" s="560"/>
      <c r="B131" s="466"/>
      <c r="C131" s="466"/>
      <c r="D131" s="466"/>
      <c r="E131" s="466"/>
      <c r="F131" s="466"/>
      <c r="G131" s="466"/>
      <c r="H131" s="466"/>
      <c r="I131" s="466"/>
      <c r="J131" s="466"/>
      <c r="K131" s="466"/>
      <c r="L131" s="466"/>
      <c r="M131" s="466"/>
      <c r="N131" s="466"/>
    </row>
    <row r="132" spans="1:14" x14ac:dyDescent="0.2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">
      <c r="I166" s="578"/>
      <c r="K166" s="578"/>
      <c r="M166" s="578"/>
      <c r="N166" s="51"/>
    </row>
    <row r="167" spans="1:14" x14ac:dyDescent="0.2">
      <c r="N167" s="51"/>
    </row>
    <row r="171" spans="1:14" x14ac:dyDescent="0.2">
      <c r="B171" s="465"/>
      <c r="D171" s="465"/>
      <c r="F171" s="465"/>
      <c r="H171" s="465"/>
      <c r="J171" s="465"/>
      <c r="L171" s="465"/>
    </row>
    <row r="172" spans="1:14" x14ac:dyDescent="0.2">
      <c r="B172" s="557"/>
      <c r="C172" s="558"/>
      <c r="D172" s="558"/>
      <c r="E172" s="558"/>
      <c r="F172" s="558"/>
      <c r="G172" s="558"/>
      <c r="H172" s="558"/>
      <c r="I172" s="558"/>
      <c r="J172" s="558"/>
      <c r="K172" s="558"/>
      <c r="L172" s="558"/>
      <c r="M172" s="558"/>
    </row>
    <row r="173" spans="1:14" x14ac:dyDescent="0.2">
      <c r="A173" s="560"/>
      <c r="B173" s="466"/>
      <c r="C173" s="466"/>
      <c r="D173" s="466"/>
      <c r="E173" s="466"/>
      <c r="F173" s="466"/>
      <c r="G173" s="466"/>
      <c r="H173" s="466"/>
      <c r="I173" s="466"/>
      <c r="J173" s="466"/>
      <c r="K173" s="466"/>
      <c r="L173" s="466"/>
      <c r="M173" s="466"/>
    </row>
    <row r="174" spans="1:14" x14ac:dyDescent="0.2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">
      <c r="I208" s="578"/>
      <c r="K208" s="578"/>
      <c r="M208" s="578"/>
    </row>
    <row r="214" spans="1:13" x14ac:dyDescent="0.2">
      <c r="B214" s="465"/>
      <c r="D214" s="465"/>
      <c r="F214" s="465"/>
      <c r="H214" s="465"/>
      <c r="J214" s="465"/>
      <c r="L214" s="465"/>
    </row>
    <row r="215" spans="1:13" x14ac:dyDescent="0.2">
      <c r="B215" s="557"/>
      <c r="C215" s="558"/>
      <c r="D215" s="558"/>
      <c r="E215" s="558"/>
      <c r="F215" s="558"/>
      <c r="G215" s="558"/>
      <c r="H215" s="558"/>
      <c r="I215" s="558"/>
      <c r="J215" s="558"/>
      <c r="K215" s="558"/>
      <c r="L215" s="558"/>
      <c r="M215" s="558"/>
    </row>
    <row r="216" spans="1:13" x14ac:dyDescent="0.2">
      <c r="A216" s="560"/>
      <c r="B216" s="466"/>
      <c r="C216" s="466"/>
      <c r="D216" s="466"/>
      <c r="E216" s="466"/>
      <c r="F216" s="466"/>
      <c r="G216" s="466"/>
      <c r="H216" s="466"/>
      <c r="I216" s="466"/>
      <c r="J216" s="466"/>
      <c r="K216" s="466"/>
      <c r="L216" s="466"/>
      <c r="M216" s="466"/>
    </row>
    <row r="217" spans="1:13" x14ac:dyDescent="0.2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">
      <c r="I251" s="578"/>
      <c r="K251" s="578"/>
      <c r="M251" s="578"/>
    </row>
    <row r="256" spans="1:21" x14ac:dyDescent="0.2">
      <c r="B256" s="465"/>
      <c r="D256" s="465"/>
      <c r="F256" s="465"/>
      <c r="H256" s="465"/>
      <c r="J256" s="465"/>
      <c r="L256" s="465"/>
      <c r="O256" s="465"/>
      <c r="Q256" s="465"/>
      <c r="S256" s="465"/>
      <c r="U256" s="465"/>
    </row>
    <row r="257" spans="1:23" x14ac:dyDescent="0.2">
      <c r="B257" s="557"/>
      <c r="C257" s="558"/>
      <c r="D257" s="558"/>
      <c r="E257" s="558"/>
      <c r="F257" s="558"/>
      <c r="G257" s="558"/>
      <c r="H257" s="558"/>
      <c r="I257" s="558"/>
      <c r="J257" s="558"/>
      <c r="K257" s="558"/>
      <c r="L257" s="558"/>
      <c r="M257" s="558"/>
      <c r="O257" s="557"/>
      <c r="P257" s="558"/>
      <c r="Q257" s="558"/>
      <c r="R257" s="558"/>
      <c r="S257" s="558"/>
      <c r="T257" s="558"/>
      <c r="U257" s="558"/>
      <c r="V257" s="558"/>
      <c r="W257" s="558"/>
    </row>
    <row r="258" spans="1:23" x14ac:dyDescent="0.2">
      <c r="A258" s="560"/>
      <c r="B258" s="466"/>
      <c r="C258" s="466"/>
      <c r="D258" s="466"/>
      <c r="E258" s="466"/>
      <c r="F258" s="466"/>
      <c r="G258" s="466"/>
      <c r="H258" s="466"/>
      <c r="I258" s="466"/>
      <c r="J258" s="466"/>
      <c r="K258" s="466"/>
      <c r="L258" s="466"/>
      <c r="M258" s="466"/>
      <c r="N258" s="560"/>
      <c r="O258" s="466"/>
      <c r="P258" s="466"/>
      <c r="Q258" s="466"/>
      <c r="R258" s="466"/>
      <c r="S258" s="466"/>
      <c r="T258" s="466"/>
      <c r="U258" s="466"/>
      <c r="V258" s="466"/>
      <c r="W258" s="466"/>
    </row>
    <row r="259" spans="1:23" x14ac:dyDescent="0.2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">
      <c r="I293" s="578"/>
      <c r="K293" s="578"/>
      <c r="M293" s="578"/>
      <c r="V293" s="578"/>
      <c r="W293" s="51"/>
    </row>
    <row r="294" spans="1:23" x14ac:dyDescent="0.2">
      <c r="W294" s="51"/>
    </row>
    <row r="295" spans="1:23" x14ac:dyDescent="0.2">
      <c r="W295" s="51"/>
    </row>
    <row r="297" spans="1:23" x14ac:dyDescent="0.2">
      <c r="O297" s="465"/>
      <c r="Q297" s="465"/>
      <c r="S297" s="465"/>
      <c r="U297" s="465"/>
    </row>
    <row r="298" spans="1:23" x14ac:dyDescent="0.2">
      <c r="O298" s="557"/>
      <c r="P298" s="558"/>
      <c r="Q298" s="558"/>
      <c r="R298" s="558"/>
      <c r="S298" s="558"/>
      <c r="T298" s="558"/>
      <c r="U298" s="558"/>
      <c r="V298" s="558"/>
      <c r="W298" s="558"/>
    </row>
    <row r="299" spans="1:23" x14ac:dyDescent="0.2">
      <c r="N299" s="560"/>
      <c r="O299" s="466"/>
      <c r="P299" s="466"/>
      <c r="Q299" s="466"/>
      <c r="R299" s="466"/>
      <c r="S299" s="466"/>
      <c r="T299" s="466"/>
      <c r="U299" s="466"/>
      <c r="V299" s="466"/>
      <c r="W299" s="466"/>
    </row>
    <row r="300" spans="1:23" x14ac:dyDescent="0.2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">
      <c r="P334" s="131"/>
      <c r="R334" s="131"/>
      <c r="T334" s="131"/>
      <c r="V334" s="131"/>
      <c r="W334" s="51"/>
    </row>
    <row r="335" spans="14:23" x14ac:dyDescent="0.2">
      <c r="W335" s="51"/>
    </row>
    <row r="336" spans="14:23" x14ac:dyDescent="0.2">
      <c r="N336" s="579"/>
      <c r="W336" s="51"/>
    </row>
    <row r="339" spans="14:23" x14ac:dyDescent="0.2">
      <c r="O339" s="465"/>
      <c r="Q339" s="465"/>
      <c r="S339" s="465"/>
      <c r="U339" s="465"/>
    </row>
    <row r="340" spans="14:23" x14ac:dyDescent="0.2">
      <c r="O340" s="557"/>
      <c r="P340" s="558"/>
      <c r="Q340" s="558"/>
      <c r="R340" s="558"/>
      <c r="S340" s="558"/>
      <c r="T340" s="558"/>
      <c r="U340" s="558"/>
      <c r="V340" s="558"/>
      <c r="W340" s="558"/>
    </row>
    <row r="341" spans="14:23" x14ac:dyDescent="0.2">
      <c r="N341" s="560"/>
      <c r="O341" s="466"/>
      <c r="P341" s="466"/>
      <c r="Q341" s="466"/>
      <c r="R341" s="466"/>
      <c r="S341" s="466"/>
      <c r="T341" s="466"/>
      <c r="U341" s="466"/>
      <c r="V341" s="466"/>
      <c r="W341" s="466"/>
    </row>
    <row r="342" spans="14:23" x14ac:dyDescent="0.2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">
      <c r="N376" s="556"/>
      <c r="P376" s="131"/>
      <c r="R376" s="131"/>
      <c r="T376" s="131"/>
      <c r="V376" s="131"/>
      <c r="W376" s="51"/>
    </row>
    <row r="377" spans="14:23" x14ac:dyDescent="0.2">
      <c r="W377" s="51"/>
    </row>
    <row r="378" spans="14:23" x14ac:dyDescent="0.2">
      <c r="N378" s="579"/>
      <c r="W378" s="580"/>
    </row>
    <row r="381" spans="14:23" x14ac:dyDescent="0.2">
      <c r="O381" s="465"/>
      <c r="Q381" s="465"/>
      <c r="S381" s="465"/>
      <c r="U381" s="465"/>
    </row>
    <row r="382" spans="14:23" x14ac:dyDescent="0.2">
      <c r="O382" s="557"/>
      <c r="P382" s="558"/>
      <c r="Q382" s="558"/>
      <c r="R382" s="558"/>
      <c r="S382" s="558"/>
      <c r="T382" s="558"/>
      <c r="U382" s="558"/>
      <c r="V382" s="558"/>
      <c r="W382" s="558"/>
    </row>
    <row r="383" spans="14:23" x14ac:dyDescent="0.2">
      <c r="N383" s="560"/>
      <c r="O383" s="466"/>
      <c r="P383" s="466"/>
      <c r="Q383" s="466"/>
      <c r="R383" s="466"/>
      <c r="S383" s="466"/>
      <c r="T383" s="466"/>
      <c r="U383" s="466"/>
      <c r="V383" s="466"/>
      <c r="W383" s="466"/>
    </row>
    <row r="384" spans="14:23" x14ac:dyDescent="0.2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">
      <c r="N418" s="556"/>
      <c r="P418" s="131"/>
      <c r="R418" s="131"/>
      <c r="T418" s="131"/>
      <c r="V418" s="131"/>
      <c r="W418" s="51"/>
    </row>
    <row r="419" spans="14:23" x14ac:dyDescent="0.2">
      <c r="W419" s="51"/>
    </row>
    <row r="420" spans="14:23" x14ac:dyDescent="0.2">
      <c r="N420" s="579"/>
      <c r="W420" s="580"/>
    </row>
    <row r="425" spans="14:23" x14ac:dyDescent="0.2">
      <c r="O425" s="465"/>
      <c r="Q425" s="465"/>
      <c r="S425" s="465"/>
      <c r="U425" s="465"/>
    </row>
    <row r="426" spans="14:23" x14ac:dyDescent="0.2">
      <c r="O426" s="557"/>
      <c r="P426" s="558"/>
      <c r="Q426" s="558"/>
      <c r="R426" s="558"/>
      <c r="S426" s="558"/>
      <c r="T426" s="558"/>
      <c r="U426" s="558"/>
      <c r="V426" s="558"/>
      <c r="W426" s="558"/>
    </row>
    <row r="427" spans="14:23" x14ac:dyDescent="0.2">
      <c r="N427" s="560"/>
      <c r="O427" s="466"/>
      <c r="P427" s="466"/>
      <c r="Q427" s="466"/>
      <c r="R427" s="466"/>
      <c r="S427" s="466"/>
      <c r="T427" s="466"/>
      <c r="U427" s="466"/>
      <c r="V427" s="466"/>
      <c r="W427" s="466"/>
    </row>
    <row r="428" spans="14:23" x14ac:dyDescent="0.2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">
      <c r="U461" s="262"/>
    </row>
    <row r="462" spans="14:23" x14ac:dyDescent="0.2">
      <c r="N462" s="556"/>
      <c r="P462" s="131"/>
      <c r="R462" s="131"/>
      <c r="T462" s="131"/>
      <c r="V462" s="131"/>
      <c r="W462" s="51"/>
    </row>
    <row r="463" spans="14:23" x14ac:dyDescent="0.2">
      <c r="W463" s="51"/>
    </row>
    <row r="464" spans="14:23" x14ac:dyDescent="0.2">
      <c r="N464" s="579"/>
      <c r="W464" s="51"/>
    </row>
    <row r="467" spans="14:33" x14ac:dyDescent="0.2">
      <c r="O467" s="465"/>
      <c r="Q467" s="465"/>
      <c r="S467" s="465"/>
      <c r="U467" s="465"/>
      <c r="Y467" s="465"/>
      <c r="AA467" s="465"/>
      <c r="AC467" s="465"/>
      <c r="AE467" s="465"/>
    </row>
    <row r="468" spans="14:33" x14ac:dyDescent="0.2">
      <c r="O468" s="557"/>
      <c r="P468" s="558"/>
      <c r="Q468" s="558"/>
      <c r="R468" s="558"/>
      <c r="S468" s="558"/>
      <c r="T468" s="558"/>
      <c r="U468" s="558"/>
      <c r="V468" s="558"/>
      <c r="W468" s="558"/>
      <c r="Y468" s="557"/>
      <c r="Z468" s="558"/>
      <c r="AA468" s="558"/>
      <c r="AB468" s="558"/>
      <c r="AC468" s="558"/>
      <c r="AD468" s="558"/>
      <c r="AE468" s="558"/>
      <c r="AF468" s="558"/>
      <c r="AG468" s="558"/>
    </row>
    <row r="469" spans="14:33" x14ac:dyDescent="0.2">
      <c r="N469" s="560"/>
      <c r="O469" s="466"/>
      <c r="P469" s="466"/>
      <c r="Q469" s="466"/>
      <c r="R469" s="466"/>
      <c r="S469" s="466"/>
      <c r="T469" s="466"/>
      <c r="U469" s="466"/>
      <c r="V469" s="466"/>
      <c r="W469" s="466"/>
      <c r="X469" s="560"/>
      <c r="Y469" s="466"/>
      <c r="Z469" s="466"/>
      <c r="AA469" s="466"/>
      <c r="AB469" s="466"/>
      <c r="AC469" s="466"/>
      <c r="AD469" s="466"/>
      <c r="AE469" s="466"/>
      <c r="AF469" s="466"/>
      <c r="AG469" s="466"/>
    </row>
    <row r="470" spans="14:33" x14ac:dyDescent="0.2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">
      <c r="U503" s="262"/>
      <c r="AE503" s="262"/>
    </row>
    <row r="504" spans="14:33" x14ac:dyDescent="0.2">
      <c r="N504" s="556"/>
      <c r="P504" s="131"/>
      <c r="R504" s="131"/>
      <c r="T504" s="131"/>
      <c r="V504" s="131"/>
      <c r="W504" s="51"/>
      <c r="X504" s="556"/>
      <c r="Z504" s="131"/>
      <c r="AB504" s="131"/>
      <c r="AD504" s="131"/>
      <c r="AF504" s="131"/>
      <c r="AG504" s="51"/>
    </row>
    <row r="505" spans="14:33" x14ac:dyDescent="0.2">
      <c r="W505" s="51"/>
      <c r="AG505" s="51"/>
    </row>
    <row r="506" spans="14:33" x14ac:dyDescent="0.2">
      <c r="N506" s="579"/>
      <c r="W506" s="51"/>
      <c r="X506" s="579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4" workbookViewId="0">
      <selection activeCell="C37" sqref="C37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165610</v>
      </c>
      <c r="C7" s="11">
        <v>167344</v>
      </c>
      <c r="D7" s="25">
        <f>+C7-B7</f>
        <v>1734</v>
      </c>
    </row>
    <row r="8" spans="1:4" x14ac:dyDescent="0.2">
      <c r="A8" s="10">
        <v>2</v>
      </c>
      <c r="B8" s="11">
        <v>166480</v>
      </c>
      <c r="C8" s="11">
        <v>167796</v>
      </c>
      <c r="D8" s="25">
        <f>+C8-B8</f>
        <v>1316</v>
      </c>
    </row>
    <row r="9" spans="1:4" x14ac:dyDescent="0.2">
      <c r="A9" s="10">
        <v>3</v>
      </c>
      <c r="B9" s="11">
        <v>137938</v>
      </c>
      <c r="C9" s="11">
        <v>137645</v>
      </c>
      <c r="D9" s="25">
        <f t="shared" ref="D9:D37" si="0">+C9-B9</f>
        <v>-293</v>
      </c>
    </row>
    <row r="10" spans="1:4" x14ac:dyDescent="0.2">
      <c r="A10" s="10">
        <v>4</v>
      </c>
      <c r="B10" s="11">
        <v>125026</v>
      </c>
      <c r="C10" s="11">
        <v>124963</v>
      </c>
      <c r="D10" s="25">
        <f t="shared" si="0"/>
        <v>-63</v>
      </c>
    </row>
    <row r="11" spans="1:4" x14ac:dyDescent="0.2">
      <c r="A11" s="10">
        <v>5</v>
      </c>
      <c r="B11" s="129">
        <v>146499</v>
      </c>
      <c r="C11" s="11">
        <v>137011</v>
      </c>
      <c r="D11" s="25">
        <f t="shared" si="0"/>
        <v>-9488</v>
      </c>
    </row>
    <row r="12" spans="1:4" x14ac:dyDescent="0.2">
      <c r="A12" s="10">
        <v>6</v>
      </c>
      <c r="B12" s="11">
        <v>145029</v>
      </c>
      <c r="C12" s="11">
        <v>145160</v>
      </c>
      <c r="D12" s="25">
        <f t="shared" si="0"/>
        <v>131</v>
      </c>
    </row>
    <row r="13" spans="1:4" x14ac:dyDescent="0.2">
      <c r="A13" s="10">
        <v>7</v>
      </c>
      <c r="B13" s="129">
        <v>142059</v>
      </c>
      <c r="C13" s="11">
        <v>140564</v>
      </c>
      <c r="D13" s="25">
        <f t="shared" si="0"/>
        <v>-1495</v>
      </c>
    </row>
    <row r="14" spans="1:4" x14ac:dyDescent="0.2">
      <c r="A14" s="10">
        <v>8</v>
      </c>
      <c r="B14" s="11">
        <v>158164</v>
      </c>
      <c r="C14" s="11">
        <v>152788</v>
      </c>
      <c r="D14" s="25">
        <f t="shared" si="0"/>
        <v>-5376</v>
      </c>
    </row>
    <row r="15" spans="1:4" x14ac:dyDescent="0.2">
      <c r="A15" s="10">
        <v>9</v>
      </c>
      <c r="B15" s="11">
        <v>146091</v>
      </c>
      <c r="C15" s="11">
        <v>145561</v>
      </c>
      <c r="D15" s="25">
        <f t="shared" si="0"/>
        <v>-530</v>
      </c>
    </row>
    <row r="16" spans="1:4" x14ac:dyDescent="0.2">
      <c r="A16" s="10">
        <v>10</v>
      </c>
      <c r="B16" s="11">
        <v>170217</v>
      </c>
      <c r="C16" s="11">
        <v>161989</v>
      </c>
      <c r="D16" s="25">
        <f t="shared" si="0"/>
        <v>-8228</v>
      </c>
    </row>
    <row r="17" spans="1:4" x14ac:dyDescent="0.2">
      <c r="A17" s="10">
        <v>11</v>
      </c>
      <c r="B17" s="11">
        <v>155187</v>
      </c>
      <c r="C17" s="11">
        <v>155406</v>
      </c>
      <c r="D17" s="25">
        <f t="shared" si="0"/>
        <v>219</v>
      </c>
    </row>
    <row r="18" spans="1:4" x14ac:dyDescent="0.2">
      <c r="A18" s="10">
        <v>12</v>
      </c>
      <c r="B18" s="11">
        <v>142391</v>
      </c>
      <c r="C18" s="11">
        <v>140202</v>
      </c>
      <c r="D18" s="25">
        <f t="shared" si="0"/>
        <v>-2189</v>
      </c>
    </row>
    <row r="19" spans="1:4" x14ac:dyDescent="0.2">
      <c r="A19" s="10">
        <v>13</v>
      </c>
      <c r="B19" s="11">
        <v>133550</v>
      </c>
      <c r="C19" s="11">
        <v>132844</v>
      </c>
      <c r="D19" s="25">
        <f t="shared" si="0"/>
        <v>-706</v>
      </c>
    </row>
    <row r="20" spans="1:4" x14ac:dyDescent="0.2">
      <c r="A20" s="10">
        <v>14</v>
      </c>
      <c r="B20" s="11">
        <v>132177</v>
      </c>
      <c r="C20" s="11">
        <v>132427</v>
      </c>
      <c r="D20" s="25">
        <f t="shared" si="0"/>
        <v>250</v>
      </c>
    </row>
    <row r="21" spans="1:4" x14ac:dyDescent="0.2">
      <c r="A21" s="10">
        <v>15</v>
      </c>
      <c r="B21" s="11">
        <v>129024</v>
      </c>
      <c r="C21" s="11">
        <v>129066</v>
      </c>
      <c r="D21" s="25">
        <f t="shared" si="0"/>
        <v>42</v>
      </c>
    </row>
    <row r="22" spans="1:4" x14ac:dyDescent="0.2">
      <c r="A22" s="10">
        <v>16</v>
      </c>
      <c r="B22" s="11">
        <v>119611</v>
      </c>
      <c r="C22" s="11">
        <v>118469</v>
      </c>
      <c r="D22" s="25">
        <f t="shared" si="0"/>
        <v>-1142</v>
      </c>
    </row>
    <row r="23" spans="1:4" x14ac:dyDescent="0.2">
      <c r="A23" s="10">
        <v>17</v>
      </c>
      <c r="B23" s="11">
        <v>128131</v>
      </c>
      <c r="C23" s="11">
        <v>126618</v>
      </c>
      <c r="D23" s="25">
        <f t="shared" si="0"/>
        <v>-1513</v>
      </c>
    </row>
    <row r="24" spans="1:4" x14ac:dyDescent="0.2">
      <c r="A24" s="10">
        <v>18</v>
      </c>
      <c r="B24" s="11">
        <v>122429</v>
      </c>
      <c r="C24" s="11">
        <v>121479</v>
      </c>
      <c r="D24" s="25">
        <f t="shared" si="0"/>
        <v>-950</v>
      </c>
    </row>
    <row r="25" spans="1:4" x14ac:dyDescent="0.2">
      <c r="A25" s="10">
        <v>19</v>
      </c>
      <c r="B25" s="11">
        <v>118760</v>
      </c>
      <c r="C25" s="11">
        <v>118536</v>
      </c>
      <c r="D25" s="25">
        <f t="shared" si="0"/>
        <v>-224</v>
      </c>
    </row>
    <row r="26" spans="1:4" x14ac:dyDescent="0.2">
      <c r="A26" s="10">
        <v>20</v>
      </c>
      <c r="B26" s="129">
        <v>125436</v>
      </c>
      <c r="C26" s="11">
        <v>125694</v>
      </c>
      <c r="D26" s="25">
        <f t="shared" si="0"/>
        <v>258</v>
      </c>
    </row>
    <row r="27" spans="1:4" x14ac:dyDescent="0.2">
      <c r="A27" s="10">
        <v>21</v>
      </c>
      <c r="B27" s="129">
        <v>125668</v>
      </c>
      <c r="C27" s="11">
        <v>125294</v>
      </c>
      <c r="D27" s="25">
        <f t="shared" si="0"/>
        <v>-374</v>
      </c>
    </row>
    <row r="28" spans="1:4" x14ac:dyDescent="0.2">
      <c r="A28" s="10">
        <v>22</v>
      </c>
      <c r="B28" s="11">
        <v>125226</v>
      </c>
      <c r="C28" s="11">
        <v>125294</v>
      </c>
      <c r="D28" s="25">
        <f t="shared" si="0"/>
        <v>68</v>
      </c>
    </row>
    <row r="29" spans="1:4" x14ac:dyDescent="0.2">
      <c r="A29" s="10">
        <v>23</v>
      </c>
      <c r="B29" s="11">
        <v>121913</v>
      </c>
      <c r="C29" s="11">
        <v>121546</v>
      </c>
      <c r="D29" s="25">
        <f t="shared" si="0"/>
        <v>-367</v>
      </c>
    </row>
    <row r="30" spans="1:4" x14ac:dyDescent="0.2">
      <c r="A30" s="10">
        <v>24</v>
      </c>
      <c r="B30" s="11">
        <v>132972</v>
      </c>
      <c r="C30" s="11">
        <v>132944</v>
      </c>
      <c r="D30" s="25">
        <f t="shared" si="0"/>
        <v>-28</v>
      </c>
    </row>
    <row r="31" spans="1:4" x14ac:dyDescent="0.2">
      <c r="A31" s="10">
        <v>25</v>
      </c>
      <c r="B31" s="11">
        <v>134340</v>
      </c>
      <c r="C31" s="11">
        <v>135467</v>
      </c>
      <c r="D31" s="25">
        <f t="shared" si="0"/>
        <v>1127</v>
      </c>
    </row>
    <row r="32" spans="1:4" x14ac:dyDescent="0.2">
      <c r="A32" s="10">
        <v>26</v>
      </c>
      <c r="B32" s="11">
        <v>130514</v>
      </c>
      <c r="C32" s="11">
        <v>130597</v>
      </c>
      <c r="D32" s="25">
        <f t="shared" si="0"/>
        <v>83</v>
      </c>
    </row>
    <row r="33" spans="1:8" x14ac:dyDescent="0.2">
      <c r="A33" s="10">
        <v>27</v>
      </c>
      <c r="B33" s="11">
        <v>136996</v>
      </c>
      <c r="C33" s="11">
        <v>136944</v>
      </c>
      <c r="D33" s="25">
        <f t="shared" si="0"/>
        <v>-52</v>
      </c>
    </row>
    <row r="34" spans="1:8" x14ac:dyDescent="0.2">
      <c r="A34" s="10">
        <v>28</v>
      </c>
      <c r="B34" s="11">
        <v>131310</v>
      </c>
      <c r="C34" s="11">
        <v>130597</v>
      </c>
      <c r="D34" s="25">
        <f t="shared" si="0"/>
        <v>-713</v>
      </c>
    </row>
    <row r="35" spans="1:8" x14ac:dyDescent="0.2">
      <c r="A35" s="10">
        <v>29</v>
      </c>
      <c r="B35" s="11">
        <v>145900</v>
      </c>
      <c r="C35" s="11">
        <v>145376</v>
      </c>
      <c r="D35" s="25">
        <f t="shared" si="0"/>
        <v>-524</v>
      </c>
    </row>
    <row r="36" spans="1:8" x14ac:dyDescent="0.2">
      <c r="A36" s="10">
        <v>30</v>
      </c>
      <c r="B36" s="11">
        <v>129648</v>
      </c>
      <c r="C36" s="11">
        <v>129253</v>
      </c>
      <c r="D36" s="25">
        <f t="shared" si="0"/>
        <v>-395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4124296</v>
      </c>
      <c r="C38" s="11">
        <f>SUM(C7:C37)</f>
        <v>4094874</v>
      </c>
      <c r="D38" s="11">
        <f>SUM(D7:D37)</f>
        <v>-29422</v>
      </c>
    </row>
    <row r="39" spans="1:8" x14ac:dyDescent="0.2">
      <c r="A39" s="26"/>
      <c r="C39" s="14"/>
      <c r="D39" s="106">
        <f>+summary!G3</f>
        <v>2.0699999999999998</v>
      </c>
    </row>
    <row r="40" spans="1:8" x14ac:dyDescent="0.2">
      <c r="D40" s="138">
        <f>+D39*D38</f>
        <v>-60903.539999999994</v>
      </c>
      <c r="H40">
        <v>20</v>
      </c>
    </row>
    <row r="41" spans="1:8" x14ac:dyDescent="0.2">
      <c r="A41" s="57">
        <v>37256</v>
      </c>
      <c r="C41" s="15"/>
      <c r="D41" s="542">
        <v>47594.94</v>
      </c>
      <c r="H41">
        <v>530</v>
      </c>
    </row>
    <row r="42" spans="1:8" x14ac:dyDescent="0.2">
      <c r="A42" s="57">
        <v>37286</v>
      </c>
      <c r="D42" s="319">
        <f>+D41+D40</f>
        <v>-13308.599999999991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149</v>
      </c>
      <c r="B46" s="32"/>
      <c r="C46" s="32"/>
      <c r="D46" s="32"/>
    </row>
    <row r="47" spans="1:8" x14ac:dyDescent="0.2">
      <c r="A47" s="49">
        <f>+A41</f>
        <v>37256</v>
      </c>
      <c r="B47" s="32"/>
      <c r="C47" s="32"/>
      <c r="D47" s="524">
        <v>20411</v>
      </c>
    </row>
    <row r="48" spans="1:8" x14ac:dyDescent="0.2">
      <c r="A48" s="49">
        <f>+A42</f>
        <v>37286</v>
      </c>
      <c r="B48" s="32"/>
      <c r="C48" s="32"/>
      <c r="D48" s="350">
        <f>+D38</f>
        <v>-29422</v>
      </c>
    </row>
    <row r="49" spans="1:4" x14ac:dyDescent="0.2">
      <c r="A49" s="32"/>
      <c r="B49" s="32"/>
      <c r="C49" s="32"/>
      <c r="D49" s="14">
        <f>+D48+D47</f>
        <v>-9011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5" workbookViewId="0">
      <selection activeCell="C37" sqref="C37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-248536</v>
      </c>
      <c r="C4" s="11">
        <v>-247815</v>
      </c>
      <c r="D4" s="25">
        <f>+C4-B4</f>
        <v>721</v>
      </c>
    </row>
    <row r="5" spans="1:4" x14ac:dyDescent="0.2">
      <c r="A5" s="10">
        <v>2</v>
      </c>
      <c r="B5" s="129">
        <v>-256988</v>
      </c>
      <c r="C5" s="11">
        <v>-257667</v>
      </c>
      <c r="D5" s="25">
        <f t="shared" ref="D5:D34" si="0">+C5-B5</f>
        <v>-679</v>
      </c>
    </row>
    <row r="6" spans="1:4" x14ac:dyDescent="0.2">
      <c r="A6" s="10">
        <v>3</v>
      </c>
      <c r="B6" s="129">
        <v>-177704</v>
      </c>
      <c r="C6" s="11">
        <v>-177700</v>
      </c>
      <c r="D6" s="25">
        <f t="shared" si="0"/>
        <v>4</v>
      </c>
    </row>
    <row r="7" spans="1:4" x14ac:dyDescent="0.2">
      <c r="A7" s="10">
        <v>4</v>
      </c>
      <c r="B7" s="129">
        <v>-184043</v>
      </c>
      <c r="C7" s="11">
        <v>-182700</v>
      </c>
      <c r="D7" s="25">
        <f t="shared" si="0"/>
        <v>1343</v>
      </c>
    </row>
    <row r="8" spans="1:4" x14ac:dyDescent="0.2">
      <c r="A8" s="10">
        <v>5</v>
      </c>
      <c r="B8" s="129">
        <v>-102760</v>
      </c>
      <c r="C8" s="11">
        <v>-120064</v>
      </c>
      <c r="D8" s="25">
        <f t="shared" si="0"/>
        <v>-17304</v>
      </c>
    </row>
    <row r="9" spans="1:4" x14ac:dyDescent="0.2">
      <c r="A9" s="10">
        <v>6</v>
      </c>
      <c r="B9" s="129">
        <v>-159504</v>
      </c>
      <c r="C9" s="11">
        <v>-157450</v>
      </c>
      <c r="D9" s="25">
        <f t="shared" si="0"/>
        <v>2054</v>
      </c>
    </row>
    <row r="10" spans="1:4" x14ac:dyDescent="0.2">
      <c r="A10" s="10">
        <v>7</v>
      </c>
      <c r="B10" s="129">
        <v>-146645</v>
      </c>
      <c r="C10" s="11">
        <v>-155851</v>
      </c>
      <c r="D10" s="25">
        <f t="shared" si="0"/>
        <v>-9206</v>
      </c>
    </row>
    <row r="11" spans="1:4" x14ac:dyDescent="0.2">
      <c r="A11" s="10">
        <v>8</v>
      </c>
      <c r="B11" s="11">
        <v>-147570</v>
      </c>
      <c r="C11" s="11">
        <v>-155884</v>
      </c>
      <c r="D11" s="25">
        <f t="shared" si="0"/>
        <v>-8314</v>
      </c>
    </row>
    <row r="12" spans="1:4" x14ac:dyDescent="0.2">
      <c r="A12" s="10">
        <v>9</v>
      </c>
      <c r="B12" s="11">
        <v>-67555</v>
      </c>
      <c r="C12" s="11">
        <v>-76928</v>
      </c>
      <c r="D12" s="25">
        <f t="shared" si="0"/>
        <v>-9373</v>
      </c>
    </row>
    <row r="13" spans="1:4" x14ac:dyDescent="0.2">
      <c r="A13" s="10">
        <v>10</v>
      </c>
      <c r="B13" s="11">
        <v>-98016</v>
      </c>
      <c r="C13" s="11">
        <v>-106532</v>
      </c>
      <c r="D13" s="25">
        <f t="shared" si="0"/>
        <v>-8516</v>
      </c>
    </row>
    <row r="14" spans="1:4" x14ac:dyDescent="0.2">
      <c r="A14" s="10">
        <v>11</v>
      </c>
      <c r="B14" s="11">
        <v>-99217</v>
      </c>
      <c r="C14" s="11">
        <v>-97700</v>
      </c>
      <c r="D14" s="25">
        <f t="shared" si="0"/>
        <v>1517</v>
      </c>
    </row>
    <row r="15" spans="1:4" x14ac:dyDescent="0.2">
      <c r="A15" s="10">
        <v>12</v>
      </c>
      <c r="B15" s="11">
        <v>-157690</v>
      </c>
      <c r="C15" s="11">
        <v>-156351</v>
      </c>
      <c r="D15" s="25">
        <f t="shared" si="0"/>
        <v>1339</v>
      </c>
    </row>
    <row r="16" spans="1:4" x14ac:dyDescent="0.2">
      <c r="A16" s="10">
        <v>13</v>
      </c>
      <c r="B16" s="11">
        <v>-159519</v>
      </c>
      <c r="C16" s="11">
        <v>-157722</v>
      </c>
      <c r="D16" s="25">
        <f t="shared" si="0"/>
        <v>1797</v>
      </c>
    </row>
    <row r="17" spans="1:4" x14ac:dyDescent="0.2">
      <c r="A17" s="10">
        <v>14</v>
      </c>
      <c r="B17" s="11">
        <v>-161298</v>
      </c>
      <c r="C17" s="11">
        <v>-157663</v>
      </c>
      <c r="D17" s="25">
        <f t="shared" si="0"/>
        <v>3635</v>
      </c>
    </row>
    <row r="18" spans="1:4" x14ac:dyDescent="0.2">
      <c r="A18" s="10">
        <v>15</v>
      </c>
      <c r="B18" s="11">
        <v>-199783</v>
      </c>
      <c r="C18" s="11">
        <v>-198440</v>
      </c>
      <c r="D18" s="25">
        <f t="shared" si="0"/>
        <v>1343</v>
      </c>
    </row>
    <row r="19" spans="1:4" x14ac:dyDescent="0.2">
      <c r="A19" s="10">
        <v>16</v>
      </c>
      <c r="B19" s="11">
        <v>-183992</v>
      </c>
      <c r="C19" s="11">
        <v>-183889</v>
      </c>
      <c r="D19" s="25">
        <f t="shared" si="0"/>
        <v>103</v>
      </c>
    </row>
    <row r="20" spans="1:4" x14ac:dyDescent="0.2">
      <c r="A20" s="10">
        <v>17</v>
      </c>
      <c r="B20" s="11">
        <v>-190001</v>
      </c>
      <c r="C20" s="11">
        <v>-177700</v>
      </c>
      <c r="D20" s="25">
        <f t="shared" si="0"/>
        <v>12301</v>
      </c>
    </row>
    <row r="21" spans="1:4" x14ac:dyDescent="0.2">
      <c r="A21" s="10">
        <v>18</v>
      </c>
      <c r="B21" s="129">
        <v>-175992</v>
      </c>
      <c r="C21" s="11">
        <v>-180170</v>
      </c>
      <c r="D21" s="25">
        <f t="shared" si="0"/>
        <v>-4178</v>
      </c>
    </row>
    <row r="22" spans="1:4" x14ac:dyDescent="0.2">
      <c r="A22" s="10">
        <v>19</v>
      </c>
      <c r="B22" s="129">
        <v>-205510</v>
      </c>
      <c r="C22" s="11">
        <v>-207782</v>
      </c>
      <c r="D22" s="25">
        <f t="shared" si="0"/>
        <v>-2272</v>
      </c>
    </row>
    <row r="23" spans="1:4" x14ac:dyDescent="0.2">
      <c r="A23" s="10">
        <v>20</v>
      </c>
      <c r="B23" s="11">
        <v>-208295</v>
      </c>
      <c r="C23" s="11">
        <v>-208000</v>
      </c>
      <c r="D23" s="25">
        <f t="shared" si="0"/>
        <v>295</v>
      </c>
    </row>
    <row r="24" spans="1:4" x14ac:dyDescent="0.2">
      <c r="A24" s="10">
        <v>21</v>
      </c>
      <c r="B24" s="129">
        <v>-205676</v>
      </c>
      <c r="C24" s="11">
        <v>-208000</v>
      </c>
      <c r="D24" s="25">
        <f t="shared" si="0"/>
        <v>-2324</v>
      </c>
    </row>
    <row r="25" spans="1:4" x14ac:dyDescent="0.2">
      <c r="A25" s="10">
        <v>22</v>
      </c>
      <c r="B25" s="11">
        <v>-208617</v>
      </c>
      <c r="C25" s="11">
        <v>-208000</v>
      </c>
      <c r="D25" s="25">
        <f t="shared" si="0"/>
        <v>617</v>
      </c>
    </row>
    <row r="26" spans="1:4" x14ac:dyDescent="0.2">
      <c r="A26" s="10">
        <v>23</v>
      </c>
      <c r="B26" s="129">
        <v>-248388</v>
      </c>
      <c r="C26" s="11">
        <v>-247667</v>
      </c>
      <c r="D26" s="25">
        <f t="shared" si="0"/>
        <v>721</v>
      </c>
    </row>
    <row r="27" spans="1:4" x14ac:dyDescent="0.2">
      <c r="A27" s="10">
        <v>24</v>
      </c>
      <c r="B27" s="129">
        <v>-247337</v>
      </c>
      <c r="C27" s="11">
        <v>-248000</v>
      </c>
      <c r="D27" s="25">
        <f t="shared" si="0"/>
        <v>-663</v>
      </c>
    </row>
    <row r="28" spans="1:4" x14ac:dyDescent="0.2">
      <c r="A28" s="10">
        <v>25</v>
      </c>
      <c r="B28" s="129">
        <v>-238336</v>
      </c>
      <c r="C28" s="11">
        <v>-237756</v>
      </c>
      <c r="D28" s="25">
        <f t="shared" si="0"/>
        <v>580</v>
      </c>
    </row>
    <row r="29" spans="1:4" x14ac:dyDescent="0.2">
      <c r="A29" s="10">
        <v>26</v>
      </c>
      <c r="B29" s="129">
        <v>-253429</v>
      </c>
      <c r="C29" s="11">
        <v>-252666</v>
      </c>
      <c r="D29" s="25">
        <f t="shared" si="0"/>
        <v>763</v>
      </c>
    </row>
    <row r="30" spans="1:4" x14ac:dyDescent="0.2">
      <c r="A30" s="10">
        <v>27</v>
      </c>
      <c r="B30" s="129">
        <v>-253772</v>
      </c>
      <c r="C30" s="11">
        <v>-252999</v>
      </c>
      <c r="D30" s="25">
        <f t="shared" si="0"/>
        <v>773</v>
      </c>
    </row>
    <row r="31" spans="1:4" x14ac:dyDescent="0.2">
      <c r="A31" s="10">
        <v>28</v>
      </c>
      <c r="B31" s="129">
        <v>-256294</v>
      </c>
      <c r="C31" s="11">
        <v>-255909</v>
      </c>
      <c r="D31" s="25">
        <f t="shared" si="0"/>
        <v>385</v>
      </c>
    </row>
    <row r="32" spans="1:4" x14ac:dyDescent="0.2">
      <c r="A32" s="10">
        <v>29</v>
      </c>
      <c r="B32" s="129">
        <v>-253757</v>
      </c>
      <c r="C32" s="11">
        <v>-252995</v>
      </c>
      <c r="D32" s="25">
        <f t="shared" si="0"/>
        <v>762</v>
      </c>
    </row>
    <row r="33" spans="1:30" x14ac:dyDescent="0.2">
      <c r="A33" s="10">
        <v>30</v>
      </c>
      <c r="B33" s="129">
        <v>-268678</v>
      </c>
      <c r="C33" s="11">
        <v>-267969</v>
      </c>
      <c r="D33" s="25">
        <f t="shared" si="0"/>
        <v>709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-5764902</v>
      </c>
      <c r="C35" s="11">
        <f>SUM(C4:C34)</f>
        <v>-5795969</v>
      </c>
      <c r="D35" s="11">
        <f>SUM(D4:D34)</f>
        <v>-31067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37256</v>
      </c>
      <c r="D38" s="531">
        <v>59071</v>
      </c>
    </row>
    <row r="39" spans="1:30" x14ac:dyDescent="0.2">
      <c r="A39" s="12"/>
      <c r="D39" s="51"/>
    </row>
    <row r="40" spans="1:30" x14ac:dyDescent="0.2">
      <c r="A40" s="245">
        <v>37286</v>
      </c>
      <c r="D40" s="51">
        <f>+D38+D35</f>
        <v>28004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150</v>
      </c>
      <c r="B44" s="32"/>
      <c r="C44" s="32"/>
      <c r="D44" s="473"/>
      <c r="K44"/>
    </row>
    <row r="45" spans="1:30" x14ac:dyDescent="0.2">
      <c r="A45" s="49">
        <f>+A38</f>
        <v>37256</v>
      </c>
      <c r="B45" s="32"/>
      <c r="C45" s="32"/>
      <c r="D45" s="550">
        <v>-80543.149999999994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37286</v>
      </c>
      <c r="B46" s="32"/>
      <c r="C46" s="32"/>
      <c r="D46" s="375">
        <f>+D35*'by type_area'!G4</f>
        <v>-64619.360000000001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-145162.51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2" workbookViewId="0">
      <selection activeCell="A40" sqref="A40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-492632</v>
      </c>
      <c r="C4" s="11">
        <v>-494656</v>
      </c>
      <c r="D4" s="11"/>
      <c r="E4" s="11"/>
      <c r="F4" s="25">
        <f>+E4+C4-D4-B4</f>
        <v>-2024</v>
      </c>
      <c r="H4" s="10"/>
      <c r="I4" s="11"/>
    </row>
    <row r="5" spans="1:11" x14ac:dyDescent="0.2">
      <c r="A5" s="10">
        <v>2</v>
      </c>
      <c r="B5" s="11">
        <v>-501900</v>
      </c>
      <c r="C5" s="11">
        <v>-485325</v>
      </c>
      <c r="D5" s="11"/>
      <c r="E5" s="11"/>
      <c r="F5" s="25">
        <f t="shared" ref="F5:F34" si="0">+C5-B5+E5-D5</f>
        <v>16575</v>
      </c>
      <c r="H5" s="10"/>
      <c r="I5" s="11"/>
    </row>
    <row r="6" spans="1:11" x14ac:dyDescent="0.2">
      <c r="A6" s="10">
        <v>3</v>
      </c>
      <c r="B6" s="11">
        <v>-540213</v>
      </c>
      <c r="C6" s="11">
        <v>-539549</v>
      </c>
      <c r="D6" s="11"/>
      <c r="E6" s="11"/>
      <c r="F6" s="25">
        <f t="shared" si="0"/>
        <v>664</v>
      </c>
      <c r="H6" s="10"/>
      <c r="I6" s="11"/>
    </row>
    <row r="7" spans="1:11" x14ac:dyDescent="0.2">
      <c r="A7" s="10">
        <v>4</v>
      </c>
      <c r="B7" s="11">
        <v>-472917</v>
      </c>
      <c r="C7" s="11">
        <v>-473220</v>
      </c>
      <c r="D7" s="11"/>
      <c r="E7" s="11"/>
      <c r="F7" s="25">
        <f t="shared" si="0"/>
        <v>-303</v>
      </c>
      <c r="H7" s="10"/>
      <c r="I7" s="11"/>
      <c r="K7" s="25"/>
    </row>
    <row r="8" spans="1:11" x14ac:dyDescent="0.2">
      <c r="A8" s="10">
        <v>5</v>
      </c>
      <c r="B8" s="129">
        <v>-501953</v>
      </c>
      <c r="C8" s="11">
        <v>-499242</v>
      </c>
      <c r="D8" s="11"/>
      <c r="E8" s="11"/>
      <c r="F8" s="25">
        <f t="shared" si="0"/>
        <v>2711</v>
      </c>
      <c r="H8" s="10"/>
      <c r="I8" s="11"/>
    </row>
    <row r="9" spans="1:11" x14ac:dyDescent="0.2">
      <c r="A9" s="10">
        <v>6</v>
      </c>
      <c r="B9" s="11">
        <v>-549512</v>
      </c>
      <c r="C9" s="11">
        <v>-560014</v>
      </c>
      <c r="D9" s="11"/>
      <c r="E9" s="11"/>
      <c r="F9" s="25">
        <f t="shared" si="0"/>
        <v>-10502</v>
      </c>
      <c r="H9" s="10"/>
      <c r="I9" s="11"/>
    </row>
    <row r="10" spans="1:11" x14ac:dyDescent="0.2">
      <c r="A10" s="10">
        <v>7</v>
      </c>
      <c r="B10" s="129">
        <v>-525598</v>
      </c>
      <c r="C10" s="11">
        <v>-521371</v>
      </c>
      <c r="D10" s="129"/>
      <c r="E10" s="11"/>
      <c r="F10" s="25">
        <f t="shared" si="0"/>
        <v>4227</v>
      </c>
      <c r="H10" s="10"/>
      <c r="I10" s="11"/>
    </row>
    <row r="11" spans="1:11" x14ac:dyDescent="0.2">
      <c r="A11" s="10">
        <v>8</v>
      </c>
      <c r="B11" s="11">
        <v>-534270</v>
      </c>
      <c r="C11" s="11">
        <v>-531085</v>
      </c>
      <c r="D11" s="11"/>
      <c r="E11" s="11"/>
      <c r="F11" s="25">
        <f t="shared" si="0"/>
        <v>3185</v>
      </c>
      <c r="H11" s="10"/>
      <c r="I11" s="11"/>
    </row>
    <row r="12" spans="1:11" x14ac:dyDescent="0.2">
      <c r="A12" s="10">
        <v>9</v>
      </c>
      <c r="B12" s="11">
        <v>-607985</v>
      </c>
      <c r="C12" s="11">
        <v>-606773</v>
      </c>
      <c r="D12" s="11"/>
      <c r="E12" s="11"/>
      <c r="F12" s="25">
        <f t="shared" si="0"/>
        <v>1212</v>
      </c>
      <c r="H12" s="10"/>
      <c r="I12" s="11"/>
    </row>
    <row r="13" spans="1:11" x14ac:dyDescent="0.2">
      <c r="A13" s="10">
        <v>10</v>
      </c>
      <c r="B13" s="11">
        <v>-588011</v>
      </c>
      <c r="C13" s="11">
        <v>-634161</v>
      </c>
      <c r="D13" s="129"/>
      <c r="E13" s="11"/>
      <c r="F13" s="25">
        <f t="shared" si="0"/>
        <v>-46150</v>
      </c>
      <c r="H13" s="10"/>
      <c r="I13" s="11"/>
    </row>
    <row r="14" spans="1:11" x14ac:dyDescent="0.2">
      <c r="A14" s="10">
        <v>11</v>
      </c>
      <c r="B14" s="11">
        <v>-603183</v>
      </c>
      <c r="C14" s="11">
        <v>-611815</v>
      </c>
      <c r="D14" s="11"/>
      <c r="E14" s="11"/>
      <c r="F14" s="25">
        <f t="shared" si="0"/>
        <v>-8632</v>
      </c>
      <c r="H14" s="10"/>
      <c r="I14" s="11"/>
    </row>
    <row r="15" spans="1:11" x14ac:dyDescent="0.2">
      <c r="A15" s="10">
        <v>12</v>
      </c>
      <c r="B15" s="11">
        <v>-599978</v>
      </c>
      <c r="C15" s="11">
        <v>-580516</v>
      </c>
      <c r="D15" s="11"/>
      <c r="E15" s="11"/>
      <c r="F15" s="25">
        <f t="shared" si="0"/>
        <v>19462</v>
      </c>
      <c r="H15" s="10"/>
      <c r="I15" s="11"/>
    </row>
    <row r="16" spans="1:11" x14ac:dyDescent="0.2">
      <c r="A16" s="10">
        <v>13</v>
      </c>
      <c r="B16" s="11">
        <v>-586866</v>
      </c>
      <c r="C16" s="11">
        <v>-580516</v>
      </c>
      <c r="D16" s="11"/>
      <c r="E16" s="11"/>
      <c r="F16" s="25">
        <f t="shared" si="0"/>
        <v>6350</v>
      </c>
      <c r="H16" s="10"/>
      <c r="I16" s="11"/>
      <c r="K16" s="25"/>
    </row>
    <row r="17" spans="1:11" x14ac:dyDescent="0.2">
      <c r="A17" s="10">
        <v>14</v>
      </c>
      <c r="B17" s="11">
        <v>-573809</v>
      </c>
      <c r="C17" s="11">
        <v>-573034</v>
      </c>
      <c r="D17" s="11"/>
      <c r="E17" s="11"/>
      <c r="F17" s="25">
        <f t="shared" si="0"/>
        <v>775</v>
      </c>
      <c r="H17" s="10"/>
      <c r="I17" s="11"/>
    </row>
    <row r="18" spans="1:11" x14ac:dyDescent="0.2">
      <c r="A18" s="10">
        <v>15</v>
      </c>
      <c r="B18" s="11">
        <v>-541773</v>
      </c>
      <c r="C18" s="11">
        <v>-542075</v>
      </c>
      <c r="D18" s="11"/>
      <c r="E18" s="11"/>
      <c r="F18" s="25">
        <f t="shared" si="0"/>
        <v>-302</v>
      </c>
      <c r="H18" s="10"/>
      <c r="I18" s="11"/>
    </row>
    <row r="19" spans="1:11" x14ac:dyDescent="0.2">
      <c r="A19" s="10">
        <v>16</v>
      </c>
      <c r="B19" s="11">
        <v>-554650</v>
      </c>
      <c r="C19" s="11">
        <v>-567930</v>
      </c>
      <c r="D19" s="11"/>
      <c r="E19" s="11"/>
      <c r="F19" s="25">
        <f t="shared" si="0"/>
        <v>-13280</v>
      </c>
      <c r="H19" s="10"/>
      <c r="I19" s="11"/>
    </row>
    <row r="20" spans="1:11" x14ac:dyDescent="0.2">
      <c r="A20" s="10">
        <v>17</v>
      </c>
      <c r="B20" s="11">
        <v>-534042</v>
      </c>
      <c r="C20" s="11">
        <v>-533662</v>
      </c>
      <c r="D20" s="11"/>
      <c r="E20" s="11"/>
      <c r="F20" s="25">
        <f t="shared" si="0"/>
        <v>380</v>
      </c>
      <c r="H20" s="10"/>
      <c r="I20" s="11"/>
    </row>
    <row r="21" spans="1:11" x14ac:dyDescent="0.2">
      <c r="A21" s="10">
        <v>18</v>
      </c>
      <c r="B21" s="11">
        <v>-560683</v>
      </c>
      <c r="C21" s="11">
        <v>-561288</v>
      </c>
      <c r="D21" s="11"/>
      <c r="E21" s="11"/>
      <c r="F21" s="25">
        <f t="shared" si="0"/>
        <v>-605</v>
      </c>
      <c r="H21" s="10"/>
      <c r="I21" s="11"/>
    </row>
    <row r="22" spans="1:11" x14ac:dyDescent="0.2">
      <c r="A22" s="10">
        <v>19</v>
      </c>
      <c r="B22" s="129">
        <v>-565794</v>
      </c>
      <c r="C22" s="11">
        <v>-575734</v>
      </c>
      <c r="D22" s="11"/>
      <c r="E22" s="11"/>
      <c r="F22" s="25">
        <f t="shared" si="0"/>
        <v>-9940</v>
      </c>
      <c r="H22" s="10"/>
      <c r="I22" s="11"/>
    </row>
    <row r="23" spans="1:11" x14ac:dyDescent="0.2">
      <c r="A23" s="10">
        <v>20</v>
      </c>
      <c r="B23" s="129">
        <v>-566988</v>
      </c>
      <c r="C23" s="11">
        <v>-568953</v>
      </c>
      <c r="D23" s="11"/>
      <c r="E23" s="11"/>
      <c r="F23" s="25">
        <f t="shared" si="0"/>
        <v>-1965</v>
      </c>
      <c r="H23" s="10"/>
      <c r="I23" s="11"/>
    </row>
    <row r="24" spans="1:11" x14ac:dyDescent="0.2">
      <c r="A24" s="10">
        <v>21</v>
      </c>
      <c r="B24" s="11">
        <v>-539935</v>
      </c>
      <c r="C24" s="11">
        <v>-542926</v>
      </c>
      <c r="D24" s="129"/>
      <c r="E24" s="11"/>
      <c r="F24" s="25">
        <f t="shared" si="0"/>
        <v>-2991</v>
      </c>
      <c r="H24" s="10"/>
      <c r="I24" s="11"/>
      <c r="K24" s="25"/>
    </row>
    <row r="25" spans="1:11" x14ac:dyDescent="0.2">
      <c r="A25" s="10">
        <v>22</v>
      </c>
      <c r="B25" s="11">
        <v>-554211</v>
      </c>
      <c r="C25" s="11">
        <v>-535626</v>
      </c>
      <c r="D25" s="11"/>
      <c r="E25" s="11"/>
      <c r="F25" s="25">
        <f t="shared" si="0"/>
        <v>18585</v>
      </c>
      <c r="H25" s="10"/>
      <c r="I25" s="11"/>
    </row>
    <row r="26" spans="1:11" x14ac:dyDescent="0.2">
      <c r="A26" s="10">
        <v>23</v>
      </c>
      <c r="B26" s="11">
        <v>-586599</v>
      </c>
      <c r="C26" s="11">
        <v>-594921</v>
      </c>
      <c r="D26" s="11"/>
      <c r="E26" s="11"/>
      <c r="F26" s="25">
        <f t="shared" si="0"/>
        <v>-8322</v>
      </c>
      <c r="H26" s="10"/>
      <c r="I26" s="11"/>
    </row>
    <row r="27" spans="1:11" x14ac:dyDescent="0.2">
      <c r="A27" s="10">
        <v>24</v>
      </c>
      <c r="B27" s="11">
        <v>-612451</v>
      </c>
      <c r="C27" s="11">
        <v>-604325</v>
      </c>
      <c r="D27" s="11"/>
      <c r="E27" s="11"/>
      <c r="F27" s="25">
        <f t="shared" si="0"/>
        <v>8126</v>
      </c>
      <c r="H27" s="10"/>
      <c r="I27" s="11"/>
      <c r="K27" s="25"/>
    </row>
    <row r="28" spans="1:11" x14ac:dyDescent="0.2">
      <c r="A28" s="10">
        <v>25</v>
      </c>
      <c r="B28" s="11">
        <v>-642961</v>
      </c>
      <c r="C28" s="11">
        <v>-634701</v>
      </c>
      <c r="D28" s="11"/>
      <c r="E28" s="11"/>
      <c r="F28" s="25">
        <f t="shared" si="0"/>
        <v>8260</v>
      </c>
      <c r="H28" s="10"/>
      <c r="I28" s="11"/>
      <c r="K28" s="25"/>
    </row>
    <row r="29" spans="1:11" x14ac:dyDescent="0.2">
      <c r="A29" s="10">
        <v>26</v>
      </c>
      <c r="B29" s="11">
        <v>-743399</v>
      </c>
      <c r="C29" s="11">
        <v>-757633</v>
      </c>
      <c r="D29" s="11"/>
      <c r="E29" s="11"/>
      <c r="F29" s="25">
        <f t="shared" si="0"/>
        <v>-14234</v>
      </c>
      <c r="H29" s="10"/>
      <c r="I29" s="11"/>
      <c r="K29" s="25"/>
    </row>
    <row r="30" spans="1:11" x14ac:dyDescent="0.2">
      <c r="A30" s="10">
        <v>27</v>
      </c>
      <c r="B30" s="11">
        <v>-753956</v>
      </c>
      <c r="C30" s="11">
        <v>-751782</v>
      </c>
      <c r="D30" s="11"/>
      <c r="E30" s="11"/>
      <c r="F30" s="25">
        <f t="shared" si="0"/>
        <v>2174</v>
      </c>
      <c r="H30" s="10"/>
      <c r="I30" s="11"/>
      <c r="K30" s="25"/>
    </row>
    <row r="31" spans="1:11" x14ac:dyDescent="0.2">
      <c r="A31" s="10">
        <v>28</v>
      </c>
      <c r="B31" s="11">
        <v>-731350</v>
      </c>
      <c r="C31" s="11">
        <v>-726944</v>
      </c>
      <c r="D31" s="11"/>
      <c r="E31" s="11"/>
      <c r="F31" s="25">
        <f t="shared" si="0"/>
        <v>4406</v>
      </c>
      <c r="H31" s="10"/>
      <c r="I31" s="11"/>
    </row>
    <row r="32" spans="1:11" x14ac:dyDescent="0.2">
      <c r="A32" s="10">
        <v>29</v>
      </c>
      <c r="B32" s="11">
        <v>-647092</v>
      </c>
      <c r="C32" s="11">
        <v>-636438</v>
      </c>
      <c r="D32" s="11"/>
      <c r="E32" s="11"/>
      <c r="F32" s="25">
        <f t="shared" si="0"/>
        <v>10654</v>
      </c>
      <c r="H32" s="10"/>
      <c r="I32" s="11"/>
    </row>
    <row r="33" spans="1:45" x14ac:dyDescent="0.2">
      <c r="A33" s="10">
        <v>30</v>
      </c>
      <c r="B33" s="11">
        <v>-681056</v>
      </c>
      <c r="C33" s="11">
        <v>-679390</v>
      </c>
      <c r="D33" s="11"/>
      <c r="E33" s="11"/>
      <c r="F33" s="25">
        <f t="shared" si="0"/>
        <v>1666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-17495767</v>
      </c>
      <c r="C35" s="11">
        <f>SUM(C4:C34)</f>
        <v>-17505605</v>
      </c>
      <c r="D35" s="11">
        <f>SUM(D4:D34)</f>
        <v>0</v>
      </c>
      <c r="E35" s="11">
        <f>SUM(E4:E34)</f>
        <v>0</v>
      </c>
      <c r="F35" s="11">
        <f>SUM(F4:F34)</f>
        <v>-9838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37256</v>
      </c>
      <c r="D38" s="246"/>
      <c r="E38" s="246"/>
      <c r="F38" s="533">
        <v>104420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37286</v>
      </c>
      <c r="D40" s="246"/>
      <c r="E40" s="246"/>
      <c r="F40" s="51">
        <f>+F38+F35</f>
        <v>94582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75" x14ac:dyDescent="0.25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">
      <c r="A44" s="32" t="s">
        <v>150</v>
      </c>
      <c r="B44" s="32"/>
      <c r="C44" s="32"/>
      <c r="D44" s="473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">
      <c r="A45" s="49">
        <f>+A38</f>
        <v>37256</v>
      </c>
      <c r="B45" s="32"/>
      <c r="C45" s="32"/>
      <c r="D45" s="550">
        <v>331917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">
      <c r="A46" s="49">
        <f>+A40</f>
        <v>37286</v>
      </c>
      <c r="B46" s="32"/>
      <c r="C46" s="32"/>
      <c r="D46" s="474">
        <f>+F35*'by type_area'!G4</f>
        <v>-20463.04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">
      <c r="A47" s="32"/>
      <c r="B47" s="32"/>
      <c r="C47" s="32"/>
      <c r="D47" s="472">
        <f>+D46+D45</f>
        <v>311453.96000000002</v>
      </c>
      <c r="E47" s="246"/>
      <c r="F47" s="475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18" workbookViewId="0">
      <selection activeCell="E40" sqref="E40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135" bestFit="1" customWidth="1"/>
    <col min="12" max="13" width="10.85546875" style="32" bestFit="1" customWidth="1"/>
    <col min="14" max="14" width="12" style="32" bestFit="1" customWidth="1"/>
    <col min="15" max="15" width="9.5703125" style="32" bestFit="1" customWidth="1"/>
    <col min="16" max="16" width="7.7109375" style="14" bestFit="1" customWidth="1"/>
    <col min="17" max="17" width="5.42578125" style="15" bestFit="1" customWidth="1"/>
    <col min="18" max="18" width="10.7109375" style="15" bestFit="1" customWidth="1"/>
    <col min="19" max="19" width="9.28515625" style="32" bestFit="1" customWidth="1"/>
    <col min="20" max="20" width="10.7109375" style="32" bestFit="1" customWidth="1"/>
    <col min="21" max="16384" width="9.14062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9" t="s">
        <v>49</v>
      </c>
    </row>
    <row r="3" spans="1:19" ht="13.5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20" t="s">
        <v>49</v>
      </c>
      <c r="Q3" s="521" t="s">
        <v>15</v>
      </c>
      <c r="R3" s="522" t="s">
        <v>27</v>
      </c>
    </row>
    <row r="4" spans="1:19" ht="18" customHeight="1" x14ac:dyDescent="0.2">
      <c r="A4" s="41">
        <v>1</v>
      </c>
      <c r="B4" s="11">
        <v>-80030</v>
      </c>
      <c r="C4" s="11">
        <v>-24795</v>
      </c>
      <c r="D4" s="11"/>
      <c r="E4" s="11">
        <v>-55000</v>
      </c>
      <c r="F4" s="11"/>
      <c r="G4" s="11"/>
      <c r="H4" s="11">
        <f>+G4+E4+C4-F4-D4-B4</f>
        <v>235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-80766</v>
      </c>
      <c r="C5" s="11">
        <v>-24795</v>
      </c>
      <c r="D5" s="129"/>
      <c r="E5" s="11">
        <v>-55000</v>
      </c>
      <c r="F5" s="11"/>
      <c r="G5" s="11"/>
      <c r="H5" s="11">
        <f t="shared" ref="H5:H34" si="0">+G5+E5+C5-F5-D5-B5</f>
        <v>971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9" ht="18" customHeight="1" x14ac:dyDescent="0.2">
      <c r="A6" s="41">
        <v>3</v>
      </c>
      <c r="B6" s="11">
        <v>-137218</v>
      </c>
      <c r="C6" s="11">
        <v>-50878</v>
      </c>
      <c r="D6" s="11"/>
      <c r="E6" s="11">
        <v>-84879</v>
      </c>
      <c r="F6" s="11"/>
      <c r="G6" s="11"/>
      <c r="H6" s="11">
        <f t="shared" si="0"/>
        <v>1461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>
        <v>-104302</v>
      </c>
      <c r="C7" s="11">
        <v>-35847</v>
      </c>
      <c r="D7" s="129"/>
      <c r="E7" s="11">
        <v>-67165</v>
      </c>
      <c r="F7" s="11"/>
      <c r="G7" s="11"/>
      <c r="H7" s="11">
        <f t="shared" si="0"/>
        <v>1290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>
        <v>-96064</v>
      </c>
      <c r="C8" s="11">
        <v>-28417</v>
      </c>
      <c r="D8" s="11"/>
      <c r="E8" s="11">
        <v>-67000</v>
      </c>
      <c r="F8" s="11"/>
      <c r="G8" s="11"/>
      <c r="H8" s="11">
        <f t="shared" si="0"/>
        <v>647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>
        <v>-95985</v>
      </c>
      <c r="C9" s="11">
        <v>-28417</v>
      </c>
      <c r="D9" s="11"/>
      <c r="E9" s="11">
        <v>-67000</v>
      </c>
      <c r="F9" s="11"/>
      <c r="G9" s="11"/>
      <c r="H9" s="11">
        <f t="shared" si="0"/>
        <v>568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>
        <v>-116521</v>
      </c>
      <c r="C10" s="11">
        <v>-28417</v>
      </c>
      <c r="D10" s="11"/>
      <c r="E10" s="11">
        <v>-87000</v>
      </c>
      <c r="F10" s="11"/>
      <c r="G10" s="11"/>
      <c r="H10" s="11">
        <f t="shared" si="0"/>
        <v>1104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>
        <v>-121567</v>
      </c>
      <c r="C11" s="11">
        <v>-63794</v>
      </c>
      <c r="D11" s="129"/>
      <c r="E11" s="11">
        <v>-66517</v>
      </c>
      <c r="F11" s="11"/>
      <c r="G11" s="11"/>
      <c r="H11" s="11">
        <f t="shared" si="0"/>
        <v>-8744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>
        <v>-101195</v>
      </c>
      <c r="C12" s="11">
        <v>-52352</v>
      </c>
      <c r="D12" s="11"/>
      <c r="E12" s="11">
        <v>-43000</v>
      </c>
      <c r="F12" s="11"/>
      <c r="G12" s="11"/>
      <c r="H12" s="11">
        <f t="shared" si="0"/>
        <v>5843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>
        <v>-130265</v>
      </c>
      <c r="C13" s="11">
        <v>-43551</v>
      </c>
      <c r="D13" s="11"/>
      <c r="E13" s="129">
        <v>-80060</v>
      </c>
      <c r="F13" s="11"/>
      <c r="G13" s="11"/>
      <c r="H13" s="11">
        <f t="shared" si="0"/>
        <v>6654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>
        <v>-133279</v>
      </c>
      <c r="C14" s="11">
        <v>-49795</v>
      </c>
      <c r="D14" s="11"/>
      <c r="E14" s="11">
        <v>-81898</v>
      </c>
      <c r="F14" s="11"/>
      <c r="G14" s="11"/>
      <c r="H14" s="11">
        <f t="shared" si="0"/>
        <v>1586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>
        <v>-98599</v>
      </c>
      <c r="C15" s="11">
        <v>-38525</v>
      </c>
      <c r="D15" s="11"/>
      <c r="E15" s="11">
        <v>-60000</v>
      </c>
      <c r="F15" s="11"/>
      <c r="G15" s="11"/>
      <c r="H15" s="11">
        <f t="shared" si="0"/>
        <v>74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>
        <v>-101087</v>
      </c>
      <c r="C16" s="11">
        <v>-39795</v>
      </c>
      <c r="D16" s="11"/>
      <c r="E16" s="11">
        <v>-60000</v>
      </c>
      <c r="F16" s="11"/>
      <c r="G16" s="11"/>
      <c r="H16" s="11">
        <f t="shared" si="0"/>
        <v>1292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>
        <v>-95766</v>
      </c>
      <c r="C17" s="11">
        <v>-35893</v>
      </c>
      <c r="D17" s="11"/>
      <c r="E17" s="11">
        <v>-60000</v>
      </c>
      <c r="F17" s="11"/>
      <c r="G17" s="11"/>
      <c r="H17" s="11">
        <f>+G17+E17+C17-F17-D17-B17</f>
        <v>-127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>
        <v>-83889</v>
      </c>
      <c r="C18" s="11">
        <v>-9791</v>
      </c>
      <c r="D18" s="11">
        <v>-25</v>
      </c>
      <c r="E18" s="11">
        <v>-73000</v>
      </c>
      <c r="F18" s="11"/>
      <c r="G18" s="11"/>
      <c r="H18" s="11">
        <f>+G18+E18+C18-F18-D18-B18</f>
        <v>1123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">
      <c r="A19" s="41">
        <v>16</v>
      </c>
      <c r="B19" s="129">
        <v>-76112</v>
      </c>
      <c r="C19" s="11">
        <v>-12295</v>
      </c>
      <c r="D19" s="11"/>
      <c r="E19" s="11">
        <v>-63500</v>
      </c>
      <c r="F19" s="11"/>
      <c r="G19" s="11"/>
      <c r="H19" s="11">
        <f t="shared" si="0"/>
        <v>317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541367.22000000009</v>
      </c>
    </row>
    <row r="20" spans="1:18" ht="12.75" x14ac:dyDescent="0.2">
      <c r="A20" s="41">
        <v>17</v>
      </c>
      <c r="B20" s="129">
        <v>-91362</v>
      </c>
      <c r="C20" s="11">
        <v>-17795</v>
      </c>
      <c r="D20" s="11"/>
      <c r="E20" s="11">
        <v>-72000</v>
      </c>
      <c r="F20" s="11"/>
      <c r="G20" s="11"/>
      <c r="H20" s="11">
        <f t="shared" si="0"/>
        <v>1567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>
        <v>-92051</v>
      </c>
      <c r="C21" s="11">
        <v>-28795</v>
      </c>
      <c r="D21" s="11"/>
      <c r="E21" s="11">
        <v>-62500</v>
      </c>
      <c r="F21" s="11"/>
      <c r="G21" s="11"/>
      <c r="H21" s="11">
        <f t="shared" si="0"/>
        <v>756</v>
      </c>
      <c r="I21" s="11"/>
      <c r="J21" s="102"/>
      <c r="K21" s="511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>
        <v>-74203</v>
      </c>
      <c r="C22" s="11">
        <v>-14669</v>
      </c>
      <c r="D22" s="11"/>
      <c r="E22" s="11">
        <v>-58992</v>
      </c>
      <c r="F22" s="11"/>
      <c r="G22" s="11"/>
      <c r="H22" s="11">
        <f t="shared" si="0"/>
        <v>542</v>
      </c>
      <c r="I22" s="11"/>
      <c r="J22" s="102"/>
      <c r="K22" s="511"/>
      <c r="L22" s="11"/>
      <c r="M22" s="11"/>
      <c r="N22" s="11"/>
      <c r="O22" s="2"/>
      <c r="R22" s="15">
        <f>+R21+R19</f>
        <v>-49647.129999999888</v>
      </c>
    </row>
    <row r="23" spans="1:18" x14ac:dyDescent="0.2">
      <c r="A23" s="41">
        <v>20</v>
      </c>
      <c r="B23" s="11">
        <v>-80527</v>
      </c>
      <c r="C23" s="11">
        <v>-14756</v>
      </c>
      <c r="D23" s="11"/>
      <c r="E23" s="11">
        <v>-58992</v>
      </c>
      <c r="F23" s="11"/>
      <c r="G23" s="11"/>
      <c r="H23" s="11">
        <f t="shared" si="0"/>
        <v>6779</v>
      </c>
      <c r="I23" s="11"/>
      <c r="J23" s="102"/>
      <c r="K23" s="511"/>
      <c r="L23" s="11"/>
      <c r="M23" s="11"/>
      <c r="N23" s="11"/>
      <c r="O23" s="2"/>
    </row>
    <row r="24" spans="1:18" x14ac:dyDescent="0.2">
      <c r="A24" s="41">
        <v>21</v>
      </c>
      <c r="B24" s="11">
        <v>-87575</v>
      </c>
      <c r="C24" s="11">
        <v>-14795</v>
      </c>
      <c r="D24" s="11"/>
      <c r="E24" s="11">
        <v>-76547</v>
      </c>
      <c r="F24" s="11"/>
      <c r="G24" s="11"/>
      <c r="H24" s="11">
        <f t="shared" si="0"/>
        <v>-3767</v>
      </c>
      <c r="I24" s="11"/>
      <c r="J24" s="102"/>
      <c r="K24" s="511"/>
      <c r="L24" s="11"/>
      <c r="M24" s="11"/>
      <c r="N24" s="11"/>
      <c r="O24" s="2"/>
    </row>
    <row r="25" spans="1:18" x14ac:dyDescent="0.2">
      <c r="A25" s="41">
        <v>22</v>
      </c>
      <c r="B25" s="11">
        <v>-125220</v>
      </c>
      <c r="C25" s="11">
        <v>-14795</v>
      </c>
      <c r="D25" s="11"/>
      <c r="E25" s="11">
        <v>-108861</v>
      </c>
      <c r="F25" s="11"/>
      <c r="G25" s="11"/>
      <c r="H25" s="11">
        <f t="shared" si="0"/>
        <v>1564</v>
      </c>
      <c r="I25" s="11"/>
      <c r="J25" s="102"/>
      <c r="K25" s="511"/>
      <c r="L25" s="11"/>
      <c r="M25" s="11"/>
      <c r="N25" s="11"/>
      <c r="O25" s="2"/>
    </row>
    <row r="26" spans="1:18" x14ac:dyDescent="0.2">
      <c r="A26" s="41">
        <v>23</v>
      </c>
      <c r="B26" s="11">
        <v>-67695</v>
      </c>
      <c r="C26" s="11">
        <v>205</v>
      </c>
      <c r="D26" s="11"/>
      <c r="E26" s="11">
        <v>-67000</v>
      </c>
      <c r="F26" s="11"/>
      <c r="G26" s="11"/>
      <c r="H26" s="11">
        <f t="shared" si="0"/>
        <v>900</v>
      </c>
      <c r="I26" s="11"/>
      <c r="J26" s="102"/>
      <c r="K26" s="511"/>
      <c r="L26" s="11"/>
      <c r="M26" s="11"/>
      <c r="N26" s="11"/>
      <c r="O26" s="2"/>
    </row>
    <row r="27" spans="1:18" x14ac:dyDescent="0.2">
      <c r="A27" s="41">
        <v>24</v>
      </c>
      <c r="B27" s="11">
        <v>-119840</v>
      </c>
      <c r="C27" s="11">
        <v>205</v>
      </c>
      <c r="D27" s="11"/>
      <c r="E27" s="11">
        <v>-118271</v>
      </c>
      <c r="F27" s="11"/>
      <c r="G27" s="11"/>
      <c r="H27" s="11">
        <f t="shared" si="0"/>
        <v>1774</v>
      </c>
      <c r="I27" s="11"/>
      <c r="J27" s="102"/>
      <c r="K27" s="511"/>
      <c r="L27" s="11"/>
      <c r="M27" s="11"/>
      <c r="N27" s="11"/>
      <c r="O27" s="2"/>
    </row>
    <row r="28" spans="1:18" x14ac:dyDescent="0.2">
      <c r="A28" s="41">
        <v>25</v>
      </c>
      <c r="B28" s="11">
        <v>-50597</v>
      </c>
      <c r="C28" s="11">
        <v>205</v>
      </c>
      <c r="D28" s="11"/>
      <c r="E28" s="11">
        <v>-50000</v>
      </c>
      <c r="F28" s="11"/>
      <c r="G28" s="11"/>
      <c r="H28" s="11">
        <f t="shared" si="0"/>
        <v>802</v>
      </c>
      <c r="I28" s="11"/>
      <c r="J28" s="102"/>
      <c r="K28" s="511"/>
      <c r="L28" s="11"/>
      <c r="M28" s="11"/>
      <c r="N28" s="11"/>
    </row>
    <row r="29" spans="1:18" x14ac:dyDescent="0.2">
      <c r="A29" s="41">
        <v>26</v>
      </c>
      <c r="B29" s="11">
        <v>-25050</v>
      </c>
      <c r="C29" s="11">
        <v>455</v>
      </c>
      <c r="D29" s="11"/>
      <c r="E29" s="11">
        <v>-22453</v>
      </c>
      <c r="F29" s="11"/>
      <c r="G29" s="11"/>
      <c r="H29" s="11">
        <f t="shared" si="0"/>
        <v>3052</v>
      </c>
      <c r="I29" s="11"/>
      <c r="J29" s="102"/>
      <c r="K29" s="511"/>
      <c r="L29" s="11"/>
      <c r="M29" s="11"/>
      <c r="N29" s="11"/>
    </row>
    <row r="30" spans="1:18" x14ac:dyDescent="0.2">
      <c r="A30" s="41">
        <v>27</v>
      </c>
      <c r="B30" s="11">
        <v>-24459</v>
      </c>
      <c r="C30" s="11">
        <v>455</v>
      </c>
      <c r="D30" s="11"/>
      <c r="E30" s="11">
        <v>-22453</v>
      </c>
      <c r="F30" s="11"/>
      <c r="G30" s="11"/>
      <c r="H30" s="11">
        <f t="shared" si="0"/>
        <v>2461</v>
      </c>
      <c r="I30" s="11"/>
      <c r="J30" s="102"/>
      <c r="K30" s="511"/>
      <c r="L30" s="11"/>
      <c r="M30" s="11"/>
      <c r="N30" s="11"/>
    </row>
    <row r="31" spans="1:18" x14ac:dyDescent="0.2">
      <c r="A31" s="41">
        <v>28</v>
      </c>
      <c r="B31" s="11">
        <v>-23180</v>
      </c>
      <c r="C31" s="11">
        <v>-482</v>
      </c>
      <c r="D31" s="129"/>
      <c r="E31" s="11">
        <v>-22275</v>
      </c>
      <c r="F31" s="11"/>
      <c r="G31" s="11"/>
      <c r="H31" s="11">
        <f t="shared" si="0"/>
        <v>423</v>
      </c>
      <c r="I31" s="11"/>
      <c r="J31" s="102"/>
      <c r="K31" s="511"/>
      <c r="L31" s="11"/>
      <c r="M31" s="11"/>
      <c r="N31" s="11"/>
    </row>
    <row r="32" spans="1:18" x14ac:dyDescent="0.2">
      <c r="A32" s="41">
        <v>29</v>
      </c>
      <c r="B32" s="11">
        <v>-52032</v>
      </c>
      <c r="C32" s="11">
        <v>205</v>
      </c>
      <c r="D32" s="11"/>
      <c r="E32" s="11">
        <v>-47000</v>
      </c>
      <c r="F32" s="11"/>
      <c r="G32" s="11"/>
      <c r="H32" s="11">
        <f t="shared" si="0"/>
        <v>5237</v>
      </c>
      <c r="I32" s="11"/>
      <c r="J32" s="102"/>
      <c r="K32" s="511"/>
      <c r="L32" s="11"/>
      <c r="M32" s="11"/>
      <c r="N32" s="11"/>
    </row>
    <row r="33" spans="1:14" x14ac:dyDescent="0.2">
      <c r="A33" s="41">
        <v>30</v>
      </c>
      <c r="B33" s="11">
        <v>-46066</v>
      </c>
      <c r="C33" s="11">
        <v>205</v>
      </c>
      <c r="D33" s="11"/>
      <c r="E33" s="11">
        <v>-45001</v>
      </c>
      <c r="F33" s="11"/>
      <c r="G33" s="11"/>
      <c r="H33" s="11">
        <f t="shared" si="0"/>
        <v>1270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11"/>
      <c r="L34" s="11"/>
      <c r="M34" s="11"/>
      <c r="N34" s="11"/>
    </row>
    <row r="35" spans="1:14" x14ac:dyDescent="0.2">
      <c r="A35" s="41"/>
      <c r="B35" s="11">
        <f t="shared" ref="B35:H35" si="3">SUM(B4:B34)</f>
        <v>-2612502</v>
      </c>
      <c r="C35" s="44">
        <f t="shared" si="3"/>
        <v>-671509</v>
      </c>
      <c r="D35" s="11">
        <f t="shared" si="3"/>
        <v>-25</v>
      </c>
      <c r="E35" s="44">
        <f t="shared" si="3"/>
        <v>-1903364</v>
      </c>
      <c r="F35" s="11">
        <f t="shared" si="3"/>
        <v>0</v>
      </c>
      <c r="G35" s="11">
        <f t="shared" si="3"/>
        <v>0</v>
      </c>
      <c r="H35" s="11">
        <f t="shared" si="3"/>
        <v>37654</v>
      </c>
      <c r="I35" s="11"/>
      <c r="J35" s="102"/>
      <c r="K35" s="511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2.08</v>
      </c>
      <c r="I36" s="11"/>
      <c r="J36" s="102"/>
      <c r="K36" s="511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78320.320000000007</v>
      </c>
      <c r="I37" s="11"/>
      <c r="J37" s="102"/>
      <c r="K37" s="511"/>
      <c r="L37" s="11"/>
      <c r="M37" s="11"/>
      <c r="N37" s="11"/>
    </row>
    <row r="38" spans="1:14" x14ac:dyDescent="0.2">
      <c r="C38" s="24"/>
      <c r="D38" s="47"/>
      <c r="E38" s="476">
        <v>37256</v>
      </c>
      <c r="F38" s="473"/>
      <c r="G38" s="265"/>
      <c r="H38" s="495">
        <v>-68258</v>
      </c>
      <c r="I38" s="262"/>
      <c r="J38" s="102"/>
      <c r="K38" s="512"/>
      <c r="L38" s="14"/>
      <c r="M38" s="14"/>
      <c r="N38" s="16"/>
    </row>
    <row r="39" spans="1:14" x14ac:dyDescent="0.2">
      <c r="C39" s="14"/>
      <c r="D39" s="47"/>
      <c r="E39" s="263">
        <v>37286</v>
      </c>
      <c r="F39" s="473"/>
      <c r="G39" s="473"/>
      <c r="H39" s="319">
        <f>+H38+H37</f>
        <v>10062.320000000007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7"/>
      <c r="F40" s="263"/>
      <c r="G40" s="477"/>
      <c r="H40" s="111"/>
      <c r="I40" s="51"/>
      <c r="J40" s="102"/>
      <c r="K40" s="513"/>
      <c r="L40" s="47"/>
      <c r="M40" s="48"/>
      <c r="N40" s="46"/>
    </row>
    <row r="41" spans="1:14" x14ac:dyDescent="0.2">
      <c r="C41" s="14"/>
      <c r="D41" s="50"/>
      <c r="E41" s="477"/>
      <c r="F41" s="263"/>
      <c r="G41" s="477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14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14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149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37256</v>
      </c>
      <c r="E46" s="485">
        <v>-5084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37286</v>
      </c>
      <c r="E47" s="459">
        <f>+H35</f>
        <v>37654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32570</v>
      </c>
      <c r="F48" s="129"/>
      <c r="G48" s="129"/>
      <c r="H48" s="129"/>
      <c r="I48" s="262"/>
      <c r="J48" s="102"/>
      <c r="K48" s="515"/>
      <c r="L48" s="38"/>
      <c r="M48" s="4"/>
    </row>
    <row r="49" spans="1:15" ht="12.75" x14ac:dyDescent="0.2">
      <c r="A49" s="101"/>
      <c r="B49" s="139"/>
      <c r="C49" s="119"/>
      <c r="D49" s="140"/>
      <c r="E49" s="478"/>
      <c r="F49" s="129"/>
      <c r="G49" s="129"/>
      <c r="H49" s="129"/>
      <c r="I49" s="479"/>
      <c r="J49" s="102"/>
      <c r="K49" s="51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5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5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5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13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14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14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15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16"/>
      <c r="L91" s="6"/>
      <c r="M91" s="6"/>
    </row>
    <row r="92" spans="1:14" x14ac:dyDescent="0.2">
      <c r="I92" s="11"/>
      <c r="J92" s="11"/>
      <c r="K92" s="511"/>
      <c r="L92" s="11"/>
      <c r="M92" s="11"/>
      <c r="N92" s="11"/>
    </row>
    <row r="93" spans="1:14" x14ac:dyDescent="0.2">
      <c r="G93" s="41"/>
      <c r="H93" s="11"/>
      <c r="I93" s="11"/>
      <c r="J93" s="11"/>
      <c r="K93" s="511"/>
      <c r="L93" s="11"/>
      <c r="M93" s="11"/>
      <c r="N93" s="11"/>
    </row>
    <row r="94" spans="1:14" x14ac:dyDescent="0.2">
      <c r="G94" s="41"/>
      <c r="H94" s="11"/>
      <c r="I94" s="11"/>
      <c r="J94" s="11"/>
      <c r="K94" s="511"/>
      <c r="L94" s="11"/>
      <c r="M94" s="11"/>
      <c r="N94" s="11"/>
    </row>
    <row r="95" spans="1:14" x14ac:dyDescent="0.2">
      <c r="G95" s="41"/>
      <c r="H95" s="11"/>
      <c r="I95" s="11"/>
      <c r="J95" s="11"/>
      <c r="K95" s="511"/>
      <c r="L95" s="11"/>
      <c r="M95" s="11"/>
      <c r="N95" s="11"/>
    </row>
    <row r="96" spans="1:14" x14ac:dyDescent="0.2">
      <c r="G96" s="41"/>
      <c r="H96" s="11"/>
      <c r="I96" s="11"/>
      <c r="J96" s="11"/>
      <c r="K96" s="511"/>
      <c r="L96" s="11"/>
      <c r="M96" s="11"/>
      <c r="N96" s="11"/>
    </row>
    <row r="97" spans="7:14" x14ac:dyDescent="0.2">
      <c r="G97" s="41"/>
      <c r="H97" s="11"/>
      <c r="I97" s="11"/>
      <c r="J97" s="11"/>
      <c r="K97" s="511"/>
      <c r="L97" s="11"/>
      <c r="M97" s="11"/>
      <c r="N97" s="11"/>
    </row>
    <row r="98" spans="7:14" x14ac:dyDescent="0.2">
      <c r="G98" s="41"/>
      <c r="H98" s="11"/>
      <c r="I98" s="11"/>
      <c r="J98" s="11"/>
      <c r="K98" s="511"/>
      <c r="L98" s="11"/>
      <c r="M98" s="11"/>
      <c r="N98" s="11"/>
    </row>
    <row r="99" spans="7:14" x14ac:dyDescent="0.2">
      <c r="G99" s="41"/>
      <c r="H99" s="11"/>
      <c r="I99" s="11"/>
      <c r="J99" s="11"/>
      <c r="K99" s="511"/>
      <c r="L99" s="11"/>
      <c r="M99" s="11"/>
      <c r="N99" s="11"/>
    </row>
    <row r="100" spans="7:14" x14ac:dyDescent="0.2">
      <c r="G100" s="41"/>
      <c r="H100" s="11"/>
      <c r="I100" s="11"/>
      <c r="J100" s="11"/>
      <c r="K100" s="5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5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5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5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5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5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5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5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5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5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5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5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5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5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5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5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5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5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5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5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5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5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511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13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14"/>
      <c r="L127" s="50"/>
      <c r="M127" s="50"/>
      <c r="N127" s="106"/>
    </row>
    <row r="128" spans="7:14" x14ac:dyDescent="0.2">
      <c r="G128" s="57"/>
      <c r="J128" s="50"/>
      <c r="K128" s="514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15"/>
      <c r="L133" s="38"/>
      <c r="M133" s="4"/>
    </row>
    <row r="134" spans="7:14" x14ac:dyDescent="0.2">
      <c r="G134" s="39"/>
      <c r="H134" s="6"/>
      <c r="I134" s="40"/>
      <c r="J134" s="6"/>
      <c r="K134" s="516"/>
      <c r="L134" s="6"/>
      <c r="M134" s="6"/>
    </row>
    <row r="135" spans="7:14" x14ac:dyDescent="0.2">
      <c r="G135" s="41"/>
      <c r="H135" s="11"/>
      <c r="I135" s="11"/>
      <c r="J135" s="11"/>
      <c r="K135" s="5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5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5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5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5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5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5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5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5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5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5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5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5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5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5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5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5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5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5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5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5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5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5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5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5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5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5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5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5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5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517"/>
      <c r="L165" s="42"/>
      <c r="M165" s="42"/>
      <c r="N165" s="42"/>
    </row>
    <row r="166" spans="7:14" x14ac:dyDescent="0.2">
      <c r="G166" s="41"/>
      <c r="H166" s="11"/>
      <c r="I166" s="44"/>
      <c r="J166" s="11"/>
      <c r="K166" s="518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13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14"/>
      <c r="L171" s="57"/>
      <c r="M171" s="50"/>
      <c r="N171" s="106"/>
    </row>
    <row r="172" spans="7:14" x14ac:dyDescent="0.2">
      <c r="J172" s="50"/>
      <c r="K172" s="514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15"/>
      <c r="L177" s="38"/>
      <c r="M177" s="4"/>
    </row>
    <row r="178" spans="7:14" x14ac:dyDescent="0.2">
      <c r="G178" s="39"/>
      <c r="H178" s="6"/>
      <c r="I178" s="40"/>
      <c r="J178" s="6"/>
      <c r="K178" s="516"/>
      <c r="L178" s="6"/>
      <c r="M178" s="6"/>
    </row>
    <row r="179" spans="7:14" x14ac:dyDescent="0.2">
      <c r="G179" s="41"/>
      <c r="H179" s="11"/>
      <c r="I179" s="11"/>
      <c r="J179" s="11"/>
      <c r="K179" s="5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5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5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5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5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5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5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5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5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5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5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5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5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5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5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5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5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5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5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5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5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5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5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5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5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5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5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5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5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5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517"/>
      <c r="L209" s="42"/>
      <c r="M209" s="42"/>
      <c r="N209" s="42"/>
    </row>
    <row r="210" spans="7:14" x14ac:dyDescent="0.2">
      <c r="G210" s="41"/>
      <c r="H210" s="11"/>
      <c r="I210" s="44"/>
      <c r="J210" s="11"/>
      <c r="K210" s="518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13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14"/>
      <c r="L215" s="57"/>
      <c r="M215" s="50"/>
      <c r="N215" s="106"/>
    </row>
    <row r="216" spans="7:14" x14ac:dyDescent="0.2">
      <c r="J216" s="50"/>
      <c r="K216" s="514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15"/>
      <c r="L220" s="38"/>
      <c r="M220" s="4"/>
    </row>
    <row r="221" spans="7:14" x14ac:dyDescent="0.2">
      <c r="G221" s="39"/>
      <c r="H221" s="6"/>
      <c r="I221" s="40"/>
      <c r="J221" s="6"/>
      <c r="K221" s="516"/>
      <c r="L221" s="6"/>
      <c r="M221" s="6"/>
    </row>
    <row r="222" spans="7:14" x14ac:dyDescent="0.2">
      <c r="G222" s="41"/>
      <c r="H222" s="11"/>
      <c r="I222" s="11"/>
      <c r="J222" s="11"/>
      <c r="K222" s="5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5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5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5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5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5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5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5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5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5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5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5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5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5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5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5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5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5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5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5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5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5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5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5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5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5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5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5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5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5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517"/>
      <c r="L252" s="42"/>
      <c r="M252" s="42"/>
      <c r="N252" s="42"/>
    </row>
    <row r="253" spans="7:14" x14ac:dyDescent="0.2">
      <c r="G253" s="41"/>
      <c r="H253" s="11"/>
      <c r="I253" s="44"/>
      <c r="J253" s="11"/>
      <c r="K253" s="518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13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14"/>
      <c r="L258" s="57"/>
      <c r="M258" s="50"/>
      <c r="N258" s="106"/>
    </row>
    <row r="259" spans="10:14" x14ac:dyDescent="0.2">
      <c r="J259" s="50"/>
      <c r="K259" s="514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18" workbookViewId="0">
      <selection activeCell="E34" sqref="E34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-280134</v>
      </c>
      <c r="E5" s="11">
        <v>-280135</v>
      </c>
      <c r="F5" s="11"/>
      <c r="G5" s="11"/>
      <c r="H5" s="24">
        <f>+E5-D5+C5-B5</f>
        <v>-1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-279806</v>
      </c>
      <c r="E6" s="11">
        <v>-280313</v>
      </c>
      <c r="F6" s="11"/>
      <c r="G6" s="11"/>
      <c r="H6" s="24">
        <f t="shared" ref="H6:H35" si="0">+E6-D6+C6-B6</f>
        <v>-507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-301597</v>
      </c>
      <c r="E7" s="129">
        <v>-302566</v>
      </c>
      <c r="F7" s="11"/>
      <c r="G7" s="11"/>
      <c r="H7" s="24">
        <f t="shared" si="0"/>
        <v>-969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1">
        <v>-314743</v>
      </c>
      <c r="E8" s="129">
        <v>-319472</v>
      </c>
      <c r="F8" s="11"/>
      <c r="G8" s="11"/>
      <c r="H8" s="24">
        <f t="shared" si="0"/>
        <v>-4729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-312244</v>
      </c>
      <c r="E9" s="11">
        <v>-312596</v>
      </c>
      <c r="F9" s="11"/>
      <c r="G9" s="11"/>
      <c r="H9" s="24">
        <f t="shared" si="0"/>
        <v>-352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-311950</v>
      </c>
      <c r="E10" s="11">
        <v>-310929</v>
      </c>
      <c r="F10" s="11"/>
      <c r="G10" s="11"/>
      <c r="H10" s="24">
        <f t="shared" si="0"/>
        <v>1021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-323050</v>
      </c>
      <c r="E11" s="11">
        <v>-318020</v>
      </c>
      <c r="F11" s="11"/>
      <c r="G11" s="11"/>
      <c r="H11" s="24">
        <f t="shared" si="0"/>
        <v>5030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-300249</v>
      </c>
      <c r="E12" s="11">
        <v>-298103</v>
      </c>
      <c r="F12" s="11"/>
      <c r="G12" s="11"/>
      <c r="H12" s="24">
        <f t="shared" si="0"/>
        <v>2146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-266264</v>
      </c>
      <c r="E13" s="11">
        <v>-263779</v>
      </c>
      <c r="F13" s="11"/>
      <c r="G13" s="11"/>
      <c r="H13" s="24">
        <f t="shared" si="0"/>
        <v>2485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-299882</v>
      </c>
      <c r="E14" s="11">
        <v>-301891</v>
      </c>
      <c r="F14" s="11"/>
      <c r="G14" s="11"/>
      <c r="H14" s="24">
        <f t="shared" si="0"/>
        <v>-2009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-257687</v>
      </c>
      <c r="E15" s="11">
        <v>-291787</v>
      </c>
      <c r="F15" s="11"/>
      <c r="G15" s="11"/>
      <c r="H15" s="24">
        <f t="shared" si="0"/>
        <v>-34100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>
        <v>-255903</v>
      </c>
      <c r="E16" s="11">
        <v>-270240</v>
      </c>
      <c r="F16" s="11"/>
      <c r="G16" s="11"/>
      <c r="H16" s="24">
        <f t="shared" si="0"/>
        <v>-14337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-292149</v>
      </c>
      <c r="E17" s="11">
        <v>-294862</v>
      </c>
      <c r="F17" s="11"/>
      <c r="G17" s="11"/>
      <c r="H17" s="24">
        <f t="shared" si="0"/>
        <v>-2713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-299428</v>
      </c>
      <c r="E18" s="11">
        <v>-300407</v>
      </c>
      <c r="F18" s="11"/>
      <c r="G18" s="11"/>
      <c r="H18" s="24">
        <f t="shared" si="0"/>
        <v>-979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-311511</v>
      </c>
      <c r="E19" s="11">
        <v>-303496</v>
      </c>
      <c r="F19" s="11"/>
      <c r="G19" s="11"/>
      <c r="H19" s="24">
        <f t="shared" si="0"/>
        <v>8015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v>-291172</v>
      </c>
      <c r="E20" s="11">
        <v>-289668</v>
      </c>
      <c r="F20" s="11"/>
      <c r="G20" s="11"/>
      <c r="H20" s="24">
        <f t="shared" si="0"/>
        <v>1504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v>-308827</v>
      </c>
      <c r="E21" s="11">
        <v>-303067</v>
      </c>
      <c r="F21" s="11"/>
      <c r="G21" s="11"/>
      <c r="H21" s="24">
        <f t="shared" si="0"/>
        <v>5760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>
        <v>-263478</v>
      </c>
      <c r="E22" s="11">
        <v>-263800</v>
      </c>
      <c r="F22" s="11"/>
      <c r="G22" s="11"/>
      <c r="H22" s="24">
        <f t="shared" si="0"/>
        <v>-322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>
        <v>-276071</v>
      </c>
      <c r="E23" s="11">
        <v>-276739</v>
      </c>
      <c r="F23" s="11"/>
      <c r="G23" s="11"/>
      <c r="H23" s="24">
        <f t="shared" si="0"/>
        <v>-668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>
        <v>-284466</v>
      </c>
      <c r="E24" s="11">
        <v>-282772</v>
      </c>
      <c r="F24" s="11"/>
      <c r="G24" s="11"/>
      <c r="H24" s="24">
        <f t="shared" si="0"/>
        <v>1694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>
        <v>-283798</v>
      </c>
      <c r="E25" s="11">
        <v>-286462</v>
      </c>
      <c r="F25" s="11"/>
      <c r="G25" s="11"/>
      <c r="H25" s="24">
        <f t="shared" si="0"/>
        <v>-2664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>
        <v>-288119</v>
      </c>
      <c r="E26" s="11">
        <v>-289235</v>
      </c>
      <c r="F26" s="11"/>
      <c r="G26" s="11"/>
      <c r="H26" s="24">
        <f t="shared" si="0"/>
        <v>-1116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29">
        <v>-273336</v>
      </c>
      <c r="E27" s="11">
        <v>-275597</v>
      </c>
      <c r="F27" s="11"/>
      <c r="G27" s="11"/>
      <c r="H27" s="24">
        <f t="shared" si="0"/>
        <v>-2261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>
        <v>-299291</v>
      </c>
      <c r="E28" s="11">
        <v>-301016</v>
      </c>
      <c r="F28" s="11"/>
      <c r="G28" s="11"/>
      <c r="H28" s="24">
        <f t="shared" si="0"/>
        <v>-1725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>
        <v>-293801</v>
      </c>
      <c r="E29" s="11">
        <v>-294789</v>
      </c>
      <c r="F29" s="11"/>
      <c r="G29" s="11"/>
      <c r="H29" s="24">
        <f t="shared" si="0"/>
        <v>-988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>
        <v>-278070</v>
      </c>
      <c r="E30" s="11">
        <v>-276979</v>
      </c>
      <c r="F30" s="11"/>
      <c r="G30" s="11"/>
      <c r="H30" s="24">
        <f t="shared" si="0"/>
        <v>1091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>
        <v>-288953</v>
      </c>
      <c r="E31" s="11">
        <v>-286686</v>
      </c>
      <c r="F31" s="11"/>
      <c r="G31" s="11"/>
      <c r="H31" s="24">
        <f t="shared" si="0"/>
        <v>2267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>
        <v>-292908</v>
      </c>
      <c r="E32" s="11">
        <v>-294919</v>
      </c>
      <c r="F32" s="11"/>
      <c r="G32" s="11"/>
      <c r="H32" s="24">
        <f t="shared" si="0"/>
        <v>-2011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>
        <v>-315542</v>
      </c>
      <c r="E33" s="11">
        <v>-313281</v>
      </c>
      <c r="F33" s="11"/>
      <c r="G33" s="11"/>
      <c r="H33" s="24">
        <f t="shared" si="0"/>
        <v>2261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-8444429</v>
      </c>
      <c r="E36" s="11">
        <f t="shared" si="15"/>
        <v>-8483606</v>
      </c>
      <c r="F36" s="11">
        <f t="shared" si="15"/>
        <v>0</v>
      </c>
      <c r="G36" s="11">
        <f t="shared" si="15"/>
        <v>0</v>
      </c>
      <c r="H36" s="11">
        <f t="shared" si="15"/>
        <v>-39177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-39177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37256</v>
      </c>
      <c r="B38" s="2" t="s">
        <v>45</v>
      </c>
      <c r="C38" s="539">
        <v>64269</v>
      </c>
      <c r="D38" s="320"/>
      <c r="E38" s="540">
        <v>-22159</v>
      </c>
      <c r="F38" s="24"/>
      <c r="G38" s="24"/>
      <c r="H38" s="236">
        <f>+C38+E38+G38</f>
        <v>42110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37285</v>
      </c>
      <c r="B39" s="2" t="s">
        <v>45</v>
      </c>
      <c r="C39" s="131">
        <f>+C38+C37</f>
        <v>64269</v>
      </c>
      <c r="D39" s="252"/>
      <c r="E39" s="131">
        <f>+E38+E37</f>
        <v>-61336</v>
      </c>
      <c r="F39" s="252"/>
      <c r="G39" s="131"/>
      <c r="H39" s="131">
        <f>+H38+H36</f>
        <v>2933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5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37256</v>
      </c>
      <c r="B44" s="32"/>
      <c r="C44" s="551">
        <v>-1582961.01</v>
      </c>
      <c r="D44" s="205"/>
      <c r="E44" s="552">
        <v>1039794.5</v>
      </c>
      <c r="F44" s="47">
        <f>+E44+C44</f>
        <v>-543166.51</v>
      </c>
      <c r="G44" s="247">
        <f>+G42-G43</f>
        <v>15616</v>
      </c>
      <c r="H44" s="379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37285</v>
      </c>
      <c r="B45" s="32"/>
      <c r="C45" s="47">
        <f>+C37*summary!G4</f>
        <v>0</v>
      </c>
      <c r="D45" s="205"/>
      <c r="E45" s="377">
        <f>+E37*summary!G3</f>
        <v>-81096.39</v>
      </c>
      <c r="F45" s="47">
        <f>+E45+C45</f>
        <v>-81096.39</v>
      </c>
      <c r="G45" s="247"/>
      <c r="H45" s="379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-1582961.01</v>
      </c>
      <c r="D46" s="205"/>
      <c r="E46" s="377">
        <v>925707</v>
      </c>
      <c r="F46" s="47">
        <f>+E46+C46</f>
        <v>-657254.01</v>
      </c>
      <c r="G46" s="247"/>
      <c r="H46" s="379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77"/>
      <c r="D47" s="377"/>
      <c r="E47" s="377"/>
      <c r="F47" s="47"/>
      <c r="G47" s="247"/>
      <c r="H47" s="379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5" workbookViewId="0">
      <selection activeCell="C47" sqref="C47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150913</v>
      </c>
      <c r="C8" s="11">
        <v>145848</v>
      </c>
      <c r="D8" s="11">
        <v>13139</v>
      </c>
      <c r="E8" s="11">
        <v>13033</v>
      </c>
      <c r="F8" s="11">
        <f>+C8-B8+E8-D8</f>
        <v>-5171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152228</v>
      </c>
      <c r="C9" s="11">
        <v>147322</v>
      </c>
      <c r="D9" s="11">
        <v>12591</v>
      </c>
      <c r="E9" s="11">
        <v>13033</v>
      </c>
      <c r="F9" s="11">
        <f t="shared" ref="F9:F39" si="5">+C9-B9+E9-D9</f>
        <v>-4464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145222</v>
      </c>
      <c r="C10" s="11">
        <v>147322</v>
      </c>
      <c r="D10" s="11">
        <v>12793</v>
      </c>
      <c r="E10" s="11">
        <v>13033</v>
      </c>
      <c r="F10" s="11">
        <f t="shared" si="5"/>
        <v>2340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146730</v>
      </c>
      <c r="C11" s="11">
        <v>146798</v>
      </c>
      <c r="D11" s="11">
        <v>11707</v>
      </c>
      <c r="E11" s="11">
        <v>13033</v>
      </c>
      <c r="F11" s="11">
        <f t="shared" si="5"/>
        <v>1394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142325</v>
      </c>
      <c r="C12" s="11">
        <v>142214</v>
      </c>
      <c r="D12" s="11">
        <v>13096</v>
      </c>
      <c r="E12" s="11">
        <v>13033</v>
      </c>
      <c r="F12" s="11">
        <f t="shared" si="5"/>
        <v>-174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142642</v>
      </c>
      <c r="C13" s="11">
        <v>142329</v>
      </c>
      <c r="D13" s="11">
        <v>13268</v>
      </c>
      <c r="E13" s="11">
        <v>13033</v>
      </c>
      <c r="F13" s="11">
        <f t="shared" si="5"/>
        <v>-548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142648</v>
      </c>
      <c r="C14" s="11">
        <v>142376</v>
      </c>
      <c r="D14" s="11">
        <v>13098</v>
      </c>
      <c r="E14" s="11">
        <v>13033</v>
      </c>
      <c r="F14" s="11">
        <f t="shared" si="5"/>
        <v>-337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147784</v>
      </c>
      <c r="C15" s="11">
        <v>147401</v>
      </c>
      <c r="D15" s="129">
        <v>12876</v>
      </c>
      <c r="E15" s="11">
        <v>13033</v>
      </c>
      <c r="F15" s="11">
        <f t="shared" si="5"/>
        <v>-226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147391</v>
      </c>
      <c r="C16" s="11">
        <v>146313</v>
      </c>
      <c r="D16" s="554">
        <v>12967</v>
      </c>
      <c r="E16" s="11">
        <v>13033</v>
      </c>
      <c r="F16" s="11">
        <f t="shared" si="5"/>
        <v>-1012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145996</v>
      </c>
      <c r="C17" s="11">
        <v>146796</v>
      </c>
      <c r="D17" s="11">
        <v>13916</v>
      </c>
      <c r="E17" s="11">
        <v>13033</v>
      </c>
      <c r="F17" s="11">
        <f t="shared" si="5"/>
        <v>-83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144461</v>
      </c>
      <c r="C18" s="11">
        <v>143768</v>
      </c>
      <c r="D18" s="11">
        <v>13394</v>
      </c>
      <c r="E18" s="11">
        <v>13033</v>
      </c>
      <c r="F18" s="11">
        <f t="shared" si="5"/>
        <v>-1054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142027</v>
      </c>
      <c r="C19" s="11">
        <v>141216</v>
      </c>
      <c r="D19" s="11">
        <v>12668</v>
      </c>
      <c r="E19" s="11">
        <v>13033</v>
      </c>
      <c r="F19" s="11">
        <f t="shared" si="5"/>
        <v>-446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146634</v>
      </c>
      <c r="C20" s="11">
        <v>146047</v>
      </c>
      <c r="D20" s="11">
        <v>12663</v>
      </c>
      <c r="E20" s="11">
        <v>13033</v>
      </c>
      <c r="F20" s="11">
        <f t="shared" si="5"/>
        <v>-217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>
        <v>145366</v>
      </c>
      <c r="C21" s="11">
        <v>145940</v>
      </c>
      <c r="D21" s="11">
        <v>12759</v>
      </c>
      <c r="E21" s="11">
        <v>13033</v>
      </c>
      <c r="F21" s="11">
        <f t="shared" si="5"/>
        <v>848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>
        <v>145752</v>
      </c>
      <c r="C22" s="11">
        <v>144932</v>
      </c>
      <c r="D22" s="11">
        <v>12984</v>
      </c>
      <c r="E22" s="11">
        <v>13033</v>
      </c>
      <c r="F22" s="11">
        <f t="shared" si="5"/>
        <v>-771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>
        <v>147422</v>
      </c>
      <c r="C23" s="11">
        <v>146903</v>
      </c>
      <c r="D23" s="11">
        <v>12632</v>
      </c>
      <c r="E23" s="11">
        <v>13033</v>
      </c>
      <c r="F23" s="11">
        <f t="shared" si="5"/>
        <v>-118</v>
      </c>
      <c r="G23" s="142"/>
      <c r="H23" s="501">
        <f>+A45</f>
        <v>37285</v>
      </c>
      <c r="I23" s="11">
        <f>+B39</f>
        <v>4231863</v>
      </c>
      <c r="J23" s="11">
        <f>+C39</f>
        <v>4223190</v>
      </c>
      <c r="K23" s="11">
        <f>+D39</f>
        <v>377524</v>
      </c>
      <c r="L23" s="11">
        <f>+E39</f>
        <v>377957</v>
      </c>
      <c r="M23" s="42">
        <f>+J23-I23+L23-K23</f>
        <v>-8240</v>
      </c>
      <c r="N23" s="102">
        <f>+summary!G3</f>
        <v>2.0699999999999998</v>
      </c>
      <c r="O23" s="503">
        <f>+N23*M23</f>
        <v>-17056.8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>
        <v>146057</v>
      </c>
      <c r="C24" s="11">
        <v>145183</v>
      </c>
      <c r="D24" s="11">
        <v>12781</v>
      </c>
      <c r="E24" s="11">
        <v>13033</v>
      </c>
      <c r="F24" s="11">
        <f t="shared" si="5"/>
        <v>-622</v>
      </c>
      <c r="G24" s="268"/>
      <c r="H24" s="168"/>
      <c r="I24" s="11"/>
      <c r="J24" s="11"/>
      <c r="K24" s="11"/>
      <c r="L24" s="142"/>
      <c r="M24" s="502">
        <f>SUM(M9:M23)</f>
        <v>81560</v>
      </c>
      <c r="N24" s="102"/>
      <c r="O24" s="102">
        <f>SUM(O9:O23)</f>
        <v>551059.53999999992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>
        <v>146516</v>
      </c>
      <c r="C25" s="11">
        <v>146270</v>
      </c>
      <c r="D25" s="11">
        <v>12318</v>
      </c>
      <c r="E25" s="11">
        <v>13033</v>
      </c>
      <c r="F25" s="11">
        <f t="shared" si="5"/>
        <v>469</v>
      </c>
      <c r="G25" s="306"/>
      <c r="H25" s="500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>
        <v>146915</v>
      </c>
      <c r="C26" s="11">
        <v>146731</v>
      </c>
      <c r="D26" s="11">
        <v>12991</v>
      </c>
      <c r="E26" s="11">
        <v>13033</v>
      </c>
      <c r="F26" s="11">
        <f t="shared" si="5"/>
        <v>-142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>
        <v>147281</v>
      </c>
      <c r="C27" s="11">
        <v>146911</v>
      </c>
      <c r="D27" s="11">
        <v>12635</v>
      </c>
      <c r="E27" s="11">
        <v>13033</v>
      </c>
      <c r="F27" s="11">
        <f t="shared" si="5"/>
        <v>28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3">
        <v>146748</v>
      </c>
      <c r="C28" s="150">
        <v>146720</v>
      </c>
      <c r="D28" s="150">
        <v>11772</v>
      </c>
      <c r="E28" s="150">
        <v>13033</v>
      </c>
      <c r="F28" s="11">
        <f t="shared" si="5"/>
        <v>1233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3">
        <v>147080</v>
      </c>
      <c r="C29" s="150">
        <v>145409</v>
      </c>
      <c r="D29" s="150">
        <v>13371</v>
      </c>
      <c r="E29" s="150">
        <v>13033</v>
      </c>
      <c r="F29" s="11">
        <f t="shared" si="5"/>
        <v>-2009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>
        <v>145115</v>
      </c>
      <c r="C30" s="150">
        <v>144287</v>
      </c>
      <c r="D30" s="150">
        <v>13437</v>
      </c>
      <c r="E30" s="150">
        <v>13033</v>
      </c>
      <c r="F30" s="11">
        <f t="shared" si="5"/>
        <v>-1232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>
        <v>147232</v>
      </c>
      <c r="C31" s="150">
        <v>146997</v>
      </c>
      <c r="D31" s="150">
        <v>14001</v>
      </c>
      <c r="E31" s="150">
        <v>13033</v>
      </c>
      <c r="F31" s="11">
        <f t="shared" si="5"/>
        <v>-1203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>
        <v>147238</v>
      </c>
      <c r="C32" s="150">
        <v>146842</v>
      </c>
      <c r="D32" s="150">
        <v>13832</v>
      </c>
      <c r="E32" s="150">
        <v>13033</v>
      </c>
      <c r="F32" s="11">
        <f t="shared" si="5"/>
        <v>-1195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>
        <v>143617</v>
      </c>
      <c r="C33" s="150">
        <v>143433</v>
      </c>
      <c r="D33" s="150">
        <v>13982</v>
      </c>
      <c r="E33" s="150">
        <v>13033</v>
      </c>
      <c r="F33" s="11">
        <f t="shared" si="5"/>
        <v>-1133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>
        <v>147151</v>
      </c>
      <c r="C34" s="150">
        <v>146889</v>
      </c>
      <c r="D34" s="150">
        <v>12866</v>
      </c>
      <c r="E34" s="150">
        <v>13033</v>
      </c>
      <c r="F34" s="11">
        <f t="shared" si="5"/>
        <v>-95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3">
        <v>138258</v>
      </c>
      <c r="C35" s="150">
        <v>146996</v>
      </c>
      <c r="D35" s="150">
        <v>13033</v>
      </c>
      <c r="E35" s="150">
        <v>13033</v>
      </c>
      <c r="F35" s="11">
        <f t="shared" si="5"/>
        <v>8738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>
        <v>147114</v>
      </c>
      <c r="C36" s="150">
        <v>146997</v>
      </c>
      <c r="D36" s="150">
        <v>13954</v>
      </c>
      <c r="E36" s="150">
        <v>13033</v>
      </c>
      <c r="F36" s="11">
        <f t="shared" si="5"/>
        <v>-1038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4231863</v>
      </c>
      <c r="C39" s="150">
        <f>SUM(C8:C38)</f>
        <v>4223190</v>
      </c>
      <c r="D39" s="150">
        <f>SUM(D8:D38)</f>
        <v>377524</v>
      </c>
      <c r="E39" s="150">
        <f>SUM(E8:E38)</f>
        <v>377957</v>
      </c>
      <c r="F39" s="11">
        <f t="shared" si="5"/>
        <v>-8240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494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37256</v>
      </c>
      <c r="B44" s="32"/>
      <c r="C44" s="462"/>
      <c r="D44" s="111"/>
      <c r="E44" s="462"/>
      <c r="F44" s="493">
        <v>30131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37285</v>
      </c>
      <c r="B45" s="32"/>
      <c r="C45" s="106"/>
      <c r="D45" s="106"/>
      <c r="E45" s="106"/>
      <c r="F45" s="24">
        <f>+F44+F39</f>
        <v>21891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310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37256</v>
      </c>
      <c r="B50" s="32"/>
      <c r="C50" s="32"/>
      <c r="D50" s="493">
        <v>434360.78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37285</v>
      </c>
      <c r="B51" s="32"/>
      <c r="C51" s="32"/>
      <c r="D51" s="350">
        <f>+F39*summary!G3</f>
        <v>-17056.8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417303.98000000004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76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76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76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76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27</vt:i4>
      </vt:variant>
    </vt:vector>
  </HeadingPairs>
  <TitlesOfParts>
    <vt:vector size="72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2002-01-31T18:34:52Z</cp:lastPrinted>
  <dcterms:created xsi:type="dcterms:W3CDTF">2000-03-28T16:52:23Z</dcterms:created>
  <dcterms:modified xsi:type="dcterms:W3CDTF">2023-09-14T17:23:57Z</dcterms:modified>
</cp:coreProperties>
</file>