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AA14A4-F448-4870-9A91-A6DDE731F3BA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<sst xmlns="http://schemas.openxmlformats.org/spreadsheetml/2006/main" count="931" uniqueCount="330">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</sst>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7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3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5" fillId="7" borderId="1" xfId="1" applyNumberFormat="1" applyFont="1" applyFill="1" applyBorder="1"/>
    <xf numFmtId="7" fontId="25" fillId="7" borderId="1" xfId="0" applyNumberFormat="1" applyFont="1" applyFill="1" applyBorder="1"/>
    <xf numFmtId="5" fontId="33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  <xf numFmtId="166" fontId="3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 refreshError="1"/>
      <sheetData sheetId="1" refreshError="1"/>
      <sheetData sheetId="2" refreshError="1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4"/>
    </row>
    <row r="2" spans="1:32" ht="12.95" customHeight="1" x14ac:dyDescent="0.2">
      <c r="A2" s="34" t="s">
        <v>142</v>
      </c>
      <c r="D2" s="7"/>
      <c r="I2" s="398" t="s">
        <v>79</v>
      </c>
      <c r="J2" s="401"/>
      <c r="K2" s="32"/>
    </row>
    <row r="3" spans="1:32" ht="12.95" customHeight="1" x14ac:dyDescent="0.2">
      <c r="D3" s="7"/>
      <c r="I3" s="399" t="s">
        <v>30</v>
      </c>
      <c r="J3" s="402">
        <f>+'[2]1001'!$K$39</f>
        <v>1.99</v>
      </c>
      <c r="K3" s="419">
        <f ca="1">NOW()</f>
        <v>37238.475770486111</v>
      </c>
    </row>
    <row r="4" spans="1:32" ht="12.95" customHeight="1" x14ac:dyDescent="0.2">
      <c r="A4" s="34" t="s">
        <v>148</v>
      </c>
      <c r="C4" s="34" t="s">
        <v>5</v>
      </c>
      <c r="D4" s="7"/>
      <c r="I4" s="400" t="s">
        <v>31</v>
      </c>
      <c r="J4" s="402">
        <f>+'[2]1001'!$M$39</f>
        <v>2.02</v>
      </c>
      <c r="K4" s="32"/>
    </row>
    <row r="5" spans="1:32" ht="12.95" customHeight="1" x14ac:dyDescent="0.2">
      <c r="D5" s="7"/>
      <c r="I5" s="399" t="s">
        <v>118</v>
      </c>
      <c r="J5" s="402">
        <f>+'[2]1001'!$E$39</f>
        <v>2.04</v>
      </c>
      <c r="K5" s="32"/>
    </row>
    <row r="6" spans="1:32" ht="6.95" customHeight="1" x14ac:dyDescent="0.2"/>
    <row r="7" spans="1:32" ht="12.95" customHeight="1" x14ac:dyDescent="0.2">
      <c r="A7" s="417" t="s">
        <v>167</v>
      </c>
      <c r="B7" s="418"/>
      <c r="AD7" s="32"/>
      <c r="AE7" s="32"/>
      <c r="AF7" s="32"/>
    </row>
    <row r="8" spans="1:32" ht="15.95" customHeight="1" outlineLevel="2" x14ac:dyDescent="0.2">
      <c r="A8" s="32"/>
      <c r="B8" s="459" t="s">
        <v>201</v>
      </c>
      <c r="C8" s="415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1" t="s">
        <v>90</v>
      </c>
      <c r="B9" s="407" t="s">
        <v>202</v>
      </c>
      <c r="C9" s="416" t="s">
        <v>195</v>
      </c>
      <c r="D9" s="444" t="s">
        <v>199</v>
      </c>
      <c r="E9" s="39" t="s">
        <v>197</v>
      </c>
      <c r="F9" s="39" t="s">
        <v>149</v>
      </c>
      <c r="G9" s="405" t="s">
        <v>154</v>
      </c>
      <c r="H9" s="382" t="s">
        <v>102</v>
      </c>
      <c r="I9" s="38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1" t="s">
        <v>159</v>
      </c>
    </row>
    <row r="12" spans="1:32" ht="13.5" customHeight="1" outlineLevel="1" x14ac:dyDescent="0.2">
      <c r="A12" s="206" t="s">
        <v>129</v>
      </c>
      <c r="B12" s="359">
        <f>+Calpine!D41</f>
        <v>93714.12</v>
      </c>
      <c r="C12" s="384">
        <f>+B12/$J$4</f>
        <v>46393.128712871287</v>
      </c>
      <c r="D12" s="14">
        <f>+Calpine!D47</f>
        <v>137363</v>
      </c>
      <c r="E12" s="70">
        <f>+C12-D12</f>
        <v>-90969.871287128713</v>
      </c>
      <c r="F12" s="379">
        <f>+Calpine!A41</f>
        <v>37236</v>
      </c>
      <c r="G12" s="205"/>
      <c r="H12" s="206" t="s">
        <v>100</v>
      </c>
      <c r="I12" s="365"/>
      <c r="J12" s="70"/>
      <c r="K12" s="32"/>
    </row>
    <row r="13" spans="1:32" ht="13.5" customHeight="1" outlineLevel="2" x14ac:dyDescent="0.2">
      <c r="A13" s="32" t="s">
        <v>141</v>
      </c>
      <c r="B13" s="359">
        <f>+'Citizens-Griffith'!D41</f>
        <v>66541.960000000006</v>
      </c>
      <c r="C13" s="383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79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9">
        <f>+'NS Steel'!D41</f>
        <v>-346024.64</v>
      </c>
      <c r="C14" s="383">
        <f>+B14/$J$4</f>
        <v>-171299.32673267327</v>
      </c>
      <c r="D14" s="14">
        <f>+'NS Steel'!D50</f>
        <v>-40308</v>
      </c>
      <c r="E14" s="70">
        <f>+C14-D14</f>
        <v>-130991.32673267327</v>
      </c>
      <c r="F14" s="380">
        <f>+'NS Steel'!A41</f>
        <v>37236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2">
        <f>+Citizens!D18</f>
        <v>-521519.44</v>
      </c>
      <c r="C15" s="385">
        <f>+B15/$J$4</f>
        <v>-258177.94059405942</v>
      </c>
      <c r="D15" s="363">
        <f>+Citizens!D24</f>
        <v>-30171</v>
      </c>
      <c r="E15" s="72">
        <f>+C15-D15</f>
        <v>-228006.94059405942</v>
      </c>
      <c r="F15" s="379">
        <f>+Citizens!A18</f>
        <v>37235</v>
      </c>
      <c r="G15" s="205"/>
      <c r="H15" s="206" t="s">
        <v>100</v>
      </c>
      <c r="I15" s="436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3">
        <f>SUBTOTAL(9,B12:B15)</f>
        <v>-707288</v>
      </c>
      <c r="C16" s="410">
        <f>SUBTOTAL(9,C12:C15)</f>
        <v>-350142.57425742573</v>
      </c>
      <c r="D16" s="411">
        <f>SUBTOTAL(9,D12:D15)</f>
        <v>103268</v>
      </c>
      <c r="E16" s="412">
        <f>SUBTOTAL(9,E12:E15)</f>
        <v>-453410.57425742573</v>
      </c>
      <c r="F16" s="379"/>
      <c r="G16" s="205"/>
      <c r="H16" s="206"/>
      <c r="I16" s="365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4" t="s">
        <v>58</v>
      </c>
      <c r="G18" s="7"/>
    </row>
    <row r="19" spans="1:20" ht="13.5" customHeight="1" outlineLevel="2" x14ac:dyDescent="0.2">
      <c r="A19" s="32" t="s">
        <v>72</v>
      </c>
      <c r="B19" s="360">
        <f>+transcol!$D$43</f>
        <v>-1043.8900000000012</v>
      </c>
      <c r="C19" s="383">
        <f>+B19/$J$4</f>
        <v>-516.77722772277286</v>
      </c>
      <c r="D19" s="14">
        <f>+transcol!D50</f>
        <v>-56448</v>
      </c>
      <c r="E19" s="70">
        <f>+C19-D19</f>
        <v>55931.22277227723</v>
      </c>
      <c r="F19" s="380">
        <f>+transcol!A43</f>
        <v>37236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2">
        <f>+burlington!D42</f>
        <v>5062.93</v>
      </c>
      <c r="C20" s="387">
        <f>+B20/$J$3</f>
        <v>2544.1859296482412</v>
      </c>
      <c r="D20" s="363">
        <f>+burlington!D49</f>
        <v>3138</v>
      </c>
      <c r="E20" s="72">
        <f>+C20-D20</f>
        <v>-593.8140703517588</v>
      </c>
      <c r="F20" s="379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3">
        <f>SUBTOTAL(9,B19:B20)</f>
        <v>4019.0399999999991</v>
      </c>
      <c r="C21" s="404">
        <f>SUBTOTAL(9,C19:C20)</f>
        <v>2027.4087019254684</v>
      </c>
      <c r="D21" s="411">
        <f>SUBTOTAL(9,D19:D20)</f>
        <v>-53310</v>
      </c>
      <c r="E21" s="412">
        <f>SUBTOTAL(9,E19:E20)</f>
        <v>55337.408701925473</v>
      </c>
      <c r="F21" s="379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1" t="s">
        <v>163</v>
      </c>
      <c r="B23" s="440"/>
      <c r="C23" s="441"/>
      <c r="D23" s="442"/>
      <c r="E23" s="442"/>
      <c r="F23" s="442"/>
      <c r="G23" s="443"/>
      <c r="H23" s="442"/>
      <c r="I23" s="442"/>
    </row>
    <row r="24" spans="1:20" ht="15.95" customHeight="1" outlineLevel="2" x14ac:dyDescent="0.2">
      <c r="A24" s="206" t="s">
        <v>88</v>
      </c>
      <c r="B24" s="359">
        <f>+NNG!$D$24</f>
        <v>701953.12000000011</v>
      </c>
      <c r="C24" s="383">
        <f t="shared" ref="C24:C39" si="0">+B24/$J$4</f>
        <v>347501.5445544555</v>
      </c>
      <c r="D24" s="14">
        <f>+NNG!D34</f>
        <v>114493</v>
      </c>
      <c r="E24" s="70">
        <f t="shared" ref="E24:E41" si="1">+C24-D24</f>
        <v>233008.5445544555</v>
      </c>
      <c r="F24" s="379">
        <f>+NNG!A24</f>
        <v>37236</v>
      </c>
      <c r="G24" s="406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9">
        <f>+Conoco!$F$41</f>
        <v>356383.29</v>
      </c>
      <c r="C25" s="383">
        <f t="shared" si="0"/>
        <v>176427.37128712871</v>
      </c>
      <c r="D25" s="14">
        <f>+Conoco!D48</f>
        <v>-6013</v>
      </c>
      <c r="E25" s="70">
        <f t="shared" si="1"/>
        <v>182440.37128712871</v>
      </c>
      <c r="F25" s="379">
        <f>+Conoco!A41</f>
        <v>37236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59">
        <f>+'Amoco Abo'!$F$43</f>
        <v>355094.32</v>
      </c>
      <c r="C26" s="383">
        <f t="shared" si="0"/>
        <v>175789.26732673266</v>
      </c>
      <c r="D26" s="14">
        <f>+'Amoco Abo'!D49</f>
        <v>-279071</v>
      </c>
      <c r="E26" s="70">
        <f t="shared" si="1"/>
        <v>454860.26732673263</v>
      </c>
      <c r="F26" s="380">
        <f>+'Amoco Abo'!A43</f>
        <v>37236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59">
        <f>+KN_Westar!F41</f>
        <v>385282.96</v>
      </c>
      <c r="C27" s="383">
        <f t="shared" si="0"/>
        <v>190734.1386138614</v>
      </c>
      <c r="D27" s="14">
        <f>+KN_Westar!D48</f>
        <v>-9624</v>
      </c>
      <c r="E27" s="70">
        <f t="shared" si="1"/>
        <v>200358.1386138614</v>
      </c>
      <c r="F27" s="380">
        <f>+KN_Westar!A41</f>
        <v>37225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41">
        <f>+DEFS!F53</f>
        <v>20108.029999999329</v>
      </c>
      <c r="C28" s="384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0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9">
        <f>+mewborne!$J$43</f>
        <v>402313.61</v>
      </c>
      <c r="C29" s="383">
        <f t="shared" si="0"/>
        <v>199165.15346534652</v>
      </c>
      <c r="D29" s="14">
        <f>+mewborne!D49</f>
        <v>163873</v>
      </c>
      <c r="E29" s="70">
        <f t="shared" si="1"/>
        <v>35292.153465346521</v>
      </c>
      <c r="F29" s="380">
        <f>+mewborne!A43</f>
        <v>37236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9">
        <f>+PGETX!$H$39</f>
        <v>-106217.28</v>
      </c>
      <c r="C30" s="383">
        <f t="shared" si="0"/>
        <v>-52582.811881188121</v>
      </c>
      <c r="D30" s="14">
        <f>+PGETX!E48</f>
        <v>123250</v>
      </c>
      <c r="E30" s="70">
        <f t="shared" si="1"/>
        <v>-175832.81188118813</v>
      </c>
      <c r="F30" s="380">
        <f>+PGETX!E39</f>
        <v>37236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59">
        <f>+PNM!$D$23</f>
        <v>562028.73</v>
      </c>
      <c r="C31" s="383">
        <f t="shared" si="0"/>
        <v>278232.04455445544</v>
      </c>
      <c r="D31" s="14">
        <f>+PNM!D30</f>
        <v>219158</v>
      </c>
      <c r="E31" s="70">
        <f t="shared" si="1"/>
        <v>59074.044554455439</v>
      </c>
      <c r="F31" s="380">
        <f>+PNM!A23</f>
        <v>37236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9">
        <f>+EOG!J41</f>
        <v>-40950.44</v>
      </c>
      <c r="C32" s="383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79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9">
        <f>+SidR!D41</f>
        <v>55578.31</v>
      </c>
      <c r="C33" s="383">
        <f>+B33/$J$5</f>
        <v>27244.269607843136</v>
      </c>
      <c r="D33" s="14">
        <f>+SidR!D48</f>
        <v>26762</v>
      </c>
      <c r="E33" s="70">
        <f t="shared" si="1"/>
        <v>482.26960784313633</v>
      </c>
      <c r="F33" s="380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59">
        <f>+Dominion!D41</f>
        <v>176714.27000000002</v>
      </c>
      <c r="C34" s="383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0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59">
        <f>+WTGmktg!J43</f>
        <v>-45709.32</v>
      </c>
      <c r="C35" s="383">
        <f t="shared" si="0"/>
        <v>-22628.376237623761</v>
      </c>
      <c r="D35" s="14">
        <f>+WTGmktg!D50</f>
        <v>-8241</v>
      </c>
      <c r="E35" s="70">
        <f t="shared" si="1"/>
        <v>-14387.376237623761</v>
      </c>
      <c r="F35" s="380">
        <f>+WTGmktg!A43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59">
        <f>+Devon!D41</f>
        <v>147908.97</v>
      </c>
      <c r="C36" s="383">
        <f>+B36/$J$5</f>
        <v>72504.397058823524</v>
      </c>
      <c r="D36" s="14">
        <f>+Devon!D48</f>
        <v>28001</v>
      </c>
      <c r="E36" s="70">
        <f t="shared" si="1"/>
        <v>44503.397058823524</v>
      </c>
      <c r="F36" s="380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59">
        <f>+crosstex!F41</f>
        <v>-120641.36</v>
      </c>
      <c r="C37" s="383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0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59">
        <f>+Amarillo!P41</f>
        <v>112382.84</v>
      </c>
      <c r="C38" s="383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0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9">
        <f>+Continental!F43</f>
        <v>30319.09</v>
      </c>
      <c r="C39" s="384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0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9">
        <f>+EPFS!D41</f>
        <v>64780.91</v>
      </c>
      <c r="C40" s="384">
        <f>+B40/$J$5</f>
        <v>31755.348039215689</v>
      </c>
      <c r="D40" s="14">
        <f>+EPFS!D47</f>
        <v>46002</v>
      </c>
      <c r="E40" s="70">
        <f t="shared" si="1"/>
        <v>-14246.651960784311</v>
      </c>
      <c r="F40" s="379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2">
        <f>+Agave!$D$24</f>
        <v>164444.78</v>
      </c>
      <c r="C41" s="385">
        <f>+B41/$J$4</f>
        <v>81408.30693069307</v>
      </c>
      <c r="D41" s="363">
        <f>+Agave!D31</f>
        <v>92425</v>
      </c>
      <c r="E41" s="72">
        <f t="shared" si="1"/>
        <v>-11016.69306930693</v>
      </c>
      <c r="F41" s="379">
        <f>+Agave!A24</f>
        <v>37236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3">
        <f>SUBTOTAL(9,B24:B41)</f>
        <v>3221774.83</v>
      </c>
      <c r="C42" s="410">
        <f>SUBTOTAL(9,C24:C41)</f>
        <v>1592778.3449815568</v>
      </c>
      <c r="D42" s="411">
        <f>SUBTOTAL(9,D24:D41)</f>
        <v>791701</v>
      </c>
      <c r="E42" s="412">
        <f>SUBTOTAL(9,E24:E41)</f>
        <v>801077.34498155664</v>
      </c>
      <c r="F42" s="379"/>
      <c r="G42" s="366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3">
        <f>SUBTOTAL(9,B12:B41)</f>
        <v>2518505.87</v>
      </c>
      <c r="C44" s="410">
        <f>SUBTOTAL(9,C12:C41)</f>
        <v>1244663.1794260568</v>
      </c>
      <c r="D44" s="411">
        <f>SUBTOTAL(9,D12:D41)</f>
        <v>841659</v>
      </c>
      <c r="E44" s="412">
        <f>SUBTOTAL(9,E12:E41)</f>
        <v>403004.17942605645</v>
      </c>
      <c r="F44" s="379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59"/>
      <c r="C45" s="383"/>
      <c r="D45" s="383"/>
      <c r="E45" s="383"/>
      <c r="F45" s="366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8" t="s">
        <v>79</v>
      </c>
      <c r="J49" s="401"/>
      <c r="K49" s="32"/>
    </row>
    <row r="50" spans="1:19" ht="13.5" customHeight="1" outlineLevel="2" x14ac:dyDescent="0.2">
      <c r="D50" s="7"/>
      <c r="I50" s="399" t="s">
        <v>30</v>
      </c>
      <c r="J50" s="402">
        <f>+J3</f>
        <v>1.99</v>
      </c>
      <c r="K50" s="419">
        <f ca="1">NOW()</f>
        <v>37238.475770486111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0" t="s">
        <v>31</v>
      </c>
      <c r="J51" s="402">
        <f>+J4</f>
        <v>2.02</v>
      </c>
      <c r="K51" s="32"/>
    </row>
    <row r="52" spans="1:19" ht="13.5" customHeight="1" outlineLevel="1" x14ac:dyDescent="0.2">
      <c r="D52" s="7"/>
      <c r="I52" s="399" t="s">
        <v>118</v>
      </c>
      <c r="J52" s="402">
        <f>+J5</f>
        <v>2.04</v>
      </c>
      <c r="K52" s="32"/>
    </row>
    <row r="53" spans="1:19" ht="13.5" customHeight="1" outlineLevel="2" x14ac:dyDescent="0.2"/>
    <row r="54" spans="1:19" ht="13.5" customHeight="1" outlineLevel="2" x14ac:dyDescent="0.2">
      <c r="A54" s="417" t="s">
        <v>168</v>
      </c>
      <c r="B54" s="418"/>
      <c r="E54" s="12" t="s">
        <v>205</v>
      </c>
    </row>
    <row r="55" spans="1:19" ht="13.5" customHeight="1" outlineLevel="2" x14ac:dyDescent="0.2">
      <c r="A55" s="32"/>
      <c r="B55" s="420" t="s">
        <v>196</v>
      </c>
      <c r="C55" s="420" t="s">
        <v>203</v>
      </c>
      <c r="D55" s="420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1" t="s">
        <v>90</v>
      </c>
      <c r="B56" s="416" t="s">
        <v>0</v>
      </c>
      <c r="C56" s="393" t="s">
        <v>170</v>
      </c>
      <c r="D56" s="39" t="s">
        <v>204</v>
      </c>
      <c r="E56" s="39" t="s">
        <v>207</v>
      </c>
      <c r="F56" s="39" t="s">
        <v>149</v>
      </c>
      <c r="G56" s="405" t="s">
        <v>154</v>
      </c>
      <c r="H56" s="382" t="s">
        <v>102</v>
      </c>
      <c r="I56" s="381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1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3">
        <f>+Mojave!D40</f>
        <v>180212</v>
      </c>
      <c r="C59" s="359">
        <f>+B59*$J$4</f>
        <v>364028.24</v>
      </c>
      <c r="D59" s="47">
        <f>+Mojave!D47</f>
        <v>184184.35</v>
      </c>
      <c r="E59" s="47">
        <f>+C59-D59</f>
        <v>179843.88999999998</v>
      </c>
      <c r="F59" s="380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4">
        <f>+SoCal!F40</f>
        <v>157452</v>
      </c>
      <c r="C60" s="359">
        <f>+B60*$J$4</f>
        <v>318053.03999999998</v>
      </c>
      <c r="D60" s="47">
        <f>+SoCal!D47</f>
        <v>454153.07</v>
      </c>
      <c r="E60" s="47">
        <f>+C60-D60</f>
        <v>-136100.03000000003</v>
      </c>
      <c r="F60" s="380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3">
        <f>+'El Paso'!C39</f>
        <v>64166</v>
      </c>
      <c r="C61" s="359">
        <f>+B61*$J$4</f>
        <v>129615.32</v>
      </c>
      <c r="D61" s="47">
        <f>+'El Paso'!C46</f>
        <v>-1583169.07</v>
      </c>
      <c r="E61" s="47">
        <f>+C61-D61</f>
        <v>1712784.3900000001</v>
      </c>
      <c r="F61" s="380">
        <f>+'El Paso'!A39</f>
        <v>37235</v>
      </c>
      <c r="G61" s="437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5">
        <f>+'PG&amp;E'!D40</f>
        <v>82027</v>
      </c>
      <c r="C62" s="362">
        <f>+B62*$J$4</f>
        <v>165694.54</v>
      </c>
      <c r="D62" s="362">
        <f>+'PG&amp;E'!D47</f>
        <v>62304.5</v>
      </c>
      <c r="E62" s="362">
        <f>+C62-D62</f>
        <v>103390.04000000001</v>
      </c>
      <c r="F62" s="380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0">
        <f>SUBTOTAL(9,B59:B62)</f>
        <v>483857</v>
      </c>
      <c r="C63" s="403">
        <f>SUBTOTAL(9,C59:C62)</f>
        <v>977391.14000000013</v>
      </c>
      <c r="D63" s="403">
        <f>SUBTOTAL(9,D59:D62)</f>
        <v>-882527.15</v>
      </c>
      <c r="E63" s="403">
        <f>SUBTOTAL(9,E59:E62)</f>
        <v>1859918.29</v>
      </c>
      <c r="F63" s="380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1" t="s">
        <v>58</v>
      </c>
      <c r="B65" s="293"/>
      <c r="C65" s="250"/>
      <c r="G65" s="205"/>
    </row>
    <row r="66" spans="1:11" x14ac:dyDescent="0.2">
      <c r="A66" s="206" t="s">
        <v>29</v>
      </c>
      <c r="B66" s="383">
        <f>+williams!J40</f>
        <v>116446</v>
      </c>
      <c r="C66" s="359">
        <f>+B66*$J$3</f>
        <v>231727.54</v>
      </c>
      <c r="D66" s="47">
        <f>+williams!D48</f>
        <v>980381.93</v>
      </c>
      <c r="E66" s="47">
        <f>+C66-D66</f>
        <v>-748654.39</v>
      </c>
      <c r="F66" s="379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3">
        <f>+'Red C'!F43</f>
        <v>82545</v>
      </c>
      <c r="C67" s="360">
        <f>+B67*J3</f>
        <v>164264.54999999999</v>
      </c>
      <c r="D67" s="202">
        <f>+'Red C'!D52</f>
        <v>553581.55000000005</v>
      </c>
      <c r="E67" s="47">
        <f>+C67-D67</f>
        <v>-389317.00000000006</v>
      </c>
      <c r="F67" s="379">
        <f>+'Red C'!B43</f>
        <v>37236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3">
        <f>+Amoco!D40</f>
        <v>-60977</v>
      </c>
      <c r="C68" s="359">
        <f>+B68*$J$3</f>
        <v>-121344.23</v>
      </c>
      <c r="D68" s="47">
        <f>+Amoco!D47</f>
        <v>207104.28999999998</v>
      </c>
      <c r="E68" s="47">
        <f>+C68-D68</f>
        <v>-328448.51999999996</v>
      </c>
      <c r="F68" s="380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3">
        <f>+'El Paso'!E39</f>
        <v>-30636</v>
      </c>
      <c r="C69" s="359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0">
        <f>+'El Paso'!A39</f>
        <v>37235</v>
      </c>
      <c r="G69" s="437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5">
        <f>+NW!$F$41</f>
        <v>16015</v>
      </c>
      <c r="C70" s="362">
        <f>+B70*$J$3</f>
        <v>31869.85</v>
      </c>
      <c r="D70" s="362">
        <f>+NW!E49</f>
        <v>-420397.59</v>
      </c>
      <c r="E70" s="362">
        <f>+C70-D70</f>
        <v>452267.44</v>
      </c>
      <c r="F70" s="379">
        <f>+NW!B41</f>
        <v>37236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0">
        <f>SUBTOTAL(9,B66:B70)</f>
        <v>123393</v>
      </c>
      <c r="C71" s="403">
        <f>SUBTOTAL(9,C66:C70)</f>
        <v>245552.06999999998</v>
      </c>
      <c r="D71" s="403">
        <f>SUBTOTAL(9,D66:D70)</f>
        <v>663208.10999999987</v>
      </c>
      <c r="E71" s="403">
        <f>SUBTOTAL(9,E66:E70)</f>
        <v>-417656.0400000001</v>
      </c>
      <c r="F71" s="379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1" t="s">
        <v>163</v>
      </c>
      <c r="B73" s="293"/>
      <c r="C73" s="250"/>
      <c r="G73" s="205"/>
    </row>
    <row r="74" spans="1:11" x14ac:dyDescent="0.2">
      <c r="A74" s="32" t="s">
        <v>89</v>
      </c>
      <c r="B74" s="383">
        <f>+NGPL!F38</f>
        <v>118888</v>
      </c>
      <c r="C74" s="359">
        <f>+B74*$J$5</f>
        <v>242531.52000000002</v>
      </c>
      <c r="D74" s="47">
        <f>+NGPL!D45</f>
        <v>334956.76</v>
      </c>
      <c r="E74" s="47">
        <f>+C74-D74</f>
        <v>-92425.239999999991</v>
      </c>
      <c r="F74" s="380">
        <f>+NGPL!A38</f>
        <v>37236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3">
        <f>+PEPL!D41</f>
        <v>-22665</v>
      </c>
      <c r="C75" s="360">
        <f>+B75*$J$4</f>
        <v>-45783.3</v>
      </c>
      <c r="D75" s="47">
        <f>+PEPL!D47</f>
        <v>140802.82</v>
      </c>
      <c r="E75" s="47">
        <f>+C75-D75</f>
        <v>-186586.12</v>
      </c>
      <c r="F75" s="380">
        <f>+PEPL!A41</f>
        <v>37236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0">
        <f>+B76*$J$4</f>
        <v>33628.959999999999</v>
      </c>
      <c r="D76" s="202">
        <f>+CIG!D49</f>
        <v>383998.2</v>
      </c>
      <c r="E76" s="70">
        <f>+C76-D76</f>
        <v>-350369.24</v>
      </c>
      <c r="F76" s="380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4">
        <f>+Oasis!D40</f>
        <v>-7820</v>
      </c>
      <c r="C77" s="359">
        <f>+B77*$J$4</f>
        <v>-15796.4</v>
      </c>
      <c r="D77" s="47">
        <f>+Oasis!D47</f>
        <v>-371305.8</v>
      </c>
      <c r="E77" s="47">
        <f>+C77-D77</f>
        <v>355509.39999999997</v>
      </c>
      <c r="F77" s="380">
        <f>+Oasis!B40</f>
        <v>37236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87">
        <f>+Lonestar!F42</f>
        <v>802</v>
      </c>
      <c r="C78" s="362">
        <f>+B78*$J$4</f>
        <v>1620.04</v>
      </c>
      <c r="D78" s="362">
        <f>+Lonestar!D49</f>
        <v>-80816.92</v>
      </c>
      <c r="E78" s="362">
        <f>+C78-D78</f>
        <v>82436.959999999992</v>
      </c>
      <c r="F78" s="379">
        <f>+Lonestar!B42</f>
        <v>37235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4">
        <f>SUBTOTAL(9,B74:B78)</f>
        <v>105853</v>
      </c>
      <c r="C79" s="403">
        <f>SUBTOTAL(9,C74:C78)</f>
        <v>216200.82000000004</v>
      </c>
      <c r="D79" s="403">
        <f>SUBTOTAL(9,D74:D78)</f>
        <v>407635.06000000006</v>
      </c>
      <c r="E79" s="403">
        <f>SUBTOTAL(9,E74:E78)</f>
        <v>-191434.24000000002</v>
      </c>
      <c r="F79" s="379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4">
        <f>SUBTOTAL(9,B59:B78)</f>
        <v>713103</v>
      </c>
      <c r="C81" s="403">
        <f>SUBTOTAL(9,C59:C78)</f>
        <v>1439144.0300000005</v>
      </c>
      <c r="D81" s="403">
        <f>SUBTOTAL(9,D59:D78)</f>
        <v>188316.02000000002</v>
      </c>
      <c r="E81" s="403">
        <f>SUBTOTAL(9,E59:E78)</f>
        <v>1250828.01</v>
      </c>
      <c r="F81" s="379"/>
      <c r="H81" s="32"/>
      <c r="I81" s="32"/>
      <c r="J81" s="32"/>
      <c r="K81" s="32"/>
    </row>
    <row r="82" spans="1:12" x14ac:dyDescent="0.2">
      <c r="A82" s="32"/>
      <c r="B82" s="359"/>
      <c r="C82" s="384"/>
      <c r="D82" s="359"/>
      <c r="E82" s="359"/>
      <c r="F82" s="379"/>
      <c r="H82" s="32"/>
      <c r="I82" s="32"/>
      <c r="J82" s="32"/>
      <c r="K82" s="32"/>
    </row>
    <row r="83" spans="1:12" x14ac:dyDescent="0.2">
      <c r="A83" s="32"/>
      <c r="B83" s="362"/>
      <c r="C83" s="383"/>
      <c r="D83" s="300"/>
      <c r="E83" s="300"/>
      <c r="F83" s="379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3">
        <f>+C81+B44</f>
        <v>3957649.9000000004</v>
      </c>
      <c r="C84" s="208"/>
      <c r="D84" s="359"/>
      <c r="E84" s="359"/>
      <c r="F84" s="366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1957766.1794260568</v>
      </c>
      <c r="C85" s="386"/>
      <c r="D85" s="439"/>
      <c r="E85" s="300"/>
      <c r="F85" s="366"/>
      <c r="G85" s="32"/>
      <c r="H85" s="32"/>
      <c r="I85" s="32"/>
      <c r="J85" s="32"/>
    </row>
    <row r="86" spans="1:12" x14ac:dyDescent="0.2">
      <c r="A86" s="32"/>
      <c r="B86" s="47"/>
      <c r="C86" s="388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77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D41" sqref="D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1560570</v>
      </c>
      <c r="C39" s="150">
        <f>SUM(C8:C38)</f>
        <v>1549259</v>
      </c>
      <c r="D39" s="150">
        <f>SUM(D8:D38)</f>
        <v>137514</v>
      </c>
      <c r="E39" s="150">
        <f>SUM(E8:E38)</f>
        <v>141570</v>
      </c>
      <c r="F39" s="11">
        <f t="shared" si="5"/>
        <v>-7255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08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37236</v>
      </c>
      <c r="C43" s="142"/>
      <c r="D43" s="142"/>
      <c r="E43" s="142"/>
      <c r="F43" s="150">
        <f>+F42+F39</f>
        <v>82545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0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1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14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37236</v>
      </c>
      <c r="B51" s="32"/>
      <c r="C51" s="32"/>
      <c r="D51" s="390">
        <f>+F39*'by type_area'!J3</f>
        <v>-14437.45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553581.55000000005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5" t="s">
        <v>11</v>
      </c>
      <c r="B5" s="447" t="s">
        <v>20</v>
      </c>
      <c r="C5" s="447" t="s">
        <v>21</v>
      </c>
      <c r="D5" s="44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48">
        <v>1</v>
      </c>
      <c r="B6" s="428">
        <v>101751</v>
      </c>
      <c r="C6" s="428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48">
        <v>2</v>
      </c>
      <c r="B7" s="455">
        <v>102927</v>
      </c>
      <c r="C7" s="428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48">
        <v>3</v>
      </c>
      <c r="B8" s="455">
        <v>117477</v>
      </c>
      <c r="C8" s="428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48">
        <v>4</v>
      </c>
      <c r="B9" s="455">
        <v>119833</v>
      </c>
      <c r="C9" s="428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48">
        <v>5</v>
      </c>
      <c r="B10" s="455">
        <v>123072</v>
      </c>
      <c r="C10" s="428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48">
        <v>6</v>
      </c>
      <c r="B11" s="455">
        <v>115143</v>
      </c>
      <c r="C11" s="428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48">
        <v>7</v>
      </c>
      <c r="B12" s="455">
        <v>104853</v>
      </c>
      <c r="C12" s="428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48">
        <v>8</v>
      </c>
      <c r="B13" s="428">
        <v>104302</v>
      </c>
      <c r="C13" s="428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48">
        <v>9</v>
      </c>
      <c r="B14" s="428">
        <v>103913</v>
      </c>
      <c r="C14" s="428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48">
        <v>10</v>
      </c>
      <c r="B15" s="428">
        <v>101722</v>
      </c>
      <c r="C15" s="428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48">
        <v>11</v>
      </c>
      <c r="B16" s="428">
        <v>108378</v>
      </c>
      <c r="C16" s="428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48">
        <v>12</v>
      </c>
      <c r="B17" s="428"/>
      <c r="C17" s="428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48">
        <v>13</v>
      </c>
      <c r="B18" s="428"/>
      <c r="C18" s="428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48">
        <v>14</v>
      </c>
      <c r="B19" s="428"/>
      <c r="C19" s="428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48">
        <v>15</v>
      </c>
      <c r="B20" s="428"/>
      <c r="C20" s="428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48">
        <v>16</v>
      </c>
      <c r="B21" s="428"/>
      <c r="C21" s="428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48">
        <v>17</v>
      </c>
      <c r="B22" s="455"/>
      <c r="C22" s="428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48">
        <v>18</v>
      </c>
      <c r="B23" s="455"/>
      <c r="C23" s="428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48">
        <v>19</v>
      </c>
      <c r="B24" s="455"/>
      <c r="C24" s="455"/>
      <c r="D24" s="546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48">
        <v>20</v>
      </c>
      <c r="B25" s="455"/>
      <c r="C25" s="455"/>
      <c r="D25" s="546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48">
        <v>21</v>
      </c>
      <c r="B26" s="455"/>
      <c r="C26" s="455"/>
      <c r="D26" s="546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48">
        <v>22</v>
      </c>
      <c r="B27" s="455"/>
      <c r="C27" s="455"/>
      <c r="D27" s="546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48">
        <v>23</v>
      </c>
      <c r="B28" s="455"/>
      <c r="C28" s="455"/>
      <c r="D28" s="546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48">
        <v>24</v>
      </c>
      <c r="B29" s="455"/>
      <c r="C29" s="455"/>
      <c r="D29" s="546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48">
        <v>25</v>
      </c>
      <c r="B30" s="455"/>
      <c r="C30" s="455"/>
      <c r="D30" s="546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48">
        <v>26</v>
      </c>
      <c r="B31" s="428"/>
      <c r="C31" s="428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48">
        <v>27</v>
      </c>
      <c r="B32" s="428"/>
      <c r="C32" s="428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48">
        <v>28</v>
      </c>
      <c r="B33" s="428"/>
      <c r="C33" s="428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48">
        <v>29</v>
      </c>
      <c r="B34" s="428"/>
      <c r="C34" s="428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48">
        <v>30</v>
      </c>
      <c r="B35" s="428"/>
      <c r="C35" s="428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48">
        <v>31</v>
      </c>
      <c r="B36" s="428"/>
      <c r="C36" s="428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48"/>
      <c r="B37" s="428">
        <f>SUM(B6:B36)</f>
        <v>1203371</v>
      </c>
      <c r="C37" s="428">
        <f>SUM(C6:C36)</f>
        <v>1189610</v>
      </c>
      <c r="D37" s="428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49"/>
      <c r="B38" s="292"/>
      <c r="C38" s="450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3"/>
      <c r="D39" s="559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37236</v>
      </c>
      <c r="B40" s="292"/>
      <c r="C40" s="454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60">
        <v>234488.68</v>
      </c>
      <c r="H45">
        <v>12</v>
      </c>
    </row>
    <row r="46" spans="1:16" x14ac:dyDescent="0.2">
      <c r="A46" s="49">
        <f>+A40</f>
        <v>37236</v>
      </c>
      <c r="B46" s="32"/>
      <c r="C46" s="32"/>
      <c r="D46" s="390">
        <f>+D37*'by type_area'!J3</f>
        <v>-27384.39</v>
      </c>
      <c r="H46">
        <v>500</v>
      </c>
    </row>
    <row r="47" spans="1:16" x14ac:dyDescent="0.2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-83864</v>
      </c>
      <c r="C36" s="24">
        <f>SUM(C5:C35)</f>
        <v>-81604</v>
      </c>
      <c r="D36" s="24">
        <f t="shared" si="0"/>
        <v>2260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05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37236</v>
      </c>
      <c r="C40" s="24"/>
      <c r="D40" s="195">
        <f>+D36+D38</f>
        <v>-7820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14">
        <v>-375871</v>
      </c>
    </row>
    <row r="46" spans="1:65" x14ac:dyDescent="0.2">
      <c r="A46" s="49">
        <f>+B40</f>
        <v>37236</v>
      </c>
      <c r="B46" s="32"/>
      <c r="C46" s="32"/>
      <c r="D46" s="390">
        <f>+D36*'by type_area'!J4</f>
        <v>4565.2</v>
      </c>
    </row>
    <row r="47" spans="1:65" x14ac:dyDescent="0.2">
      <c r="A47" s="32"/>
      <c r="B47" s="32"/>
      <c r="C47" s="32"/>
      <c r="D47" s="202">
        <f>+D46+D45</f>
        <v>-371305.8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337478</v>
      </c>
      <c r="C5" s="90">
        <v>378203</v>
      </c>
      <c r="D5" s="90">
        <f>+C5-B5</f>
        <v>40725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320826</v>
      </c>
      <c r="C7" s="90">
        <v>368027</v>
      </c>
      <c r="D7" s="90">
        <f t="shared" si="0"/>
        <v>47201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90">
        <v>384805</v>
      </c>
      <c r="C8" s="90">
        <v>388380</v>
      </c>
      <c r="D8" s="90">
        <f t="shared" si="0"/>
        <v>3575</v>
      </c>
      <c r="E8" s="504">
        <v>37198</v>
      </c>
      <c r="F8" s="280"/>
    </row>
    <row r="9" spans="1:13" x14ac:dyDescent="0.2">
      <c r="A9" s="87">
        <v>500293</v>
      </c>
      <c r="B9" s="90">
        <v>182551</v>
      </c>
      <c r="C9" s="90">
        <v>217849</v>
      </c>
      <c r="D9" s="90">
        <f t="shared" si="0"/>
        <v>35298</v>
      </c>
      <c r="E9" s="282"/>
      <c r="F9" s="280"/>
    </row>
    <row r="10" spans="1:13" x14ac:dyDescent="0.2">
      <c r="A10" s="87">
        <v>500302</v>
      </c>
      <c r="B10" s="90"/>
      <c r="C10" s="90">
        <v>3031</v>
      </c>
      <c r="D10" s="90">
        <f t="shared" si="0"/>
        <v>3031</v>
      </c>
      <c r="E10" s="282"/>
      <c r="F10" s="280"/>
    </row>
    <row r="11" spans="1:13" x14ac:dyDescent="0.2">
      <c r="A11" s="87">
        <v>500303</v>
      </c>
      <c r="B11" s="90"/>
      <c r="C11" s="90">
        <v>111886</v>
      </c>
      <c r="D11" s="90">
        <f t="shared" si="0"/>
        <v>111886</v>
      </c>
      <c r="E11" s="282"/>
      <c r="F11" s="280"/>
    </row>
    <row r="12" spans="1:13" x14ac:dyDescent="0.2">
      <c r="A12" s="91">
        <v>500305</v>
      </c>
      <c r="B12" s="90">
        <v>613453</v>
      </c>
      <c r="C12" s="90">
        <v>476896</v>
      </c>
      <c r="D12" s="90">
        <f t="shared" si="0"/>
        <v>-136557</v>
      </c>
      <c r="E12" s="283"/>
      <c r="F12" s="280"/>
    </row>
    <row r="13" spans="1:13" x14ac:dyDescent="0.2">
      <c r="A13" s="87">
        <v>500307</v>
      </c>
      <c r="B13" s="90">
        <v>39993</v>
      </c>
      <c r="C13" s="90">
        <v>23408</v>
      </c>
      <c r="D13" s="90">
        <f t="shared" si="0"/>
        <v>-16585</v>
      </c>
      <c r="E13" s="282"/>
      <c r="F13" s="280"/>
    </row>
    <row r="14" spans="1:13" x14ac:dyDescent="0.2">
      <c r="A14" s="87">
        <v>500313</v>
      </c>
      <c r="B14" s="90"/>
      <c r="C14" s="90">
        <v>1111</v>
      </c>
      <c r="D14" s="90">
        <f t="shared" si="0"/>
        <v>1111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90">
        <v>26061</v>
      </c>
      <c r="C16" s="90"/>
      <c r="D16" s="90">
        <f t="shared" si="0"/>
        <v>-26061</v>
      </c>
      <c r="E16" s="282"/>
      <c r="F16" s="280"/>
    </row>
    <row r="17" spans="1:6" x14ac:dyDescent="0.2">
      <c r="A17" s="87">
        <v>500657</v>
      </c>
      <c r="B17" s="88">
        <v>64660</v>
      </c>
      <c r="C17" s="88">
        <v>61897</v>
      </c>
      <c r="D17" s="94">
        <f t="shared" si="0"/>
        <v>-2763</v>
      </c>
      <c r="E17" s="282"/>
      <c r="F17" s="280"/>
    </row>
    <row r="18" spans="1:6" x14ac:dyDescent="0.2">
      <c r="A18" s="87"/>
      <c r="B18" s="88"/>
      <c r="C18" s="88"/>
      <c r="D18" s="88">
        <f>SUM(D5:D17)</f>
        <v>60861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">
      <c r="A20" s="87"/>
      <c r="B20" s="88"/>
      <c r="C20" s="88"/>
      <c r="D20" s="96">
        <f>+D19*D18</f>
        <v>124156.44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64">
        <v>40288.339999999997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37236</v>
      </c>
      <c r="B24" s="88"/>
      <c r="C24" s="88"/>
      <c r="D24" s="329">
        <f>+D22+D20</f>
        <v>164444.78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6"/>
    </row>
    <row r="29" spans="1:6" x14ac:dyDescent="0.2">
      <c r="A29" s="49">
        <f>+A22</f>
        <v>37225</v>
      </c>
      <c r="B29" s="32"/>
      <c r="C29" s="32"/>
      <c r="D29" s="557">
        <v>31564</v>
      </c>
    </row>
    <row r="30" spans="1:6" x14ac:dyDescent="0.2">
      <c r="A30" s="49">
        <f>+A24</f>
        <v>37236</v>
      </c>
      <c r="B30" s="32"/>
      <c r="C30" s="32"/>
      <c r="D30" s="363">
        <f>+D18</f>
        <v>60861</v>
      </c>
    </row>
    <row r="31" spans="1:6" x14ac:dyDescent="0.2">
      <c r="A31" s="32"/>
      <c r="B31" s="32"/>
      <c r="C31" s="32"/>
      <c r="D31" s="14">
        <f>+D30+D29</f>
        <v>92425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2" sqref="C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3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3" t="s">
        <v>40</v>
      </c>
      <c r="I3" s="4" t="s">
        <v>20</v>
      </c>
      <c r="J3" s="4" t="s">
        <v>21</v>
      </c>
      <c r="K3" s="421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3"/>
      <c r="I4" s="14"/>
      <c r="J4" s="14"/>
      <c r="K4" s="14">
        <f t="shared" ref="K4:K9" si="0">+J4-I4</f>
        <v>0</v>
      </c>
      <c r="L4" s="374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3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3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3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3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3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3"/>
      <c r="I10" s="14"/>
      <c r="J10" s="14"/>
      <c r="K10" s="14"/>
      <c r="L10" s="374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3"/>
      <c r="I11" s="14"/>
      <c r="J11" s="14"/>
      <c r="K11" s="15"/>
      <c r="L11" s="37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3"/>
      <c r="I12" s="24"/>
      <c r="J12" s="24"/>
      <c r="K12" s="110"/>
      <c r="L12" s="425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25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386978</v>
      </c>
      <c r="C35" s="11">
        <f>SUM(C4:C34)</f>
        <v>386366</v>
      </c>
      <c r="D35" s="11">
        <f>SUM(D4:D34)</f>
        <v>365926</v>
      </c>
      <c r="E35" s="11">
        <f>SUM(E4:E34)</f>
        <v>355968</v>
      </c>
      <c r="F35" s="11">
        <f>+E35-D35+C35-B35</f>
        <v>-10570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3">
        <f>+summary!H4</f>
        <v>2.02</v>
      </c>
    </row>
    <row r="38" spans="1:7" x14ac:dyDescent="0.2">
      <c r="C38" s="48"/>
      <c r="D38" s="47"/>
      <c r="E38" s="48"/>
      <c r="F38" s="46">
        <f>+F37*F35</f>
        <v>-21351.4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16"/>
      <c r="D40" s="111"/>
      <c r="E40" s="516"/>
      <c r="F40" s="561">
        <v>377734.69</v>
      </c>
      <c r="G40" s="25"/>
    </row>
    <row r="41" spans="1:7" x14ac:dyDescent="0.2">
      <c r="A41" s="57">
        <v>37236</v>
      </c>
      <c r="C41" s="106"/>
      <c r="D41" s="106"/>
      <c r="E41" s="106"/>
      <c r="F41" s="106">
        <f>+F38+F40</f>
        <v>356383.29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2">
        <f>-18785+23342</f>
        <v>4557</v>
      </c>
      <c r="E46" s="11"/>
      <c r="F46" s="11"/>
      <c r="G46" s="25"/>
    </row>
    <row r="47" spans="1:7" x14ac:dyDescent="0.2">
      <c r="A47" s="49">
        <f>+A41</f>
        <v>37236</v>
      </c>
      <c r="D47" s="363">
        <f>+F35</f>
        <v>-10570</v>
      </c>
      <c r="E47" s="11"/>
      <c r="F47" s="11"/>
      <c r="G47" s="25"/>
    </row>
    <row r="48" spans="1:7" x14ac:dyDescent="0.2">
      <c r="D48" s="14">
        <f>+D47+D46</f>
        <v>-6013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16" sqref="E1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140860</v>
      </c>
      <c r="C15" s="11">
        <v>151327</v>
      </c>
      <c r="D15" s="11"/>
      <c r="E15" s="11">
        <v>-11510</v>
      </c>
      <c r="F15" s="11">
        <f t="shared" si="2"/>
        <v>-1043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1588651</v>
      </c>
      <c r="C36" s="11">
        <f>SUM(C5:C35)</f>
        <v>1700284</v>
      </c>
      <c r="D36" s="11">
        <f>SUM(D5:D35)</f>
        <v>0</v>
      </c>
      <c r="E36" s="11">
        <f>SUM(E5:E35)</f>
        <v>-116374</v>
      </c>
      <c r="F36" s="11">
        <f>SUM(F5:F35)</f>
        <v>-4741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06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37236</v>
      </c>
      <c r="F41" s="344">
        <f>+F39+F36</f>
        <v>16015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14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37236</v>
      </c>
      <c r="C48" s="32"/>
      <c r="D48" s="32"/>
      <c r="E48" s="390">
        <f>+F36*'by type_area'!J3</f>
        <v>-9434.59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-420397.59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9" workbookViewId="0">
      <selection activeCell="C42" sqref="C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979117</v>
      </c>
      <c r="C39" s="11">
        <f>SUM(C8:C38)</f>
        <v>974190</v>
      </c>
      <c r="D39" s="11">
        <f>SUM(D8:D38)</f>
        <v>-4927</v>
      </c>
      <c r="E39" s="10"/>
      <c r="F39" s="11"/>
      <c r="G39" s="11"/>
      <c r="H39" s="11"/>
    </row>
    <row r="40" spans="1:8" x14ac:dyDescent="0.2">
      <c r="A40" s="26"/>
      <c r="D40" s="75">
        <f>+summary!H4</f>
        <v>2.02</v>
      </c>
      <c r="E40" s="26"/>
      <c r="H40" s="75"/>
    </row>
    <row r="41" spans="1:8" x14ac:dyDescent="0.2">
      <c r="D41" s="197">
        <f>+D40*D39</f>
        <v>-9952.5400000000009</v>
      </c>
      <c r="F41" s="250"/>
      <c r="H41" s="197"/>
    </row>
    <row r="42" spans="1:8" x14ac:dyDescent="0.2">
      <c r="A42" s="57">
        <v>37225</v>
      </c>
      <c r="D42" s="577">
        <v>8908.65</v>
      </c>
      <c r="E42" s="57"/>
      <c r="H42" s="197"/>
    </row>
    <row r="43" spans="1:8" x14ac:dyDescent="0.2">
      <c r="A43" s="57">
        <v>37236</v>
      </c>
      <c r="D43" s="198">
        <f>+D42+D41</f>
        <v>-1043.8900000000012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57">
        <v>-51521</v>
      </c>
    </row>
    <row r="49" spans="1:4" x14ac:dyDescent="0.2">
      <c r="A49" s="49">
        <f>+A43</f>
        <v>37236</v>
      </c>
      <c r="B49" s="32"/>
      <c r="C49" s="32"/>
      <c r="D49" s="363">
        <f>+D39</f>
        <v>-4927</v>
      </c>
    </row>
    <row r="50" spans="1:4" x14ac:dyDescent="0.2">
      <c r="A50" s="32"/>
      <c r="B50" s="32"/>
      <c r="C50" s="32"/>
      <c r="D50" s="14">
        <f>+D49+D48</f>
        <v>-56448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B48" sqref="B4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69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265</v>
      </c>
      <c r="J6" s="15"/>
    </row>
    <row r="7" spans="1:14" x14ac:dyDescent="0.2">
      <c r="A7" s="57">
        <v>37235</v>
      </c>
      <c r="I7" s="3" t="s">
        <v>272</v>
      </c>
      <c r="J7" s="15"/>
    </row>
    <row r="8" spans="1:14" x14ac:dyDescent="0.2">
      <c r="A8" s="251">
        <v>50895</v>
      </c>
      <c r="B8" s="351">
        <f>2213-1885</f>
        <v>328</v>
      </c>
      <c r="J8" s="15"/>
    </row>
    <row r="9" spans="1:14" x14ac:dyDescent="0.2">
      <c r="A9" s="251">
        <v>60874</v>
      </c>
      <c r="B9" s="351">
        <v>1205</v>
      </c>
      <c r="J9" s="15"/>
    </row>
    <row r="10" spans="1:14" x14ac:dyDescent="0.2">
      <c r="A10" s="251">
        <v>78169</v>
      </c>
      <c r="B10" s="351">
        <f>274313-235467</f>
        <v>38846</v>
      </c>
      <c r="I10" s="87" t="s">
        <v>266</v>
      </c>
      <c r="J10" s="545" t="s">
        <v>28</v>
      </c>
      <c r="K10" s="87" t="s">
        <v>267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45">
        <f>+C40</f>
        <v>811403.49</v>
      </c>
      <c r="K11" s="87" t="s">
        <v>268</v>
      </c>
      <c r="L11" s="87"/>
      <c r="M11" s="87"/>
      <c r="N11" s="87"/>
    </row>
    <row r="12" spans="1:14" ht="20.100000000000001" customHeight="1" x14ac:dyDescent="0.2">
      <c r="A12" s="251">
        <v>500248</v>
      </c>
      <c r="B12" s="353"/>
      <c r="I12" s="87">
        <v>24693</v>
      </c>
      <c r="J12" s="493">
        <v>275313.71999999997</v>
      </c>
      <c r="K12" s="87" t="s">
        <v>269</v>
      </c>
      <c r="L12" s="87"/>
      <c r="M12" s="87"/>
      <c r="N12" s="87"/>
    </row>
    <row r="13" spans="1:14" ht="20.100000000000001" customHeight="1" x14ac:dyDescent="0.2">
      <c r="A13" s="251">
        <v>500251</v>
      </c>
      <c r="B13" s="327">
        <f>4813-3684</f>
        <v>1129</v>
      </c>
      <c r="I13" s="87">
        <v>21665</v>
      </c>
      <c r="J13" s="493">
        <v>73449.16</v>
      </c>
      <c r="K13" s="87" t="s">
        <v>271</v>
      </c>
      <c r="L13" s="87"/>
      <c r="M13" s="87"/>
      <c r="N13" s="87"/>
    </row>
    <row r="14" spans="1:14" ht="20.100000000000001" customHeight="1" x14ac:dyDescent="0.2">
      <c r="A14" s="251">
        <v>500254</v>
      </c>
      <c r="B14" s="327">
        <f>1372-1479</f>
        <v>-107</v>
      </c>
      <c r="I14" s="87">
        <v>22664</v>
      </c>
      <c r="J14" s="496">
        <v>23612.35</v>
      </c>
      <c r="K14" s="87" t="s">
        <v>273</v>
      </c>
      <c r="L14" s="87"/>
      <c r="M14" s="87"/>
      <c r="N14" s="87"/>
    </row>
    <row r="15" spans="1:14" ht="20.100000000000001" customHeight="1" x14ac:dyDescent="0.2">
      <c r="A15" s="32">
        <v>500255</v>
      </c>
      <c r="B15" s="327">
        <f>4813-4253</f>
        <v>560</v>
      </c>
      <c r="I15" s="87"/>
      <c r="J15" s="493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7">
        <f>312-279</f>
        <v>33</v>
      </c>
      <c r="I16" s="87"/>
      <c r="J16" s="493"/>
      <c r="K16" s="87"/>
      <c r="L16" s="87"/>
      <c r="M16" s="87"/>
      <c r="N16" s="87"/>
    </row>
    <row r="17" spans="1:14" x14ac:dyDescent="0.2">
      <c r="A17" s="287">
        <v>500267</v>
      </c>
      <c r="B17" s="352">
        <f>556732-579413</f>
        <v>-22681</v>
      </c>
      <c r="I17" s="87"/>
      <c r="J17" s="493"/>
      <c r="K17" s="87"/>
      <c r="L17" s="87"/>
      <c r="M17" s="87"/>
      <c r="N17" s="87"/>
    </row>
    <row r="18" spans="1:14" x14ac:dyDescent="0.2">
      <c r="B18" s="14">
        <f>SUM(B8:B17)</f>
        <v>19313</v>
      </c>
      <c r="I18" s="87"/>
      <c r="J18" s="493"/>
      <c r="K18" s="87"/>
      <c r="L18" s="87"/>
      <c r="M18" s="87"/>
      <c r="N18" s="87"/>
    </row>
    <row r="19" spans="1:14" x14ac:dyDescent="0.2">
      <c r="B19" s="15">
        <f>+summary!H5</f>
        <v>2.04</v>
      </c>
      <c r="C19" s="201">
        <f>+B19*B18</f>
        <v>39398.520000000004</v>
      </c>
      <c r="G19" s="32"/>
      <c r="H19" s="395"/>
      <c r="I19" s="338"/>
      <c r="J19" s="493"/>
      <c r="K19" s="87"/>
      <c r="L19" s="87"/>
      <c r="M19" s="87"/>
      <c r="N19" s="87"/>
    </row>
    <row r="20" spans="1:14" x14ac:dyDescent="0.2">
      <c r="C20" s="332">
        <f>+C19+C5</f>
        <v>1536736.44</v>
      </c>
      <c r="E20" s="15"/>
      <c r="G20" s="32"/>
      <c r="H20" s="395"/>
      <c r="I20" s="338"/>
      <c r="J20" s="493"/>
      <c r="K20" s="87"/>
      <c r="L20" s="87"/>
      <c r="M20" s="87"/>
      <c r="N20" s="87"/>
    </row>
    <row r="21" spans="1:14" x14ac:dyDescent="0.2">
      <c r="E21" s="15"/>
      <c r="G21" s="32"/>
      <c r="H21" s="395"/>
      <c r="I21" s="338"/>
      <c r="J21" s="493"/>
      <c r="K21" s="87"/>
      <c r="L21" s="87"/>
      <c r="M21" s="87"/>
      <c r="N21" s="87"/>
    </row>
    <row r="22" spans="1:14" x14ac:dyDescent="0.2">
      <c r="A22" s="32" t="s">
        <v>87</v>
      </c>
      <c r="G22" s="32"/>
      <c r="H22" s="395"/>
      <c r="I22" s="338"/>
      <c r="J22" s="493"/>
      <c r="K22" s="87"/>
      <c r="L22" s="87"/>
      <c r="M22" s="87"/>
      <c r="N22" s="87"/>
    </row>
    <row r="23" spans="1:14" x14ac:dyDescent="0.2">
      <c r="A23" s="2" t="s">
        <v>74</v>
      </c>
      <c r="G23" s="32"/>
      <c r="H23" s="395"/>
      <c r="I23" s="338"/>
      <c r="J23" s="493"/>
      <c r="K23" s="87"/>
      <c r="L23" s="87"/>
      <c r="M23" s="87"/>
      <c r="N23" s="87"/>
    </row>
    <row r="24" spans="1:14" x14ac:dyDescent="0.2">
      <c r="G24" s="32"/>
      <c r="H24" s="395"/>
      <c r="I24" s="338"/>
      <c r="J24" s="493"/>
      <c r="K24" s="87"/>
      <c r="L24" s="87"/>
      <c r="M24" s="87"/>
      <c r="N24" s="87"/>
    </row>
    <row r="25" spans="1:14" x14ac:dyDescent="0.2">
      <c r="G25" s="32"/>
      <c r="H25" s="395"/>
      <c r="I25" s="338"/>
      <c r="J25" s="493"/>
      <c r="K25" s="87"/>
      <c r="L25" s="87"/>
      <c r="M25" s="87"/>
      <c r="N25" s="87"/>
    </row>
    <row r="26" spans="1:14" x14ac:dyDescent="0.2">
      <c r="A26" s="200">
        <v>37225</v>
      </c>
      <c r="C26" s="569">
        <v>275313.71999999997</v>
      </c>
      <c r="G26" s="32"/>
      <c r="H26" s="15"/>
      <c r="I26" s="338"/>
      <c r="J26" s="493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493"/>
      <c r="K27" s="87"/>
      <c r="L27" s="87"/>
      <c r="M27" s="87"/>
      <c r="N27" s="87"/>
    </row>
    <row r="28" spans="1:14" x14ac:dyDescent="0.2">
      <c r="A28" s="57">
        <v>37235</v>
      </c>
      <c r="G28" s="32"/>
      <c r="H28" s="15"/>
      <c r="I28" s="87"/>
      <c r="J28" s="493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493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493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93"/>
      <c r="K31" s="87"/>
      <c r="L31" s="87"/>
      <c r="M31" s="87"/>
      <c r="N31" s="87"/>
    </row>
    <row r="32" spans="1:14" x14ac:dyDescent="0.2">
      <c r="B32" s="15">
        <f>+summary!H4</f>
        <v>2.02</v>
      </c>
      <c r="C32" s="201">
        <f>+B32*B31</f>
        <v>0</v>
      </c>
    </row>
    <row r="33" spans="1:9" x14ac:dyDescent="0.2">
      <c r="C33" s="332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5">
        <v>24268</v>
      </c>
      <c r="G37" s="365">
        <v>24693</v>
      </c>
      <c r="H37" s="365">
        <v>24361</v>
      </c>
    </row>
    <row r="38" spans="1:9" x14ac:dyDescent="0.2">
      <c r="A38" s="32" t="s">
        <v>75</v>
      </c>
      <c r="E38" s="49">
        <f>+A5</f>
        <v>37225</v>
      </c>
      <c r="F38" s="557">
        <v>363548</v>
      </c>
      <c r="G38" s="548">
        <v>117857</v>
      </c>
      <c r="H38" s="557">
        <v>173271</v>
      </c>
      <c r="I38" s="14"/>
    </row>
    <row r="39" spans="1:9" x14ac:dyDescent="0.2">
      <c r="E39" s="49">
        <f>+A7</f>
        <v>37235</v>
      </c>
      <c r="F39" s="363">
        <f>+B18</f>
        <v>19313</v>
      </c>
      <c r="G39" s="363">
        <f>+B31</f>
        <v>0</v>
      </c>
      <c r="H39" s="363">
        <f>+B46</f>
        <v>2164</v>
      </c>
      <c r="I39" s="14"/>
    </row>
    <row r="40" spans="1:9" x14ac:dyDescent="0.2">
      <c r="A40" s="49">
        <v>37225</v>
      </c>
      <c r="C40" s="569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396"/>
      <c r="I44" s="14"/>
    </row>
    <row r="45" spans="1:9" x14ac:dyDescent="0.2">
      <c r="A45" s="32">
        <v>500392</v>
      </c>
      <c r="B45" s="255">
        <v>349</v>
      </c>
      <c r="G45" s="32"/>
      <c r="H45" s="396"/>
      <c r="I45" s="14"/>
    </row>
    <row r="46" spans="1:9" x14ac:dyDescent="0.2">
      <c r="B46" s="14">
        <f>SUM(B43:B45)</f>
        <v>2164</v>
      </c>
      <c r="G46" s="32"/>
      <c r="H46" s="396"/>
      <c r="I46" s="14"/>
    </row>
    <row r="47" spans="1:9" x14ac:dyDescent="0.2">
      <c r="B47" s="201">
        <f>+summary!H5</f>
        <v>2.04</v>
      </c>
      <c r="C47" s="201">
        <f>+B47*B46</f>
        <v>4414.5600000000004</v>
      </c>
      <c r="H47" s="396"/>
      <c r="I47" s="14"/>
    </row>
    <row r="48" spans="1:9" x14ac:dyDescent="0.2">
      <c r="C48" s="332">
        <f>+C47+C40</f>
        <v>815818.05</v>
      </c>
      <c r="E48" s="206"/>
      <c r="H48" s="396"/>
      <c r="I48" s="14"/>
    </row>
    <row r="49" spans="1:9" x14ac:dyDescent="0.2">
      <c r="E49" s="215"/>
      <c r="H49" s="396"/>
      <c r="I49" s="14"/>
    </row>
    <row r="50" spans="1:9" x14ac:dyDescent="0.2">
      <c r="E50" s="206"/>
      <c r="H50" s="396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74">
        <v>73445.08</v>
      </c>
      <c r="D53" s="32" t="s">
        <v>120</v>
      </c>
      <c r="E53" s="50"/>
      <c r="H53" s="396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75">
        <v>23612.35</v>
      </c>
      <c r="D54" s="32" t="s">
        <v>121</v>
      </c>
      <c r="H54" s="396">
        <v>22664</v>
      </c>
      <c r="I54" s="208">
        <v>18932</v>
      </c>
    </row>
    <row r="55" spans="1:9" x14ac:dyDescent="0.2">
      <c r="H55" s="397"/>
      <c r="I55" s="16"/>
    </row>
    <row r="56" spans="1:9" x14ac:dyDescent="0.2">
      <c r="C56" s="438"/>
    </row>
    <row r="57" spans="1:9" x14ac:dyDescent="0.2">
      <c r="C57" s="326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3">
        <v>23995</v>
      </c>
      <c r="C1" s="233"/>
      <c r="D1" s="322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5">
        <v>23995</v>
      </c>
      <c r="J33" s="365">
        <v>22051</v>
      </c>
      <c r="K33" s="365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57">
        <v>-178485</v>
      </c>
      <c r="J34" s="557">
        <v>-108573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3">
        <f>+C36</f>
        <v>0</v>
      </c>
      <c r="J35" s="363">
        <f>+E36</f>
        <v>-8781</v>
      </c>
      <c r="K35" s="208"/>
      <c r="L35" s="14"/>
    </row>
    <row r="36" spans="1:13" x14ac:dyDescent="0.2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">
      <c r="C37" s="324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">
      <c r="A39" s="57">
        <v>37225</v>
      </c>
      <c r="B39" s="2" t="s">
        <v>46</v>
      </c>
      <c r="C39" s="570">
        <v>-1023166.39</v>
      </c>
      <c r="D39" s="331"/>
      <c r="E39" s="556">
        <v>-526596.1</v>
      </c>
      <c r="F39" s="330">
        <f>+E39+C39</f>
        <v>-1549762.49</v>
      </c>
    </row>
    <row r="40" spans="1:13" x14ac:dyDescent="0.2">
      <c r="A40" s="57">
        <v>37235</v>
      </c>
      <c r="B40" s="2" t="s">
        <v>46</v>
      </c>
      <c r="C40" s="325">
        <f>+C39+C38</f>
        <v>-1023166.39</v>
      </c>
      <c r="D40" s="257"/>
      <c r="E40" s="325">
        <f>+E39+E38</f>
        <v>-544509.34</v>
      </c>
      <c r="F40" s="325">
        <f>+E40+C40</f>
        <v>-1567675.73</v>
      </c>
      <c r="H40" s="131"/>
    </row>
    <row r="41" spans="1:13" x14ac:dyDescent="0.2">
      <c r="C41" s="340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09">
        <v>0</v>
      </c>
      <c r="G44" s="252" t="s">
        <v>48</v>
      </c>
      <c r="J44" s="12">
        <v>22864</v>
      </c>
      <c r="K44" s="491"/>
    </row>
    <row r="45" spans="1:13" x14ac:dyDescent="0.2">
      <c r="C45" s="248"/>
      <c r="D45" s="248"/>
      <c r="E45" s="12">
        <v>20379</v>
      </c>
      <c r="F45" s="569">
        <v>-51695.87</v>
      </c>
      <c r="G45" s="252" t="s">
        <v>123</v>
      </c>
      <c r="J45" s="12">
        <v>20379</v>
      </c>
      <c r="K45" s="548">
        <v>2979</v>
      </c>
      <c r="M45" s="14"/>
    </row>
    <row r="46" spans="1:13" x14ac:dyDescent="0.2">
      <c r="C46" s="248"/>
      <c r="D46" s="248"/>
      <c r="E46" s="12">
        <v>26357</v>
      </c>
      <c r="F46" s="568">
        <f>44144.84-58339.66</f>
        <v>-14194.820000000007</v>
      </c>
      <c r="G46" s="252" t="s">
        <v>124</v>
      </c>
      <c r="J46" s="12">
        <v>26357</v>
      </c>
      <c r="K46" s="548">
        <f>26521-24566</f>
        <v>1955</v>
      </c>
    </row>
    <row r="47" spans="1:13" x14ac:dyDescent="0.2">
      <c r="C47" s="248"/>
      <c r="D47" s="248"/>
      <c r="E47" s="12">
        <v>21544</v>
      </c>
      <c r="F47" s="569">
        <v>61340.160000000003</v>
      </c>
      <c r="G47" s="252" t="s">
        <v>125</v>
      </c>
      <c r="J47" s="12">
        <v>21544</v>
      </c>
      <c r="K47" s="548">
        <v>36108</v>
      </c>
    </row>
    <row r="48" spans="1:13" x14ac:dyDescent="0.2">
      <c r="C48" s="248"/>
      <c r="D48" s="248"/>
      <c r="E48" s="12">
        <v>24532</v>
      </c>
      <c r="F48" s="571">
        <v>-1132591.3500000001</v>
      </c>
      <c r="G48" s="252" t="s">
        <v>122</v>
      </c>
      <c r="J48" s="12">
        <v>24532</v>
      </c>
      <c r="K48" s="557">
        <v>-139694</v>
      </c>
    </row>
    <row r="49" spans="3:13" x14ac:dyDescent="0.2">
      <c r="C49" s="248"/>
      <c r="D49" s="248"/>
      <c r="F49" s="341">
        <f>SUM(F40:F48)</f>
        <v>-2704817.6100000003</v>
      </c>
      <c r="G49" s="248"/>
      <c r="K49" s="14">
        <f>SUM(K36:K48)</f>
        <v>-394491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">
      <c r="F53" s="104">
        <f>+F51+F49</f>
        <v>20108.029999999329</v>
      </c>
      <c r="M53" s="16">
        <f>+M51+K49</f>
        <v>336995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6"/>
    </row>
    <row r="63" spans="3:13" x14ac:dyDescent="0.2">
      <c r="F63" s="356"/>
    </row>
    <row r="64" spans="3:13" x14ac:dyDescent="0.2">
      <c r="F64" s="356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">
      <c r="A72">
        <v>22864</v>
      </c>
      <c r="B72" s="31">
        <f>+K44</f>
        <v>0</v>
      </c>
      <c r="C72" s="264">
        <f>+F44</f>
        <v>0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-117354</v>
      </c>
      <c r="C74" s="250">
        <f>+E40</f>
        <v>-544509.34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815818.05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382861</v>
      </c>
      <c r="C79" s="264">
        <f>+Duke!C20</f>
        <v>1536736.44</v>
      </c>
    </row>
    <row r="81" spans="2:3" x14ac:dyDescent="0.2">
      <c r="B81" s="31">
        <f>SUM(B68:B80)</f>
        <v>336995</v>
      </c>
      <c r="C81" s="264">
        <f>SUM(C68:C80)</f>
        <v>20108.029999999795</v>
      </c>
    </row>
    <row r="82" spans="2:3" x14ac:dyDescent="0.2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J41" sqref="J41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1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1415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2840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61140</v>
      </c>
      <c r="C39" s="11">
        <f t="shared" si="1"/>
        <v>60368</v>
      </c>
      <c r="D39" s="11">
        <f t="shared" si="1"/>
        <v>12436</v>
      </c>
      <c r="E39" s="11">
        <f t="shared" si="1"/>
        <v>4000</v>
      </c>
      <c r="F39" s="129">
        <f t="shared" si="1"/>
        <v>10730</v>
      </c>
      <c r="G39" s="11">
        <f t="shared" si="1"/>
        <v>10457</v>
      </c>
      <c r="H39" s="11">
        <f t="shared" si="1"/>
        <v>16396</v>
      </c>
      <c r="I39" s="11">
        <f t="shared" si="1"/>
        <v>15554</v>
      </c>
      <c r="J39" s="25">
        <f t="shared" si="1"/>
        <v>-10323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-20852.46</v>
      </c>
      <c r="L41"/>
      <c r="R41" s="138"/>
      <c r="X41" s="138"/>
    </row>
    <row r="42" spans="1:24" x14ac:dyDescent="0.2">
      <c r="A42" s="57">
        <v>37225</v>
      </c>
      <c r="C42" s="15"/>
      <c r="J42" s="567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37236</v>
      </c>
      <c r="C43" s="48"/>
      <c r="J43" s="138">
        <f>+J42+J41</f>
        <v>402313.61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57">
        <v>174196</v>
      </c>
      <c r="L47"/>
    </row>
    <row r="48" spans="1:24" x14ac:dyDescent="0.2">
      <c r="A48" s="49">
        <f>+A43</f>
        <v>37236</v>
      </c>
      <c r="B48" s="32"/>
      <c r="C48" s="32"/>
      <c r="D48" s="363">
        <f>+J39</f>
        <v>-10323</v>
      </c>
      <c r="L48"/>
    </row>
    <row r="49" spans="1:12" x14ac:dyDescent="0.2">
      <c r="A49" s="32"/>
      <c r="B49" s="32"/>
      <c r="C49" s="32"/>
      <c r="D49" s="14">
        <f>+D48+D47</f>
        <v>163873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7" workbookViewId="0">
      <selection activeCell="C10" sqref="C10"/>
    </sheetView>
  </sheetViews>
  <sheetFormatPr defaultRowHeight="12.75" x14ac:dyDescent="0.2"/>
  <cols>
    <col min="1" max="1" width="25.85546875" style="292" customWidth="1"/>
    <col min="2" max="2" width="11.140625" style="250" bestFit="1" customWidth="1"/>
    <col min="3" max="3" width="9.710937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28" bestFit="1" customWidth="1"/>
    <col min="14" max="14" width="9" style="64" bestFit="1" customWidth="1"/>
  </cols>
  <sheetData>
    <row r="2" spans="1:32" ht="20.100000000000001" customHeight="1" x14ac:dyDescent="0.25">
      <c r="A2" s="354" t="s">
        <v>142</v>
      </c>
      <c r="G2" s="378" t="s">
        <v>79</v>
      </c>
      <c r="H2" s="358"/>
    </row>
    <row r="3" spans="1:32" ht="15" customHeight="1" x14ac:dyDescent="0.2">
      <c r="G3" s="296" t="s">
        <v>30</v>
      </c>
      <c r="H3" s="357">
        <f>+'[2]1001'!$K$39</f>
        <v>1.99</v>
      </c>
      <c r="I3" s="389">
        <f ca="1">NOW()</f>
        <v>37238.475770486111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">
      <c r="B5" s="356"/>
      <c r="G5" s="296" t="s">
        <v>118</v>
      </c>
      <c r="H5" s="357">
        <f>+'[2]1001'!$E$39</f>
        <v>2.04</v>
      </c>
    </row>
    <row r="6" spans="1:32" ht="12" customHeight="1" x14ac:dyDescent="0.2">
      <c r="C6" s="458"/>
    </row>
    <row r="7" spans="1:32" ht="15" customHeight="1" x14ac:dyDescent="0.2">
      <c r="A7" s="346" t="s">
        <v>90</v>
      </c>
      <c r="B7" s="347" t="s">
        <v>17</v>
      </c>
      <c r="C7" s="348" t="s">
        <v>0</v>
      </c>
      <c r="D7" s="5" t="s">
        <v>149</v>
      </c>
      <c r="E7" s="346" t="s">
        <v>91</v>
      </c>
      <c r="F7" s="349" t="s">
        <v>102</v>
      </c>
      <c r="G7" s="346" t="s">
        <v>99</v>
      </c>
    </row>
    <row r="8" spans="1:32" ht="15" customHeight="1" x14ac:dyDescent="0.2">
      <c r="A8" s="206" t="s">
        <v>263</v>
      </c>
      <c r="B8" s="540">
        <f>+Duke!$C$20</f>
        <v>1536736.44</v>
      </c>
      <c r="C8" s="208">
        <f>+B8/$H$5</f>
        <v>753302.17647058819</v>
      </c>
      <c r="D8" s="379">
        <f>+Duke!A7</f>
        <v>37235</v>
      </c>
      <c r="E8" s="206" t="s">
        <v>86</v>
      </c>
      <c r="F8" s="206" t="s">
        <v>101</v>
      </c>
      <c r="G8" s="206" t="s">
        <v>327</v>
      </c>
      <c r="H8" s="70"/>
      <c r="I8" s="47"/>
      <c r="J8" s="32"/>
      <c r="K8" s="32"/>
      <c r="L8" s="32"/>
      <c r="M8" s="395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270</v>
      </c>
      <c r="B9" s="540">
        <f>+Duke!$C$54+Duke!$C$53+Duke!$C$48+Duke!$C$33</f>
        <v>1188189.2</v>
      </c>
      <c r="C9" s="208">
        <f>+B9/$H$5</f>
        <v>582445.68627450976</v>
      </c>
      <c r="D9" s="379">
        <f>+DEFS!A40</f>
        <v>37235</v>
      </c>
      <c r="E9" s="206" t="s">
        <v>86</v>
      </c>
      <c r="F9" s="206" t="s">
        <v>101</v>
      </c>
      <c r="G9" s="206" t="s">
        <v>329</v>
      </c>
      <c r="H9" s="32"/>
      <c r="I9" s="47"/>
      <c r="J9" s="32"/>
      <c r="K9" s="32"/>
      <c r="L9" s="32"/>
      <c r="M9" s="395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25" t="s">
        <v>88</v>
      </c>
      <c r="B10" s="540">
        <f>+NNG!$D$24</f>
        <v>701953.12000000011</v>
      </c>
      <c r="C10" s="282">
        <f t="shared" ref="C10:C16" si="0">+B10/$H$4</f>
        <v>347501.5445544555</v>
      </c>
      <c r="D10" s="379">
        <f>+NNG!A24</f>
        <v>37236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5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26" t="s">
        <v>83</v>
      </c>
      <c r="B11" s="540">
        <f>+PNM!$D$23</f>
        <v>562028.73</v>
      </c>
      <c r="C11" s="282">
        <f t="shared" si="0"/>
        <v>278232.04455445544</v>
      </c>
      <c r="D11" s="380">
        <f>+PNM!A23</f>
        <v>37236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5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26" t="s">
        <v>2</v>
      </c>
      <c r="B12" s="540">
        <f>+mewborne!$J$43</f>
        <v>402313.61</v>
      </c>
      <c r="C12" s="282">
        <f t="shared" si="0"/>
        <v>199165.15346534652</v>
      </c>
      <c r="D12" s="380">
        <f>+mewborne!A43</f>
        <v>37236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5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26" t="s">
        <v>108</v>
      </c>
      <c r="B13" s="540">
        <f>+KN_Westar!F41</f>
        <v>385282.96</v>
      </c>
      <c r="C13" s="282">
        <f t="shared" si="0"/>
        <v>190734.1386138614</v>
      </c>
      <c r="D13" s="380">
        <f>+KN_Westar!A41</f>
        <v>37225</v>
      </c>
      <c r="E13" s="32" t="s">
        <v>86</v>
      </c>
      <c r="F13" s="32" t="s">
        <v>101</v>
      </c>
      <c r="G13" s="32"/>
      <c r="H13" s="32"/>
      <c r="I13" s="32"/>
      <c r="J13" s="32"/>
      <c r="K13" s="32"/>
      <c r="L13" s="32"/>
      <c r="M13" s="395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26" t="s">
        <v>95</v>
      </c>
      <c r="B14" s="540">
        <f>+C14*$H$4</f>
        <v>364028.24</v>
      </c>
      <c r="C14" s="282">
        <f>+Mojave!D40</f>
        <v>180212</v>
      </c>
      <c r="D14" s="380">
        <f>+Mojave!A40</f>
        <v>37235</v>
      </c>
      <c r="E14" s="32" t="s">
        <v>85</v>
      </c>
      <c r="F14" s="32" t="s">
        <v>101</v>
      </c>
      <c r="G14" s="32"/>
      <c r="H14" s="32"/>
      <c r="I14" s="32"/>
      <c r="J14" s="32"/>
      <c r="K14" s="32"/>
      <c r="L14" s="32"/>
      <c r="M14" s="395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26" t="s">
        <v>81</v>
      </c>
      <c r="B15" s="540">
        <f>+Conoco!$F$41</f>
        <v>356383.29</v>
      </c>
      <c r="C15" s="282">
        <f t="shared" si="0"/>
        <v>176427.37128712871</v>
      </c>
      <c r="D15" s="379">
        <f>+Conoco!A41</f>
        <v>37236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5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26" t="s">
        <v>3</v>
      </c>
      <c r="B16" s="540">
        <f>+'Amoco Abo'!$F$43</f>
        <v>355094.32</v>
      </c>
      <c r="C16" s="282">
        <f t="shared" si="0"/>
        <v>175789.26732673266</v>
      </c>
      <c r="D16" s="380">
        <f>+'Amoco Abo'!A43</f>
        <v>37236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95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25" t="s">
        <v>33</v>
      </c>
      <c r="B17" s="540">
        <f>+C17*$H$4</f>
        <v>318053.03999999998</v>
      </c>
      <c r="C17" s="208">
        <f>+SoCal!F40</f>
        <v>157452</v>
      </c>
      <c r="D17" s="379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5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26" t="s">
        <v>89</v>
      </c>
      <c r="B18" s="540">
        <f>+C18*$H$5</f>
        <v>242531.52000000002</v>
      </c>
      <c r="C18" s="282">
        <f>+NGPL!F38</f>
        <v>118888</v>
      </c>
      <c r="D18" s="380">
        <f>+NGPL!A38</f>
        <v>37236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5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26" t="s">
        <v>220</v>
      </c>
      <c r="B19" s="540">
        <f>+Dominion!D41</f>
        <v>176714.27000000002</v>
      </c>
      <c r="C19" s="282">
        <f>+B19/$H$5</f>
        <v>86624.642156862756</v>
      </c>
      <c r="D19" s="380">
        <f>+Dominion!A41</f>
        <v>37235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95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26" t="s">
        <v>115</v>
      </c>
      <c r="B20" s="540">
        <f>+C20*$H$4</f>
        <v>165694.54</v>
      </c>
      <c r="C20" s="208">
        <f>+'PG&amp;E'!D40</f>
        <v>82027</v>
      </c>
      <c r="D20" s="380">
        <f>+'PG&amp;E'!A40</f>
        <v>37236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95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27" t="s">
        <v>80</v>
      </c>
      <c r="B21" s="539">
        <f>+Agave!$D$24</f>
        <v>164444.78</v>
      </c>
      <c r="C21" s="518">
        <f>+B21/$H$4</f>
        <v>81408.30693069307</v>
      </c>
      <c r="D21" s="517">
        <f>+Agave!A24</f>
        <v>37236</v>
      </c>
      <c r="E21" s="480" t="s">
        <v>86</v>
      </c>
      <c r="F21" s="480" t="s">
        <v>103</v>
      </c>
      <c r="G21" s="480"/>
      <c r="H21" s="32"/>
      <c r="I21" s="32"/>
      <c r="J21" s="32"/>
      <c r="K21" s="32"/>
      <c r="L21" s="32" t="s">
        <v>257</v>
      </c>
      <c r="M21" s="395">
        <v>23995</v>
      </c>
      <c r="N21" s="70">
        <v>-1023166</v>
      </c>
      <c r="O21" s="32" t="s">
        <v>259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26" t="s">
        <v>24</v>
      </c>
      <c r="B22" s="543">
        <f>+C22*$H$3</f>
        <v>164264.54999999999</v>
      </c>
      <c r="C22" s="361">
        <f>+'Red C'!F43</f>
        <v>82545</v>
      </c>
      <c r="D22" s="379">
        <f>+'Red C'!B43</f>
        <v>37236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257</v>
      </c>
      <c r="M22" s="395">
        <v>22051</v>
      </c>
      <c r="N22" s="70">
        <v>-527215</v>
      </c>
      <c r="O22" s="32" t="s">
        <v>260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26" t="s">
        <v>223</v>
      </c>
      <c r="B23" s="540">
        <f>+Devon!D41</f>
        <v>147908.97</v>
      </c>
      <c r="C23" s="282">
        <f>+B23/$H$5</f>
        <v>72504.397058823524</v>
      </c>
      <c r="D23" s="380">
        <f>+Devon!A41</f>
        <v>37235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257</v>
      </c>
      <c r="M23" s="395">
        <v>22864</v>
      </c>
      <c r="N23" s="70">
        <v>-58339.66</v>
      </c>
      <c r="O23" s="32" t="s">
        <v>261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26" t="s">
        <v>231</v>
      </c>
      <c r="B24" s="540">
        <f>+Amarillo!P41</f>
        <v>112382.84</v>
      </c>
      <c r="C24" s="282">
        <f>+B24/$H$4</f>
        <v>55635.069306930694</v>
      </c>
      <c r="D24" s="380">
        <f>+Amarillo!A41</f>
        <v>37235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257</v>
      </c>
      <c r="M24" s="395">
        <v>20379</v>
      </c>
      <c r="N24" s="70">
        <v>-51695.87</v>
      </c>
      <c r="O24" s="32" t="s">
        <v>261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25" t="s">
        <v>129</v>
      </c>
      <c r="B25" s="540">
        <f>+Calpine!D41</f>
        <v>93714.12</v>
      </c>
      <c r="C25" s="208">
        <f>+B25/$H$4</f>
        <v>46393.128712871287</v>
      </c>
      <c r="D25" s="379">
        <f>+Calpine!A41</f>
        <v>37236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257</v>
      </c>
      <c r="M25" s="395">
        <v>26357</v>
      </c>
      <c r="N25" s="70">
        <v>44144.84</v>
      </c>
      <c r="O25" s="32" t="s">
        <v>261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06" t="s">
        <v>34</v>
      </c>
      <c r="B26" s="540">
        <f>+'El Paso'!C39*summary!H4+'El Paso'!E39*summary!H3</f>
        <v>68649.680000000008</v>
      </c>
      <c r="C26" s="282">
        <f>+'El Paso'!H39</f>
        <v>33530</v>
      </c>
      <c r="D26" s="379">
        <f>+'El Paso'!A39</f>
        <v>37235</v>
      </c>
      <c r="E26" s="206" t="s">
        <v>85</v>
      </c>
      <c r="F26" s="206" t="s">
        <v>101</v>
      </c>
      <c r="G26" s="206"/>
      <c r="H26" s="32"/>
      <c r="I26" s="32"/>
      <c r="J26" s="32"/>
      <c r="K26" s="32"/>
      <c r="L26" s="32" t="s">
        <v>257</v>
      </c>
      <c r="M26" s="395">
        <v>21544</v>
      </c>
      <c r="N26" s="70">
        <v>61340.160000000003</v>
      </c>
      <c r="O26" s="32" t="s">
        <v>261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300" customFormat="1" ht="12.95" customHeight="1" x14ac:dyDescent="0.2">
      <c r="A27" s="525" t="s">
        <v>141</v>
      </c>
      <c r="B27" s="540">
        <f>+'Citizens-Griffith'!D41</f>
        <v>66541.960000000006</v>
      </c>
      <c r="C27" s="282">
        <f>+B27/$H$4</f>
        <v>32941.564356435643</v>
      </c>
      <c r="D27" s="379">
        <f>+'Citizens-Griffith'!A41</f>
        <v>37235</v>
      </c>
      <c r="E27" s="206" t="s">
        <v>86</v>
      </c>
      <c r="F27" s="206" t="s">
        <v>100</v>
      </c>
      <c r="G27" s="206"/>
      <c r="H27" s="206"/>
      <c r="I27" s="206"/>
      <c r="J27" s="206"/>
      <c r="K27" s="206"/>
      <c r="L27" s="32" t="s">
        <v>257</v>
      </c>
      <c r="M27" s="529">
        <v>24532</v>
      </c>
      <c r="N27" s="280">
        <v>-956477</v>
      </c>
      <c r="O27" s="280">
        <f>SUM(N21:N27)</f>
        <v>-2511408.5300000003</v>
      </c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</row>
    <row r="28" spans="1:32" s="300" customFormat="1" ht="13.5" customHeight="1" x14ac:dyDescent="0.2">
      <c r="A28" s="526" t="s">
        <v>131</v>
      </c>
      <c r="B28" s="540">
        <f>+EPFS!D41</f>
        <v>64780.91</v>
      </c>
      <c r="C28" s="208">
        <f>+B28/$H$5</f>
        <v>31755.348039215689</v>
      </c>
      <c r="D28" s="379">
        <f>+EPFS!A41</f>
        <v>37235</v>
      </c>
      <c r="E28" s="32" t="s">
        <v>86</v>
      </c>
      <c r="F28" s="32" t="s">
        <v>103</v>
      </c>
      <c r="G28" s="32"/>
      <c r="H28" s="206"/>
      <c r="I28" s="206"/>
      <c r="J28" s="206"/>
      <c r="K28" s="206"/>
      <c r="L28" s="206" t="s">
        <v>256</v>
      </c>
      <c r="M28" s="529">
        <v>24268</v>
      </c>
      <c r="N28" s="280">
        <v>1481856.66</v>
      </c>
      <c r="O28" s="280">
        <f>+N28</f>
        <v>1481856.66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526" t="s">
        <v>133</v>
      </c>
      <c r="B29" s="540">
        <f>+SidR!D41</f>
        <v>55578.31</v>
      </c>
      <c r="C29" s="282">
        <f>+B29/$H$5</f>
        <v>27244.269607843136</v>
      </c>
      <c r="D29" s="380">
        <f>+SidR!A41</f>
        <v>37236</v>
      </c>
      <c r="E29" s="32" t="s">
        <v>86</v>
      </c>
      <c r="F29" s="32" t="s">
        <v>103</v>
      </c>
      <c r="G29" s="32"/>
      <c r="H29" s="206"/>
      <c r="I29" s="206"/>
      <c r="J29" s="206"/>
      <c r="K29" s="206"/>
      <c r="L29" s="206"/>
      <c r="M29" s="529"/>
      <c r="N29" s="280"/>
      <c r="O29" s="280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26" t="s">
        <v>111</v>
      </c>
      <c r="B30" s="540">
        <f>+C30*$H$4</f>
        <v>33628.959999999999</v>
      </c>
      <c r="C30" s="282">
        <f>+CIG!D42</f>
        <v>16648</v>
      </c>
      <c r="D30" s="380">
        <f>+CIG!A42</f>
        <v>37235</v>
      </c>
      <c r="E30" s="206" t="s">
        <v>85</v>
      </c>
      <c r="F30" s="32" t="s">
        <v>114</v>
      </c>
      <c r="G30" s="32"/>
      <c r="H30" s="206"/>
      <c r="I30" s="206"/>
      <c r="J30" s="206"/>
      <c r="K30" s="206"/>
      <c r="L30" s="206"/>
      <c r="M30" s="529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26" t="s">
        <v>320</v>
      </c>
      <c r="B31" s="540">
        <f>+'WTG inc'!N43</f>
        <v>33110.450000000004</v>
      </c>
      <c r="C31" s="282">
        <f>+B31/$H$4</f>
        <v>16391.311881188121</v>
      </c>
      <c r="D31" s="380">
        <f>+SidR!A40</f>
        <v>37225</v>
      </c>
      <c r="E31" s="32" t="s">
        <v>86</v>
      </c>
      <c r="F31" s="32" t="s">
        <v>103</v>
      </c>
      <c r="G31" s="206"/>
      <c r="H31" s="206"/>
      <c r="I31" s="206"/>
      <c r="J31" s="206"/>
      <c r="K31" s="206"/>
      <c r="L31" s="206"/>
      <c r="M31" s="529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26" t="s">
        <v>1</v>
      </c>
      <c r="B32" s="540">
        <f>+C32*$H$3</f>
        <v>31869.85</v>
      </c>
      <c r="C32" s="208">
        <f>+NW!$F$41</f>
        <v>16015</v>
      </c>
      <c r="D32" s="379">
        <f>+NW!B41</f>
        <v>37236</v>
      </c>
      <c r="E32" s="32" t="s">
        <v>85</v>
      </c>
      <c r="F32" s="32" t="s">
        <v>116</v>
      </c>
      <c r="G32" s="365"/>
      <c r="H32" s="252"/>
      <c r="I32" s="252"/>
      <c r="J32" s="252"/>
      <c r="K32" s="252"/>
      <c r="L32" s="32" t="s">
        <v>258</v>
      </c>
      <c r="M32" s="529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25" t="s">
        <v>110</v>
      </c>
      <c r="B33" s="540">
        <f>+Continental!F43</f>
        <v>30319.09</v>
      </c>
      <c r="C33" s="208">
        <f>+B33/$H$4</f>
        <v>15009.450495049505</v>
      </c>
      <c r="D33" s="379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258</v>
      </c>
      <c r="M33" s="395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206" t="s">
        <v>96</v>
      </c>
      <c r="B34" s="540">
        <f>+burlington!D42</f>
        <v>5062.93</v>
      </c>
      <c r="C34" s="282">
        <f>+B34/$H$3</f>
        <v>2544.1859296482412</v>
      </c>
      <c r="D34" s="379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258</v>
      </c>
      <c r="M34" s="395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">
      <c r="A35" s="526" t="s">
        <v>32</v>
      </c>
      <c r="B35" s="580">
        <f>+C35*$H$4</f>
        <v>1620.04</v>
      </c>
      <c r="C35" s="71">
        <f>+Lonestar!F42</f>
        <v>802</v>
      </c>
      <c r="D35" s="379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5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7828880.7199999988</v>
      </c>
      <c r="C36" s="69">
        <f>SUM(C8:C35)</f>
        <v>3860168.0570226396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64"/>
      <c r="G37" s="32"/>
      <c r="H37" s="32"/>
      <c r="I37" s="32"/>
      <c r="J37" s="32"/>
      <c r="K37" s="32"/>
      <c r="L37" s="32"/>
      <c r="M37" s="395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46" t="s">
        <v>90</v>
      </c>
      <c r="B38" s="347" t="s">
        <v>17</v>
      </c>
      <c r="C38" s="348" t="s">
        <v>0</v>
      </c>
      <c r="D38" s="355" t="s">
        <v>149</v>
      </c>
      <c r="E38" s="346" t="s">
        <v>91</v>
      </c>
      <c r="F38" s="349" t="s">
        <v>102</v>
      </c>
      <c r="G38" s="346" t="s">
        <v>99</v>
      </c>
      <c r="H38" s="32"/>
      <c r="I38" s="32"/>
      <c r="J38" s="32"/>
      <c r="K38" s="32"/>
      <c r="L38" s="32"/>
      <c r="M38" s="395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6" t="s">
        <v>262</v>
      </c>
      <c r="B39" s="542">
        <f>+DEFS!$C$40+DEFS!$E$40+DEFS!$F$44+DEFS!$F$45+DEFS!$F$46+DEFS!$F$47+DEFS!$F$48</f>
        <v>-2704817.6100000003</v>
      </c>
      <c r="C39" s="361">
        <f>+B39/$H$5</f>
        <v>-1325890.9852941178</v>
      </c>
      <c r="D39" s="379">
        <f>+DEFS!A40</f>
        <v>37235</v>
      </c>
      <c r="E39" s="206" t="s">
        <v>86</v>
      </c>
      <c r="F39" s="32" t="s">
        <v>101</v>
      </c>
      <c r="G39" s="32" t="s">
        <v>328</v>
      </c>
      <c r="H39" s="32"/>
      <c r="I39" s="32"/>
      <c r="J39" s="32"/>
      <c r="K39" s="32"/>
      <c r="L39" s="32"/>
      <c r="M39" s="395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6" t="s">
        <v>137</v>
      </c>
      <c r="B40" s="540">
        <f>+Citizens!D18</f>
        <v>-521519.44</v>
      </c>
      <c r="C40" s="208">
        <f>+B40/$H$4</f>
        <v>-258177.94059405942</v>
      </c>
      <c r="D40" s="379">
        <f>+Citizens!A18</f>
        <v>37235</v>
      </c>
      <c r="E40" s="206" t="s">
        <v>86</v>
      </c>
      <c r="F40" s="206" t="s">
        <v>100</v>
      </c>
      <c r="G40" s="365"/>
      <c r="H40" s="32"/>
      <c r="I40" s="32"/>
      <c r="J40" s="32"/>
      <c r="K40" s="32"/>
      <c r="L40" s="32"/>
      <c r="M40" s="395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540">
        <f>+'NS Steel'!D41</f>
        <v>-346024.64</v>
      </c>
      <c r="C41" s="208">
        <f>+B41/$H$4</f>
        <v>-171299.32673267327</v>
      </c>
      <c r="D41" s="380">
        <f>+'NS Steel'!A41</f>
        <v>37236</v>
      </c>
      <c r="E41" s="32" t="s">
        <v>86</v>
      </c>
      <c r="F41" s="32" t="s">
        <v>101</v>
      </c>
      <c r="G41" s="365"/>
      <c r="H41" s="32"/>
      <c r="I41" s="32"/>
      <c r="J41" s="32"/>
      <c r="K41" s="32"/>
      <c r="L41" s="32"/>
      <c r="M41" s="395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6" t="s">
        <v>274</v>
      </c>
      <c r="B42" s="540">
        <f>+MiVida_Rich!D41</f>
        <v>-195699.5</v>
      </c>
      <c r="C42" s="208">
        <f>+B42/$H$5</f>
        <v>-95931.127450980392</v>
      </c>
      <c r="D42" s="379">
        <f>+MiVida_Rich!A41</f>
        <v>37225</v>
      </c>
      <c r="E42" s="206" t="s">
        <v>86</v>
      </c>
      <c r="F42" s="206" t="s">
        <v>100</v>
      </c>
      <c r="G42" s="365"/>
      <c r="H42" s="32"/>
      <c r="I42" s="32"/>
      <c r="J42" s="32"/>
      <c r="K42" s="32"/>
      <c r="L42" s="32"/>
      <c r="M42" s="395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6</v>
      </c>
      <c r="B43" s="540">
        <f>+C43*$H$3</f>
        <v>-121344.23</v>
      </c>
      <c r="C43" s="282">
        <f>+Amoco!D40</f>
        <v>-60977</v>
      </c>
      <c r="D43" s="380">
        <f>+Amoco!A40</f>
        <v>37236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395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5" customHeight="1" x14ac:dyDescent="0.2">
      <c r="A44" s="32" t="s">
        <v>229</v>
      </c>
      <c r="B44" s="540">
        <f>+crosstex!F41</f>
        <v>-120641.36</v>
      </c>
      <c r="C44" s="208">
        <f>+B44/$H$4</f>
        <v>-59723.445544554452</v>
      </c>
      <c r="D44" s="380">
        <f>+crosstex!A41</f>
        <v>37235</v>
      </c>
      <c r="E44" s="32" t="s">
        <v>86</v>
      </c>
      <c r="F44" s="32" t="s">
        <v>101</v>
      </c>
      <c r="G44" s="365"/>
      <c r="H44" s="206"/>
      <c r="I44" s="206"/>
      <c r="J44" s="206"/>
      <c r="K44" s="206"/>
      <c r="L44" s="206"/>
      <c r="M44" s="52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">
      <c r="A45" s="32" t="s">
        <v>150</v>
      </c>
      <c r="B45" s="540">
        <f>+PGETX!$H$39</f>
        <v>-106217.28</v>
      </c>
      <c r="C45" s="282">
        <f>+B45/$H$4</f>
        <v>-52582.811881188121</v>
      </c>
      <c r="D45" s="380">
        <f>+PGETX!E39</f>
        <v>37236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29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">
      <c r="A46" s="206" t="s">
        <v>144</v>
      </c>
      <c r="B46" s="542">
        <f>+C46*$H$4</f>
        <v>-45783.3</v>
      </c>
      <c r="C46" s="361">
        <f>+PEPL!D41</f>
        <v>-22665</v>
      </c>
      <c r="D46" s="379">
        <f>+PEPL!A41</f>
        <v>37236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5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206" t="s">
        <v>217</v>
      </c>
      <c r="B47" s="542">
        <f>+WTGmktg!J43</f>
        <v>-45709.32</v>
      </c>
      <c r="C47" s="208">
        <f>+B47/$H$4</f>
        <v>-22628.376237623761</v>
      </c>
      <c r="D47" s="379">
        <f>+WTGmktg!A43</f>
        <v>37233</v>
      </c>
      <c r="E47" s="32" t="s">
        <v>86</v>
      </c>
      <c r="F47" s="206" t="s">
        <v>116</v>
      </c>
      <c r="G47" s="206"/>
      <c r="H47" s="32"/>
      <c r="I47" s="32"/>
      <c r="J47" s="32"/>
      <c r="K47" s="32"/>
      <c r="L47" s="32"/>
      <c r="M47" s="395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104</v>
      </c>
      <c r="B48" s="540">
        <f>+EOG!$J$41</f>
        <v>-40950.44</v>
      </c>
      <c r="C48" s="282">
        <f>+B48/$H$4</f>
        <v>-20272.495049504952</v>
      </c>
      <c r="D48" s="379">
        <f>+EOG!A41</f>
        <v>37235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95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525" t="s">
        <v>29</v>
      </c>
      <c r="B49" s="540">
        <f>+C49*$H$3</f>
        <v>-38335.360000000001</v>
      </c>
      <c r="C49" s="282">
        <f>+williams!J35</f>
        <v>-19264</v>
      </c>
      <c r="D49" s="379">
        <f>+williams!A40</f>
        <v>37236</v>
      </c>
      <c r="E49" s="206" t="s">
        <v>86</v>
      </c>
      <c r="F49" s="206" t="s">
        <v>147</v>
      </c>
      <c r="G49" s="2" t="s">
        <v>318</v>
      </c>
      <c r="H49" s="32"/>
      <c r="I49" s="32"/>
      <c r="J49" s="32"/>
      <c r="K49" s="32"/>
      <c r="L49" s="32"/>
      <c r="M49" s="395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32" t="s">
        <v>7</v>
      </c>
      <c r="B50" s="540">
        <f>+C50*$H$4</f>
        <v>-15796.4</v>
      </c>
      <c r="C50" s="208">
        <f>+Oasis!D40</f>
        <v>-7820</v>
      </c>
      <c r="D50" s="380">
        <f>+Oasis!B40</f>
        <v>37236</v>
      </c>
      <c r="E50" s="32" t="s">
        <v>85</v>
      </c>
      <c r="F50" s="32" t="s">
        <v>103</v>
      </c>
      <c r="G50" s="32"/>
      <c r="H50" s="32"/>
      <c r="I50" s="32"/>
      <c r="J50" s="32"/>
      <c r="K50" s="32"/>
      <c r="L50" s="32"/>
      <c r="M50" s="395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525" t="s">
        <v>72</v>
      </c>
      <c r="B51" s="542">
        <f>+transcol!$D$43</f>
        <v>-1043.8900000000012</v>
      </c>
      <c r="C51" s="361">
        <f>+B51/$H$4</f>
        <v>-516.77722772277286</v>
      </c>
      <c r="D51" s="379">
        <f>+transcol!A43</f>
        <v>37236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5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314</v>
      </c>
      <c r="B52" s="580">
        <f>+SWGasTrans!$D$41</f>
        <v>-1029.6999999999998</v>
      </c>
      <c r="C52" s="71">
        <f>+B52/$H$4</f>
        <v>-509.75247524752467</v>
      </c>
      <c r="D52" s="379">
        <f>+SWGasTrans!A41</f>
        <v>37235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95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9">
        <f>SUM(B39:B52)</f>
        <v>-4304912.4700000007</v>
      </c>
      <c r="C53" s="208">
        <f>SUM(C39:C52)</f>
        <v>-2118259.0384876723</v>
      </c>
      <c r="D53" s="366"/>
      <c r="E53" s="32"/>
      <c r="F53" s="32"/>
      <c r="G53" s="32"/>
      <c r="H53" s="32"/>
      <c r="I53" s="32"/>
      <c r="J53" s="32"/>
      <c r="K53" s="32"/>
      <c r="L53" s="32"/>
      <c r="M53" s="395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62"/>
      <c r="C54" s="71"/>
      <c r="D54" s="205"/>
      <c r="E54" s="32"/>
      <c r="F54" s="32"/>
      <c r="G54" s="32"/>
      <c r="H54" s="32"/>
      <c r="I54" s="32"/>
      <c r="J54" s="32"/>
      <c r="K54" s="32"/>
      <c r="L54" s="32"/>
      <c r="M54" s="395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67">
        <f>+B53+B36</f>
        <v>3523968.2499999981</v>
      </c>
      <c r="C55" s="368">
        <f>+C53+C36</f>
        <v>1741909.0185349672</v>
      </c>
      <c r="D55" s="205"/>
      <c r="E55" s="32"/>
      <c r="F55" s="32"/>
      <c r="G55" s="32"/>
      <c r="H55" s="32"/>
      <c r="I55" s="32"/>
      <c r="J55" s="32"/>
      <c r="K55" s="32"/>
      <c r="L55" s="32"/>
      <c r="M55" s="395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5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301"/>
      <c r="D57" s="205"/>
      <c r="E57" s="32"/>
      <c r="F57" s="32"/>
      <c r="G57" s="32"/>
      <c r="H57" s="32"/>
      <c r="I57" s="32"/>
      <c r="J57" s="32"/>
      <c r="K57" s="32"/>
      <c r="L57" s="32"/>
      <c r="M57" s="395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5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5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5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5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5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5"/>
      <c r="E63" s="136"/>
      <c r="F63" s="32"/>
      <c r="G63" s="32"/>
      <c r="H63" s="32"/>
      <c r="I63" s="32"/>
      <c r="J63" s="32"/>
      <c r="K63" s="32"/>
      <c r="L63" s="32"/>
      <c r="M63" s="395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5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5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5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95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95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95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95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95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95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95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95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95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95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95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95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95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95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95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95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95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95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95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95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95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95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95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95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95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95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95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95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95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95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95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95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95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277</v>
      </c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5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275</v>
      </c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5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276</v>
      </c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5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9"/>
      <c r="C103" s="370"/>
      <c r="D103" s="205"/>
      <c r="E103" s="32"/>
      <c r="F103" s="32"/>
      <c r="G103" s="32"/>
      <c r="H103" s="32"/>
      <c r="I103" s="32"/>
      <c r="J103" s="32"/>
      <c r="K103" s="32"/>
      <c r="L103" s="32"/>
      <c r="M103" s="395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278</v>
      </c>
      <c r="B104" s="75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5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279</v>
      </c>
      <c r="B105" s="75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5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281</v>
      </c>
      <c r="B106" s="75">
        <v>-8065.83</v>
      </c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5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282</v>
      </c>
      <c r="B107" s="75">
        <v>8689.86</v>
      </c>
      <c r="C107" s="69" t="s">
        <v>283</v>
      </c>
      <c r="D107" s="371"/>
      <c r="E107" s="32"/>
      <c r="F107" s="32"/>
      <c r="G107" s="32"/>
      <c r="H107" s="32"/>
      <c r="I107" s="32"/>
      <c r="J107" s="32"/>
      <c r="K107" s="32"/>
      <c r="L107" s="32"/>
      <c r="M107" s="395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284</v>
      </c>
      <c r="B108" s="75">
        <v>75737.570000000007</v>
      </c>
      <c r="C108" s="301"/>
      <c r="D108" s="205"/>
      <c r="E108" s="32"/>
      <c r="F108" s="32"/>
      <c r="G108" s="32"/>
      <c r="H108" s="32"/>
      <c r="I108" s="32"/>
      <c r="J108" s="32"/>
      <c r="K108" s="32"/>
      <c r="L108" s="32"/>
      <c r="M108" s="395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285</v>
      </c>
      <c r="B109" s="576" t="s">
        <v>287</v>
      </c>
      <c r="C109" s="301"/>
      <c r="D109" s="372"/>
      <c r="E109" s="373"/>
      <c r="F109" s="32"/>
      <c r="G109" s="32"/>
      <c r="H109" s="32"/>
      <c r="I109" s="32"/>
      <c r="J109" s="32"/>
      <c r="K109" s="32"/>
      <c r="L109" s="32"/>
      <c r="M109" s="395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286</v>
      </c>
      <c r="B110" s="576" t="s">
        <v>288</v>
      </c>
      <c r="C110" s="301"/>
      <c r="D110" s="374"/>
      <c r="E110" s="32"/>
      <c r="F110" s="32"/>
      <c r="G110" s="32"/>
      <c r="H110" s="32"/>
      <c r="I110" s="32"/>
      <c r="J110" s="32"/>
      <c r="K110" s="32"/>
      <c r="L110" s="32"/>
      <c r="M110" s="395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291</v>
      </c>
      <c r="B111" s="15">
        <v>97267.53</v>
      </c>
      <c r="C111" s="301"/>
      <c r="D111" s="374"/>
      <c r="E111" s="32"/>
      <c r="F111" s="32"/>
      <c r="G111" s="32"/>
      <c r="H111" s="32"/>
      <c r="I111" s="32"/>
      <c r="J111" s="32"/>
      <c r="K111" s="32"/>
      <c r="L111" s="32"/>
      <c r="M111" s="395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289</v>
      </c>
      <c r="B112" s="75">
        <v>-1590.44</v>
      </c>
      <c r="C112" s="301"/>
      <c r="D112" s="375"/>
      <c r="E112" s="32"/>
      <c r="F112" s="32"/>
      <c r="G112" s="32"/>
      <c r="H112" s="32"/>
      <c r="I112" s="32"/>
      <c r="J112" s="32"/>
      <c r="K112" s="32"/>
      <c r="L112" s="32"/>
      <c r="M112" s="395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292</v>
      </c>
      <c r="B113" s="75">
        <v>4290.5</v>
      </c>
      <c r="C113" s="301"/>
      <c r="D113" s="376"/>
      <c r="E113" s="32"/>
      <c r="F113" s="32"/>
      <c r="G113" s="32"/>
      <c r="H113" s="32"/>
      <c r="I113" s="32"/>
      <c r="J113" s="32"/>
      <c r="K113" s="32"/>
      <c r="L113" s="32"/>
      <c r="M113" s="395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296</v>
      </c>
      <c r="B114" s="75">
        <v>9780.35</v>
      </c>
      <c r="C114" s="572"/>
      <c r="D114" s="205"/>
      <c r="E114" s="32"/>
      <c r="F114" s="32"/>
      <c r="G114" s="32"/>
      <c r="H114" s="32"/>
      <c r="I114" s="32"/>
      <c r="J114" s="32"/>
      <c r="K114" s="32"/>
      <c r="L114" s="32"/>
      <c r="M114" s="395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299</v>
      </c>
      <c r="B115" s="75">
        <v>47610.18</v>
      </c>
      <c r="C115" s="572"/>
      <c r="D115" s="371"/>
      <c r="E115" s="32"/>
      <c r="F115" s="32"/>
      <c r="G115" s="32"/>
      <c r="H115" s="32"/>
      <c r="I115" s="32"/>
      <c r="J115" s="32"/>
      <c r="K115" s="32"/>
      <c r="L115" s="32"/>
      <c r="M115" s="395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303</v>
      </c>
      <c r="B116" s="15">
        <v>-1548.84</v>
      </c>
      <c r="C116" s="572"/>
      <c r="D116" s="205"/>
      <c r="E116" s="32"/>
      <c r="F116" s="32"/>
      <c r="G116" s="32"/>
      <c r="H116" s="32"/>
      <c r="I116" s="32"/>
      <c r="J116" s="32"/>
      <c r="K116" s="32"/>
      <c r="L116" s="32"/>
      <c r="M116" s="395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307</v>
      </c>
      <c r="B117" s="15">
        <v>-10776.55</v>
      </c>
      <c r="C117" s="572"/>
      <c r="D117" s="205"/>
      <c r="E117" s="32"/>
      <c r="F117" s="32"/>
      <c r="G117" s="32"/>
      <c r="H117" s="32"/>
      <c r="I117" s="32"/>
      <c r="J117" s="32"/>
      <c r="K117" s="32"/>
      <c r="L117" s="32"/>
      <c r="M117" s="395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308</v>
      </c>
      <c r="B118" s="15">
        <v>9125.5499999999993</v>
      </c>
      <c r="C118" s="573"/>
      <c r="D118" s="371"/>
      <c r="E118" s="32"/>
      <c r="F118" s="32"/>
      <c r="G118" s="32"/>
      <c r="H118" s="32"/>
      <c r="I118" s="32"/>
      <c r="J118" s="32"/>
      <c r="K118" s="32"/>
      <c r="L118" s="32"/>
      <c r="M118" s="395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310</v>
      </c>
      <c r="B119" s="578" t="s">
        <v>311</v>
      </c>
      <c r="C119" s="573"/>
      <c r="D119" s="371"/>
      <c r="E119" s="32"/>
      <c r="F119" s="32"/>
      <c r="G119" s="32"/>
      <c r="H119" s="32"/>
      <c r="I119" s="32"/>
      <c r="J119" s="32"/>
      <c r="K119" s="32"/>
      <c r="L119" s="32"/>
      <c r="M119" s="395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315</v>
      </c>
      <c r="B120" s="15">
        <v>1357.88</v>
      </c>
      <c r="C120" s="573"/>
      <c r="D120" s="371"/>
      <c r="E120" s="32"/>
      <c r="F120" s="32"/>
      <c r="G120" s="32"/>
      <c r="H120" s="32"/>
      <c r="I120" s="32"/>
      <c r="J120" s="32"/>
      <c r="K120" s="32"/>
      <c r="L120" s="32"/>
      <c r="M120" s="395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306</v>
      </c>
      <c r="B121" s="15">
        <f>44144.84-58339.66</f>
        <v>-14194.820000000007</v>
      </c>
      <c r="C121" s="573">
        <v>26357</v>
      </c>
      <c r="D121" s="205"/>
      <c r="E121" s="32"/>
      <c r="F121" s="32"/>
      <c r="G121" s="32"/>
      <c r="H121" s="32"/>
      <c r="I121" s="32"/>
      <c r="J121" s="32"/>
      <c r="K121" s="32"/>
      <c r="L121" s="32"/>
      <c r="M121" s="395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306</v>
      </c>
      <c r="B122" s="15">
        <v>-51695.87</v>
      </c>
      <c r="C122" s="573">
        <v>20379</v>
      </c>
      <c r="D122" s="205"/>
      <c r="E122" s="32"/>
      <c r="F122" s="32"/>
      <c r="G122" s="32"/>
      <c r="H122" s="32"/>
      <c r="I122" s="32"/>
      <c r="J122" s="32"/>
      <c r="K122" s="32"/>
      <c r="L122" s="32"/>
      <c r="M122" s="395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306</v>
      </c>
      <c r="B123" s="15">
        <v>61340.160000000003</v>
      </c>
      <c r="C123" s="573">
        <v>21544</v>
      </c>
      <c r="D123" s="205"/>
      <c r="E123" s="32"/>
      <c r="F123" s="32"/>
      <c r="G123" s="32"/>
      <c r="H123" s="32"/>
      <c r="I123" s="32"/>
      <c r="J123" s="32"/>
      <c r="K123" s="32"/>
      <c r="L123" s="32"/>
      <c r="M123" s="395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306</v>
      </c>
      <c r="B124" s="264"/>
      <c r="C124" s="573"/>
      <c r="D124" s="205"/>
      <c r="E124" s="32"/>
      <c r="F124" s="32"/>
      <c r="G124" s="32"/>
      <c r="H124" s="32"/>
      <c r="I124" s="32"/>
      <c r="J124" s="32"/>
      <c r="K124" s="32"/>
      <c r="L124" s="32"/>
      <c r="M124" s="395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316</v>
      </c>
      <c r="B125" s="264">
        <v>828.64</v>
      </c>
      <c r="C125" s="573"/>
      <c r="D125" s="205"/>
      <c r="E125" s="32"/>
      <c r="F125" s="32"/>
      <c r="G125" s="32"/>
      <c r="H125" s="32"/>
      <c r="I125" s="32"/>
      <c r="J125" s="32"/>
      <c r="K125" s="32"/>
      <c r="L125" s="32"/>
      <c r="M125" s="395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317</v>
      </c>
      <c r="B126" s="264">
        <v>8282.6</v>
      </c>
      <c r="C126" s="573"/>
      <c r="D126" s="205"/>
      <c r="E126" s="32"/>
      <c r="F126" s="32"/>
      <c r="G126" s="32"/>
      <c r="H126" s="32"/>
      <c r="I126" s="32"/>
      <c r="J126" s="32"/>
      <c r="K126" s="32"/>
      <c r="L126" s="32"/>
      <c r="M126" s="395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309</v>
      </c>
      <c r="B127" s="264">
        <v>17432.3</v>
      </c>
      <c r="C127" s="573"/>
      <c r="D127" s="205"/>
      <c r="E127" s="32"/>
      <c r="F127" s="32"/>
      <c r="G127" s="32"/>
      <c r="H127" s="32"/>
      <c r="I127" s="32"/>
      <c r="J127" s="32"/>
      <c r="K127" s="32"/>
      <c r="L127" s="32"/>
      <c r="M127" s="395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302</v>
      </c>
      <c r="B128" s="264">
        <v>-7228.77</v>
      </c>
      <c r="C128" s="572"/>
      <c r="D128" s="205"/>
      <c r="E128" s="32"/>
      <c r="F128" s="32"/>
      <c r="G128" s="32"/>
      <c r="H128" s="32"/>
      <c r="I128" s="32"/>
      <c r="J128" s="32"/>
      <c r="K128" s="32"/>
      <c r="L128" s="32"/>
      <c r="M128" s="395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92" t="s">
        <v>301</v>
      </c>
      <c r="B129" s="15">
        <v>249009.74</v>
      </c>
      <c r="C129" s="572"/>
      <c r="D129" s="205"/>
      <c r="E129" s="32"/>
      <c r="F129" s="32"/>
      <c r="G129" s="32"/>
      <c r="H129" s="32"/>
      <c r="I129" s="32"/>
      <c r="J129" s="32"/>
      <c r="K129" s="32"/>
      <c r="L129" s="32"/>
      <c r="M129" s="395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295</v>
      </c>
      <c r="B130" s="15">
        <v>1974.11</v>
      </c>
      <c r="C130" s="572"/>
      <c r="D130" s="205"/>
      <c r="E130" s="32"/>
      <c r="F130" s="32"/>
      <c r="G130" s="32"/>
      <c r="H130" s="32"/>
      <c r="I130" s="32"/>
      <c r="J130" s="32"/>
      <c r="K130" s="32"/>
      <c r="L130" s="32"/>
      <c r="M130" s="395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280</v>
      </c>
      <c r="B131" s="75">
        <v>-35893</v>
      </c>
      <c r="C131" s="572"/>
      <c r="D131" s="205"/>
      <c r="E131" s="32"/>
      <c r="F131" s="32"/>
      <c r="G131" s="32"/>
      <c r="H131" s="32"/>
      <c r="I131" s="32"/>
      <c r="J131" s="32"/>
      <c r="K131" s="32"/>
      <c r="L131" s="32"/>
      <c r="M131" s="395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290</v>
      </c>
      <c r="B132" s="75">
        <v>27281.87</v>
      </c>
      <c r="C132" s="572"/>
      <c r="D132" s="205"/>
      <c r="E132" s="32"/>
      <c r="F132" s="32"/>
      <c r="G132" s="32"/>
      <c r="H132" s="32"/>
      <c r="I132" s="32"/>
      <c r="J132" s="32"/>
      <c r="K132" s="32"/>
      <c r="L132" s="32"/>
      <c r="M132" s="395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293</v>
      </c>
      <c r="B133" s="75">
        <v>-2614.58</v>
      </c>
      <c r="C133" s="572"/>
      <c r="D133" s="205"/>
      <c r="E133" s="32"/>
      <c r="F133" s="32"/>
      <c r="G133" s="32"/>
      <c r="H133" s="32"/>
      <c r="I133" s="32"/>
      <c r="J133" s="32"/>
      <c r="K133" s="32"/>
      <c r="L133" s="32"/>
      <c r="M133" s="395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294</v>
      </c>
      <c r="B134" s="75">
        <v>-177733.88</v>
      </c>
      <c r="C134" s="572"/>
      <c r="D134" s="205"/>
      <c r="E134" s="32"/>
      <c r="F134" s="32"/>
      <c r="G134" s="32"/>
      <c r="H134" s="32"/>
      <c r="I134" s="32"/>
      <c r="J134" s="32"/>
      <c r="K134" s="32"/>
      <c r="L134" s="32"/>
      <c r="M134" s="395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297</v>
      </c>
      <c r="B135" s="15">
        <v>3338.45</v>
      </c>
      <c r="C135" s="572"/>
      <c r="D135" s="205"/>
      <c r="E135" s="32"/>
      <c r="F135" s="32"/>
      <c r="G135" s="32"/>
      <c r="H135" s="32"/>
      <c r="I135" s="32"/>
      <c r="J135" s="32"/>
      <c r="K135" s="32"/>
      <c r="L135" s="32"/>
      <c r="M135" s="395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298</v>
      </c>
      <c r="B136" s="15">
        <v>15325.21</v>
      </c>
      <c r="C136" s="572"/>
      <c r="D136" s="205"/>
      <c r="E136" s="32"/>
      <c r="F136" s="32"/>
      <c r="G136" s="32"/>
      <c r="H136" s="32"/>
      <c r="I136" s="32"/>
      <c r="J136" s="32"/>
      <c r="K136" s="32"/>
      <c r="L136" s="32"/>
      <c r="M136" s="395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300</v>
      </c>
      <c r="B137" s="15">
        <v>-33878.81</v>
      </c>
      <c r="C137" s="572"/>
      <c r="D137" s="205"/>
      <c r="E137" s="32"/>
      <c r="F137" s="32"/>
      <c r="G137" s="32"/>
      <c r="H137" s="32"/>
      <c r="I137" s="32"/>
      <c r="J137" s="32"/>
      <c r="K137" s="32"/>
      <c r="L137" s="32"/>
      <c r="M137" s="395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304</v>
      </c>
      <c r="B138" s="15">
        <v>-726.96</v>
      </c>
      <c r="C138" s="572"/>
      <c r="D138" s="205"/>
      <c r="E138" s="32"/>
      <c r="F138" s="32"/>
      <c r="G138" s="32"/>
      <c r="H138" s="32"/>
      <c r="I138" s="32"/>
      <c r="J138" s="32"/>
      <c r="K138" s="32"/>
      <c r="L138" s="32"/>
      <c r="M138" s="395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305</v>
      </c>
      <c r="B139" s="47">
        <v>-4405.4799999999996</v>
      </c>
      <c r="C139" s="572"/>
      <c r="D139" s="205"/>
      <c r="E139" s="32"/>
      <c r="F139" s="32"/>
      <c r="G139" s="32"/>
      <c r="H139" s="32"/>
      <c r="I139" s="32"/>
      <c r="J139" s="32"/>
      <c r="K139" s="32"/>
      <c r="L139" s="32"/>
      <c r="M139" s="395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72"/>
      <c r="D140" s="205"/>
      <c r="E140" s="32"/>
      <c r="F140" s="32"/>
      <c r="G140" s="32"/>
      <c r="H140" s="32"/>
      <c r="I140" s="32"/>
      <c r="J140" s="32"/>
      <c r="K140" s="32"/>
      <c r="L140" s="32"/>
      <c r="M140" s="395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72"/>
      <c r="D141" s="205"/>
      <c r="E141" s="32"/>
      <c r="F141" s="32"/>
      <c r="G141" s="32"/>
      <c r="H141" s="32"/>
      <c r="I141" s="32"/>
      <c r="J141" s="32"/>
      <c r="K141" s="32"/>
      <c r="L141" s="32"/>
      <c r="M141" s="395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72"/>
      <c r="D142" s="205"/>
      <c r="E142" s="32"/>
      <c r="F142" s="32"/>
      <c r="G142" s="32"/>
      <c r="H142" s="32"/>
      <c r="I142" s="32"/>
      <c r="J142" s="32"/>
      <c r="K142" s="32"/>
      <c r="L142" s="32"/>
      <c r="M142" s="395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5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288318.67</v>
      </c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5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5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5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5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5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5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5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5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5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5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5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5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5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5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5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5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5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5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5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5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5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5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5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5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5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5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5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5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5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5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5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5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5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5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5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5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5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5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5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5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5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5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5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5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5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5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5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5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5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5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5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5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5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5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5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5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5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5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5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5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5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5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5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5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5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5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5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5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5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5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5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5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5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5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5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5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5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5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5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5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5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5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5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5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5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5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5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5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5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5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5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5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5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5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5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5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5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5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5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5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5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5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5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5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5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5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5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5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5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5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5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5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5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5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5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5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5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5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5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5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5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5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5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5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5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5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5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5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5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5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5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5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5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5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5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5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5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5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5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5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5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5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5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5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5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5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5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5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5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5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5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5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5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5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5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5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5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5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5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5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5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5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5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5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5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5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5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5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5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5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5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5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5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5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5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5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5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5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5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5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5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5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5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5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5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5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5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5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5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5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5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5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5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5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5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5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5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5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5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5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5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5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5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5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5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5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5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5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5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5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5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5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5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5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5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5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5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5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5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5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5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5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5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5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5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5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5"/>
      <c r="E370" s="32"/>
      <c r="F370" s="32"/>
      <c r="G370" s="32"/>
      <c r="H370" s="32"/>
      <c r="I370" s="32"/>
      <c r="J370" s="32"/>
      <c r="K370" s="32"/>
      <c r="L370" s="32"/>
      <c r="M370" s="395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B38" sqref="B38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5" t="s">
        <v>11</v>
      </c>
      <c r="B7" s="447" t="s">
        <v>20</v>
      </c>
      <c r="C7" s="447" t="s">
        <v>21</v>
      </c>
      <c r="D7" s="447" t="s">
        <v>20</v>
      </c>
      <c r="E7" s="447" t="s">
        <v>21</v>
      </c>
      <c r="F7" s="44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48">
        <v>1</v>
      </c>
      <c r="B8" s="428">
        <v>12873</v>
      </c>
      <c r="C8" s="428">
        <v>10932</v>
      </c>
      <c r="D8" s="428"/>
      <c r="E8" s="428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48">
        <v>2</v>
      </c>
      <c r="B9" s="428">
        <v>13275</v>
      </c>
      <c r="C9" s="428">
        <v>10932</v>
      </c>
      <c r="D9" s="428"/>
      <c r="E9" s="428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48">
        <v>3</v>
      </c>
      <c r="B10" s="428">
        <v>15491</v>
      </c>
      <c r="C10" s="428">
        <v>10932</v>
      </c>
      <c r="D10" s="428">
        <v>-1</v>
      </c>
      <c r="E10" s="428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48">
        <v>4</v>
      </c>
      <c r="B11" s="428">
        <v>14090</v>
      </c>
      <c r="C11" s="428">
        <v>10932</v>
      </c>
      <c r="D11" s="428">
        <v>-2</v>
      </c>
      <c r="E11" s="428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48">
        <v>5</v>
      </c>
      <c r="B12" s="428">
        <v>14451</v>
      </c>
      <c r="C12" s="428">
        <v>10932</v>
      </c>
      <c r="D12" s="428">
        <v>-6</v>
      </c>
      <c r="E12" s="428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48">
        <v>6</v>
      </c>
      <c r="B13" s="428">
        <v>13027</v>
      </c>
      <c r="C13" s="428">
        <v>10932</v>
      </c>
      <c r="D13" s="428">
        <v>-56</v>
      </c>
      <c r="E13" s="428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48">
        <v>7</v>
      </c>
      <c r="B14" s="428">
        <v>11185</v>
      </c>
      <c r="C14" s="428">
        <v>10932</v>
      </c>
      <c r="D14" s="428">
        <v>-97</v>
      </c>
      <c r="E14" s="428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48">
        <v>8</v>
      </c>
      <c r="B15" s="428">
        <v>10651</v>
      </c>
      <c r="C15" s="428">
        <v>10866</v>
      </c>
      <c r="D15" s="428">
        <v>-111</v>
      </c>
      <c r="E15" s="428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48">
        <v>9</v>
      </c>
      <c r="B16" s="428">
        <v>10898</v>
      </c>
      <c r="C16" s="428">
        <v>10932</v>
      </c>
      <c r="D16" s="428">
        <v>-36</v>
      </c>
      <c r="E16" s="428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48">
        <v>10</v>
      </c>
      <c r="B17" s="428">
        <v>11139</v>
      </c>
      <c r="C17" s="428">
        <v>10932</v>
      </c>
      <c r="D17" s="428">
        <v>-13</v>
      </c>
      <c r="E17" s="428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48">
        <v>11</v>
      </c>
      <c r="B18" s="428">
        <v>11928</v>
      </c>
      <c r="C18" s="428">
        <v>10932</v>
      </c>
      <c r="D18" s="428">
        <v>-37</v>
      </c>
      <c r="E18" s="428"/>
      <c r="F18" s="317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48">
        <v>12</v>
      </c>
      <c r="B19" s="428"/>
      <c r="C19" s="428"/>
      <c r="D19" s="428"/>
      <c r="E19" s="428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48">
        <v>13</v>
      </c>
      <c r="B20" s="428"/>
      <c r="C20" s="428"/>
      <c r="D20" s="428"/>
      <c r="E20" s="428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48">
        <v>14</v>
      </c>
      <c r="B21" s="428"/>
      <c r="C21" s="428"/>
      <c r="D21" s="428"/>
      <c r="E21" s="428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48">
        <v>15</v>
      </c>
      <c r="B22" s="428"/>
      <c r="C22" s="428"/>
      <c r="D22" s="428"/>
      <c r="E22" s="428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48">
        <v>16</v>
      </c>
      <c r="B23" s="428"/>
      <c r="C23" s="428"/>
      <c r="D23" s="428"/>
      <c r="E23" s="428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48">
        <v>17</v>
      </c>
      <c r="B24" s="428"/>
      <c r="C24" s="428"/>
      <c r="D24" s="428"/>
      <c r="E24" s="428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48">
        <v>18</v>
      </c>
      <c r="B25" s="428"/>
      <c r="C25" s="428"/>
      <c r="D25" s="428"/>
      <c r="E25" s="428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48">
        <v>19</v>
      </c>
      <c r="B26" s="428"/>
      <c r="C26" s="428"/>
      <c r="D26" s="428"/>
      <c r="E26" s="428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48">
        <v>20</v>
      </c>
      <c r="B27" s="455"/>
      <c r="C27" s="428"/>
      <c r="D27" s="428"/>
      <c r="E27" s="428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48">
        <v>21</v>
      </c>
      <c r="B28" s="428"/>
      <c r="C28" s="428"/>
      <c r="D28" s="428"/>
      <c r="E28" s="428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48">
        <v>22</v>
      </c>
      <c r="B29" s="428"/>
      <c r="C29" s="428"/>
      <c r="D29" s="428"/>
      <c r="E29" s="428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48">
        <v>23</v>
      </c>
      <c r="B30" s="428"/>
      <c r="C30" s="428"/>
      <c r="D30" s="428"/>
      <c r="E30" s="428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48">
        <v>24</v>
      </c>
      <c r="B31" s="428"/>
      <c r="C31" s="428"/>
      <c r="D31" s="428"/>
      <c r="E31" s="428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48">
        <v>25</v>
      </c>
      <c r="B32" s="428"/>
      <c r="C32" s="428"/>
      <c r="D32" s="428"/>
      <c r="E32" s="428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48">
        <v>26</v>
      </c>
      <c r="B33" s="428"/>
      <c r="C33" s="428"/>
      <c r="D33" s="428"/>
      <c r="E33" s="428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48">
        <v>27</v>
      </c>
      <c r="B34" s="428"/>
      <c r="C34" s="428"/>
      <c r="D34" s="428"/>
      <c r="E34" s="428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48">
        <v>28</v>
      </c>
      <c r="B35" s="428"/>
      <c r="C35" s="428"/>
      <c r="D35" s="428"/>
      <c r="E35" s="428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48">
        <v>29</v>
      </c>
      <c r="B36" s="428"/>
      <c r="C36" s="428"/>
      <c r="D36" s="428"/>
      <c r="E36" s="428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48">
        <v>30</v>
      </c>
      <c r="B37" s="428"/>
      <c r="C37" s="428"/>
      <c r="D37" s="428"/>
      <c r="E37" s="428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48">
        <v>31</v>
      </c>
      <c r="B38" s="428"/>
      <c r="C38" s="428"/>
      <c r="D38" s="428"/>
      <c r="E38" s="428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48"/>
      <c r="B39" s="428">
        <f>SUM(B8:B38)</f>
        <v>139008</v>
      </c>
      <c r="C39" s="428">
        <f>SUM(C8:C38)</f>
        <v>120186</v>
      </c>
      <c r="D39" s="428">
        <f>SUM(D8:D38)</f>
        <v>-359</v>
      </c>
      <c r="E39" s="428">
        <f>SUM(E8:E38)</f>
        <v>0</v>
      </c>
      <c r="F39" s="428">
        <f>SUM(F8:F38)</f>
        <v>-18463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49"/>
      <c r="B40" s="292"/>
      <c r="C40" s="450"/>
      <c r="D40" s="450"/>
      <c r="E40" s="450"/>
      <c r="F40" s="451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2">
        <f>+F40*F39</f>
        <v>-37295.26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3"/>
      <c r="D42" s="453"/>
      <c r="E42" s="453"/>
      <c r="F42" s="558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37236</v>
      </c>
      <c r="B43" s="292"/>
      <c r="C43" s="454"/>
      <c r="D43" s="454"/>
      <c r="E43" s="454"/>
      <c r="F43" s="434">
        <f>+F42+F41</f>
        <v>355094.32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57">
        <v>-260608</v>
      </c>
      <c r="E47" s="11"/>
    </row>
    <row r="48" spans="1:26" x14ac:dyDescent="0.2">
      <c r="A48" s="49">
        <f>+A43</f>
        <v>37236</v>
      </c>
      <c r="B48" s="32"/>
      <c r="C48" s="32"/>
      <c r="D48" s="363">
        <f>+F39</f>
        <v>-18463</v>
      </c>
      <c r="E48" s="11"/>
    </row>
    <row r="49" spans="1:5" x14ac:dyDescent="0.2">
      <c r="A49" s="32"/>
      <c r="B49" s="32"/>
      <c r="C49" s="32"/>
      <c r="D49" s="14">
        <f>+D48+D47</f>
        <v>-279071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6">
        <v>-833448</v>
      </c>
      <c r="C6" s="80"/>
      <c r="D6" s="80">
        <f t="shared" ref="D6:D14" si="0">+C6-B6</f>
        <v>833448</v>
      </c>
    </row>
    <row r="7" spans="1:4" x14ac:dyDescent="0.2">
      <c r="A7" s="32">
        <v>3531</v>
      </c>
      <c r="B7" s="319">
        <v>-337735</v>
      </c>
      <c r="C7" s="80">
        <v>-132143</v>
      </c>
      <c r="D7" s="80">
        <f t="shared" si="0"/>
        <v>205592</v>
      </c>
    </row>
    <row r="8" spans="1:4" x14ac:dyDescent="0.2">
      <c r="A8" s="32">
        <v>60667</v>
      </c>
      <c r="B8" s="319">
        <v>-9394</v>
      </c>
      <c r="C8" s="80">
        <v>-963908</v>
      </c>
      <c r="D8" s="80">
        <f t="shared" si="0"/>
        <v>-954514</v>
      </c>
    </row>
    <row r="9" spans="1:4" x14ac:dyDescent="0.2">
      <c r="A9" s="32">
        <v>60749</v>
      </c>
      <c r="B9" s="319">
        <v>16714</v>
      </c>
      <c r="C9" s="80">
        <v>-185859</v>
      </c>
      <c r="D9" s="80">
        <f t="shared" si="0"/>
        <v>-202573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-107375</v>
      </c>
      <c r="C11" s="80"/>
      <c r="D11" s="80">
        <f t="shared" si="0"/>
        <v>107375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-10672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-21557.439999999999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47">
        <v>723510.56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37236</v>
      </c>
      <c r="B24" s="69"/>
      <c r="C24" s="69"/>
      <c r="D24" s="343">
        <f>+D22+D20</f>
        <v>701953.12000000011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48">
        <v>125165</v>
      </c>
    </row>
    <row r="33" spans="1:4" x14ac:dyDescent="0.2">
      <c r="A33" s="49">
        <f>+A24</f>
        <v>37236</v>
      </c>
      <c r="D33" s="363">
        <f>+D18</f>
        <v>-10672</v>
      </c>
    </row>
    <row r="34" spans="1:4" x14ac:dyDescent="0.2">
      <c r="D34" s="14">
        <f>+D33+D32</f>
        <v>114493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6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-39398</v>
      </c>
      <c r="C5" s="90">
        <v>-19492</v>
      </c>
      <c r="D5" s="90">
        <f t="shared" ref="D5:D13" si="0">+C5-B5</f>
        <v>19906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-888354</v>
      </c>
      <c r="C7" s="90">
        <v>-1121791</v>
      </c>
      <c r="D7" s="90">
        <f t="shared" si="0"/>
        <v>-233437</v>
      </c>
      <c r="E7" s="282"/>
      <c r="F7" s="203"/>
    </row>
    <row r="8" spans="1:13" x14ac:dyDescent="0.2">
      <c r="A8" s="87">
        <v>58710</v>
      </c>
      <c r="B8" s="90">
        <v>-42802</v>
      </c>
      <c r="C8" s="90">
        <v>-30869</v>
      </c>
      <c r="D8" s="90">
        <f t="shared" si="0"/>
        <v>11933</v>
      </c>
      <c r="E8" s="282"/>
      <c r="F8" s="203"/>
    </row>
    <row r="9" spans="1:13" x14ac:dyDescent="0.2">
      <c r="A9" s="87">
        <v>60921</v>
      </c>
      <c r="B9" s="90">
        <v>-529081</v>
      </c>
      <c r="C9" s="90">
        <v>-300954</v>
      </c>
      <c r="D9" s="90">
        <f t="shared" si="0"/>
        <v>228127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21"/>
    </row>
    <row r="11" spans="1:13" x14ac:dyDescent="0.2">
      <c r="A11" s="87">
        <v>500084</v>
      </c>
      <c r="B11" s="90">
        <f>-23241-2261</f>
        <v>-25502</v>
      </c>
      <c r="C11" s="90">
        <v>-33000</v>
      </c>
      <c r="D11" s="90">
        <f t="shared" si="0"/>
        <v>-7498</v>
      </c>
      <c r="E11" s="283"/>
      <c r="F11" s="521"/>
    </row>
    <row r="12" spans="1:13" x14ac:dyDescent="0.2">
      <c r="A12" s="328">
        <v>500085</v>
      </c>
      <c r="B12" s="90">
        <v>-3058</v>
      </c>
      <c r="C12" s="90"/>
      <c r="D12" s="90">
        <f t="shared" si="0"/>
        <v>3058</v>
      </c>
      <c r="E12" s="282"/>
      <c r="F12" s="521"/>
    </row>
    <row r="13" spans="1:13" x14ac:dyDescent="0.2">
      <c r="A13" s="87">
        <v>500097</v>
      </c>
      <c r="B13" s="90">
        <v>-17244</v>
      </c>
      <c r="C13" s="90">
        <v>-11000</v>
      </c>
      <c r="D13" s="90">
        <f t="shared" si="0"/>
        <v>6244</v>
      </c>
      <c r="E13" s="282"/>
      <c r="F13" s="521"/>
    </row>
    <row r="14" spans="1:13" x14ac:dyDescent="0.2">
      <c r="A14" s="87"/>
      <c r="B14" s="90"/>
      <c r="C14" s="90"/>
      <c r="D14" s="90"/>
      <c r="E14" s="282"/>
      <c r="F14" s="521"/>
    </row>
    <row r="15" spans="1:13" x14ac:dyDescent="0.2">
      <c r="A15" s="87"/>
      <c r="B15" s="90"/>
      <c r="C15" s="90"/>
      <c r="D15" s="90"/>
      <c r="E15" s="282"/>
      <c r="F15" s="521"/>
    </row>
    <row r="16" spans="1:13" x14ac:dyDescent="0.2">
      <c r="A16" s="87"/>
      <c r="B16" s="88"/>
      <c r="C16" s="88"/>
      <c r="D16" s="94"/>
      <c r="E16" s="282"/>
      <c r="F16" s="521"/>
    </row>
    <row r="17" spans="1:7" x14ac:dyDescent="0.2">
      <c r="A17" s="87"/>
      <c r="B17" s="88"/>
      <c r="C17" s="88"/>
      <c r="D17" s="88">
        <f>SUM(D5:D16)</f>
        <v>28333</v>
      </c>
      <c r="E17" s="282"/>
      <c r="F17" s="521"/>
    </row>
    <row r="18" spans="1:7" x14ac:dyDescent="0.2">
      <c r="A18" s="87" t="s">
        <v>82</v>
      </c>
      <c r="B18" s="88"/>
      <c r="C18" s="88"/>
      <c r="D18" s="95">
        <f>+summary!H4</f>
        <v>2.02</v>
      </c>
      <c r="E18" s="284"/>
      <c r="F18" s="521"/>
    </row>
    <row r="19" spans="1:7" x14ac:dyDescent="0.2">
      <c r="A19" s="87"/>
      <c r="B19" s="88"/>
      <c r="C19" s="88"/>
      <c r="D19" s="96">
        <f>+D18*D17</f>
        <v>57232.66</v>
      </c>
      <c r="E19" s="209"/>
      <c r="F19" s="521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64">
        <v>504796.07</v>
      </c>
      <c r="E21" s="209"/>
      <c r="F21" s="522"/>
    </row>
    <row r="22" spans="1:7" x14ac:dyDescent="0.2">
      <c r="A22" s="87"/>
      <c r="B22" s="88"/>
      <c r="C22" s="88"/>
      <c r="D22" s="318"/>
      <c r="E22" s="209"/>
      <c r="F22" s="522"/>
    </row>
    <row r="23" spans="1:7" ht="13.5" thickBot="1" x14ac:dyDescent="0.25">
      <c r="A23" s="99">
        <v>37236</v>
      </c>
      <c r="B23" s="88"/>
      <c r="C23" s="88"/>
      <c r="D23" s="329">
        <f>+D21+D19</f>
        <v>562028.73</v>
      </c>
      <c r="E23" s="209"/>
      <c r="F23" s="522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57">
        <v>190825</v>
      </c>
    </row>
    <row r="29" spans="1:7" x14ac:dyDescent="0.2">
      <c r="A29" s="49">
        <f>+A23</f>
        <v>37236</v>
      </c>
      <c r="B29" s="32"/>
      <c r="C29" s="32"/>
      <c r="D29" s="363">
        <f>+D17</f>
        <v>28333</v>
      </c>
    </row>
    <row r="30" spans="1:7" x14ac:dyDescent="0.2">
      <c r="A30" s="32"/>
      <c r="B30" s="32"/>
      <c r="C30" s="32"/>
      <c r="D30" s="14">
        <f>+D29+D28</f>
        <v>219158</v>
      </c>
      <c r="E30" s="356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21"/>
      <c r="G44" s="206"/>
    </row>
    <row r="45" spans="1:7" x14ac:dyDescent="0.2">
      <c r="B45" s="69"/>
      <c r="C45" s="69"/>
      <c r="D45" s="302"/>
      <c r="E45" s="282"/>
      <c r="F45" s="521"/>
      <c r="G45" s="206"/>
    </row>
    <row r="46" spans="1:7" x14ac:dyDescent="0.2">
      <c r="A46" s="32"/>
      <c r="B46" s="69"/>
      <c r="C46" s="69"/>
      <c r="D46" s="282"/>
      <c r="E46" s="282"/>
      <c r="F46" s="521"/>
      <c r="G46" s="206"/>
    </row>
    <row r="47" spans="1:7" x14ac:dyDescent="0.2">
      <c r="A47" s="32"/>
      <c r="B47" s="69"/>
      <c r="C47" s="69"/>
      <c r="D47" s="284"/>
      <c r="E47" s="284"/>
      <c r="F47" s="521"/>
      <c r="G47" s="206"/>
    </row>
    <row r="48" spans="1:7" x14ac:dyDescent="0.2">
      <c r="B48" s="69"/>
      <c r="C48" s="69"/>
      <c r="D48" s="282"/>
      <c r="E48" s="282"/>
      <c r="F48" s="521"/>
      <c r="G48" s="206"/>
    </row>
    <row r="49" spans="1:7" x14ac:dyDescent="0.2">
      <c r="B49" s="69"/>
      <c r="C49" s="69"/>
      <c r="D49" s="282"/>
      <c r="E49" s="282"/>
      <c r="F49" s="521"/>
      <c r="G49" s="206"/>
    </row>
    <row r="50" spans="1:7" x14ac:dyDescent="0.2">
      <c r="C50" s="299"/>
      <c r="D50" s="299"/>
      <c r="E50" s="299"/>
      <c r="F50" s="523"/>
      <c r="G50" s="300"/>
    </row>
    <row r="51" spans="1:7" x14ac:dyDescent="0.2">
      <c r="A51" s="32"/>
      <c r="C51" s="299"/>
      <c r="D51" s="299"/>
      <c r="E51" s="299"/>
      <c r="F51" s="523"/>
    </row>
    <row r="52" spans="1:7" x14ac:dyDescent="0.2">
      <c r="A52" s="32"/>
      <c r="C52" s="299"/>
      <c r="D52" s="299"/>
      <c r="E52" s="299"/>
      <c r="F52" s="523"/>
    </row>
    <row r="53" spans="1:7" x14ac:dyDescent="0.2">
      <c r="A53" s="32"/>
      <c r="C53" s="299"/>
      <c r="D53" s="299"/>
      <c r="E53" s="299"/>
      <c r="F53" s="523"/>
    </row>
    <row r="54" spans="1:7" x14ac:dyDescent="0.2">
      <c r="A54" s="32"/>
      <c r="C54" s="299"/>
      <c r="D54" s="299"/>
      <c r="E54" s="299"/>
      <c r="F54" s="523"/>
    </row>
    <row r="55" spans="1:7" x14ac:dyDescent="0.2">
      <c r="A55" s="32"/>
      <c r="C55" s="299"/>
      <c r="D55" s="299"/>
      <c r="E55" s="285"/>
      <c r="F55" s="439"/>
    </row>
    <row r="56" spans="1:7" x14ac:dyDescent="0.2">
      <c r="C56" s="299"/>
      <c r="D56" s="299"/>
      <c r="E56" s="285"/>
      <c r="F56" s="439"/>
    </row>
    <row r="57" spans="1:7" x14ac:dyDescent="0.2">
      <c r="C57" s="299"/>
      <c r="D57" s="299"/>
      <c r="E57" s="285"/>
      <c r="F57" s="439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24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22"/>
    </row>
    <row r="101" spans="1:6" x14ac:dyDescent="0.2">
      <c r="A101" s="32"/>
      <c r="E101" s="63"/>
      <c r="F101" s="522"/>
    </row>
    <row r="102" spans="1:6" ht="13.5" thickBot="1" x14ac:dyDescent="0.25">
      <c r="A102" s="32"/>
      <c r="D102" s="68"/>
      <c r="E102" s="68"/>
      <c r="F102" s="522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24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22"/>
    </row>
    <row r="127" spans="1:6" x14ac:dyDescent="0.2">
      <c r="A127" s="32"/>
      <c r="D127" s="75"/>
      <c r="E127" s="75"/>
      <c r="F127" s="522"/>
    </row>
    <row r="128" spans="1:6" ht="13.5" thickBot="1" x14ac:dyDescent="0.25">
      <c r="A128" s="32"/>
      <c r="D128" s="77"/>
      <c r="E128" s="77"/>
      <c r="F128" s="522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24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22"/>
    </row>
    <row r="152" spans="1:6" x14ac:dyDescent="0.2">
      <c r="A152" s="32"/>
      <c r="D152" s="75"/>
      <c r="E152" s="75"/>
      <c r="F152" s="522"/>
    </row>
    <row r="153" spans="1:6" ht="13.5" thickBot="1" x14ac:dyDescent="0.25">
      <c r="A153" s="32"/>
      <c r="D153" s="77"/>
      <c r="E153" s="77"/>
      <c r="F153" s="522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24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22"/>
    </row>
    <row r="177" spans="1:6" x14ac:dyDescent="0.2">
      <c r="A177" s="32"/>
      <c r="D177" s="75"/>
      <c r="E177" s="75"/>
      <c r="F177" s="522"/>
    </row>
    <row r="178" spans="1:6" ht="13.5" thickBot="1" x14ac:dyDescent="0.25">
      <c r="A178" s="32"/>
      <c r="D178" s="77"/>
      <c r="E178" s="77"/>
      <c r="F178" s="522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24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22"/>
    </row>
    <row r="201" spans="1:6" x14ac:dyDescent="0.2">
      <c r="A201" s="32"/>
      <c r="D201" s="75"/>
      <c r="E201" s="75"/>
      <c r="F201" s="522"/>
    </row>
    <row r="202" spans="1:6" ht="13.5" thickBot="1" x14ac:dyDescent="0.25">
      <c r="A202" s="32"/>
      <c r="D202" s="83"/>
      <c r="E202" s="77"/>
      <c r="F202" s="522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24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22"/>
    </row>
    <row r="227" spans="1:6" x14ac:dyDescent="0.2">
      <c r="A227" s="32"/>
      <c r="D227" s="75"/>
      <c r="E227" s="75"/>
      <c r="F227" s="522"/>
    </row>
    <row r="228" spans="1:6" ht="13.5" thickBot="1" x14ac:dyDescent="0.25">
      <c r="A228" s="32"/>
      <c r="D228" s="83"/>
      <c r="E228" s="77"/>
      <c r="F228" s="522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24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22"/>
    </row>
    <row r="251" spans="1:6" x14ac:dyDescent="0.2">
      <c r="A251" s="32"/>
      <c r="D251" s="75"/>
      <c r="E251" s="75"/>
      <c r="F251" s="522"/>
    </row>
    <row r="252" spans="1:6" ht="13.5" thickBot="1" x14ac:dyDescent="0.25">
      <c r="A252" s="32"/>
      <c r="D252" s="86"/>
      <c r="E252" s="77"/>
      <c r="F252" s="522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24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22"/>
    </row>
    <row r="275" spans="1:6" x14ac:dyDescent="0.2">
      <c r="A275" s="87"/>
      <c r="B275" s="88"/>
      <c r="C275" s="88"/>
      <c r="D275" s="96"/>
      <c r="E275" s="75"/>
      <c r="F275" s="522"/>
    </row>
    <row r="276" spans="1:6" ht="13.5" thickBot="1" x14ac:dyDescent="0.25">
      <c r="A276" s="87"/>
      <c r="B276" s="88"/>
      <c r="C276" s="88"/>
      <c r="D276" s="98"/>
      <c r="E276" s="77"/>
      <c r="F276" s="522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24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22"/>
    </row>
    <row r="300" spans="1:6" x14ac:dyDescent="0.2">
      <c r="A300" s="87"/>
      <c r="B300" s="88"/>
      <c r="C300" s="88"/>
      <c r="D300" s="96"/>
      <c r="E300" s="75"/>
      <c r="F300" s="522"/>
    </row>
    <row r="301" spans="1:6" ht="13.5" thickBot="1" x14ac:dyDescent="0.25">
      <c r="A301" s="87"/>
      <c r="B301" s="88"/>
      <c r="C301" s="88"/>
      <c r="D301" s="98"/>
      <c r="E301" s="77"/>
      <c r="F301" s="522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24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22"/>
    </row>
    <row r="327" spans="1:6" x14ac:dyDescent="0.2">
      <c r="A327" s="87"/>
      <c r="B327" s="88"/>
      <c r="C327" s="88"/>
      <c r="D327" s="96"/>
      <c r="E327" s="75"/>
      <c r="F327" s="522"/>
    </row>
    <row r="328" spans="1:6" ht="13.5" thickBot="1" x14ac:dyDescent="0.25">
      <c r="A328" s="87"/>
      <c r="B328" s="88"/>
      <c r="C328" s="88"/>
      <c r="D328" s="98"/>
      <c r="E328" s="77"/>
      <c r="F328" s="522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7" sqref="C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4"/>
      <c r="J9" s="338"/>
      <c r="K9" s="338"/>
      <c r="L9" s="338"/>
      <c r="M9" s="493"/>
      <c r="N9" s="493"/>
      <c r="O9" s="493"/>
      <c r="P9" s="494"/>
      <c r="Q9" s="338"/>
      <c r="R9" s="338"/>
      <c r="S9" s="338"/>
      <c r="T9" s="493"/>
      <c r="U9" s="493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4">
        <v>37012</v>
      </c>
      <c r="J10" s="338">
        <v>1103057</v>
      </c>
      <c r="K10" s="338">
        <v>1120793</v>
      </c>
      <c r="L10" s="338">
        <f>+K10-J10</f>
        <v>17736</v>
      </c>
      <c r="M10" s="493">
        <v>4.01</v>
      </c>
      <c r="N10" s="493">
        <f>+L10*M10</f>
        <v>71121.36</v>
      </c>
      <c r="O10" s="493"/>
      <c r="P10" s="494">
        <v>37012</v>
      </c>
      <c r="Q10" s="338">
        <v>-202726</v>
      </c>
      <c r="R10" s="338">
        <v>-185000</v>
      </c>
      <c r="S10" s="338">
        <f t="shared" ref="S10:S15" si="1">+R10-Q10</f>
        <v>17726</v>
      </c>
      <c r="T10" s="493">
        <v>4.01</v>
      </c>
      <c r="U10" s="493">
        <f>+S10*T10</f>
        <v>71081.259999999995</v>
      </c>
      <c r="W10" s="495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4">
        <v>37043</v>
      </c>
      <c r="J11" s="338">
        <f>1647210-1647210+1654290</f>
        <v>1654290</v>
      </c>
      <c r="K11" s="338">
        <v>1681871</v>
      </c>
      <c r="L11" s="338">
        <f>+K11-J11</f>
        <v>27581</v>
      </c>
      <c r="M11" s="493">
        <v>3.51</v>
      </c>
      <c r="N11" s="493">
        <f>+L11*M11</f>
        <v>96809.31</v>
      </c>
      <c r="O11" s="493"/>
      <c r="P11" s="494">
        <v>37043</v>
      </c>
      <c r="Q11" s="338">
        <v>-153623</v>
      </c>
      <c r="R11" s="338">
        <v>-88473</v>
      </c>
      <c r="S11" s="338">
        <f t="shared" si="1"/>
        <v>65150</v>
      </c>
      <c r="T11" s="493">
        <v>3.51</v>
      </c>
      <c r="U11" s="493">
        <f>+S11*T11</f>
        <v>228676.5</v>
      </c>
      <c r="W11" s="495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94">
        <v>37073</v>
      </c>
      <c r="J12" s="338">
        <f>1305497-1305497+1309597</f>
        <v>1309597</v>
      </c>
      <c r="K12" s="338">
        <v>1270571</v>
      </c>
      <c r="L12" s="338">
        <f>+K12-J12</f>
        <v>-39026</v>
      </c>
      <c r="M12" s="493">
        <v>2.94</v>
      </c>
      <c r="N12" s="493">
        <f>+L12*M12</f>
        <v>-114736.44</v>
      </c>
      <c r="O12" s="493"/>
      <c r="P12" s="494">
        <v>37104</v>
      </c>
      <c r="Q12" s="338">
        <v>-34269</v>
      </c>
      <c r="R12" s="338">
        <v>-27046</v>
      </c>
      <c r="S12" s="338">
        <f t="shared" si="1"/>
        <v>7223</v>
      </c>
      <c r="T12" s="493">
        <v>2.85</v>
      </c>
      <c r="U12" s="493">
        <f>+S12*T12</f>
        <v>20585.55</v>
      </c>
      <c r="W12" s="495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94">
        <v>37104</v>
      </c>
      <c r="J13" s="338">
        <f>1436775-1436775+1438269</f>
        <v>1438269</v>
      </c>
      <c r="K13" s="338">
        <v>1418897</v>
      </c>
      <c r="L13" s="338">
        <f>+K13-J13</f>
        <v>-19372</v>
      </c>
      <c r="M13" s="493">
        <v>2.85</v>
      </c>
      <c r="N13" s="493">
        <f>+L13*M13</f>
        <v>-55210.200000000004</v>
      </c>
      <c r="O13" s="493"/>
      <c r="P13" s="494">
        <v>37135</v>
      </c>
      <c r="Q13" s="338">
        <v>-1191628</v>
      </c>
      <c r="R13" s="338">
        <v>-1210937</v>
      </c>
      <c r="S13" s="338">
        <f t="shared" si="1"/>
        <v>-19309</v>
      </c>
      <c r="T13" s="493">
        <v>1.96</v>
      </c>
      <c r="U13" s="493">
        <f>+S13*T13</f>
        <v>-37845.64</v>
      </c>
      <c r="W13" s="495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94">
        <v>37135</v>
      </c>
      <c r="J14" s="338">
        <v>1109912</v>
      </c>
      <c r="K14" s="338">
        <v>1111335</v>
      </c>
      <c r="L14" s="338">
        <f>+K14-J14</f>
        <v>1423</v>
      </c>
      <c r="M14" s="493">
        <v>1.96</v>
      </c>
      <c r="N14" s="496">
        <f>+L14*M14</f>
        <v>2789.08</v>
      </c>
      <c r="O14" s="493"/>
      <c r="P14" s="494"/>
      <c r="Q14" s="338"/>
      <c r="R14" s="338"/>
      <c r="S14" s="338">
        <f t="shared" si="1"/>
        <v>0</v>
      </c>
      <c r="T14" s="493"/>
      <c r="U14" s="493"/>
      <c r="W14" s="495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94"/>
      <c r="J15" s="338"/>
      <c r="K15" s="338"/>
      <c r="L15" s="338"/>
      <c r="M15" s="493"/>
      <c r="N15" s="493"/>
      <c r="O15" s="493"/>
      <c r="P15" s="494"/>
      <c r="Q15" s="338"/>
      <c r="R15" s="338"/>
      <c r="S15" s="338">
        <f t="shared" si="1"/>
        <v>0</v>
      </c>
      <c r="T15" s="493"/>
      <c r="U15" s="493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94" t="s">
        <v>250</v>
      </c>
      <c r="J16" s="338"/>
      <c r="K16" s="338"/>
      <c r="L16" s="338">
        <f>SUM(L10:L15)</f>
        <v>-11658</v>
      </c>
      <c r="M16" s="493"/>
      <c r="N16" s="493">
        <f>SUM(N9:N15)</f>
        <v>773.10999999997694</v>
      </c>
      <c r="O16" s="493"/>
      <c r="P16" s="494" t="s">
        <v>250</v>
      </c>
      <c r="Q16" s="338"/>
      <c r="R16" s="338"/>
      <c r="S16" s="338">
        <f>SUM(S9:S15)</f>
        <v>70790</v>
      </c>
      <c r="T16" s="493"/>
      <c r="U16" s="493">
        <f>SUM(U9:U15)</f>
        <v>282497.67</v>
      </c>
    </row>
    <row r="17" spans="1:21" x14ac:dyDescent="0.2">
      <c r="A17">
        <v>15</v>
      </c>
      <c r="B17" s="88"/>
      <c r="C17" s="88"/>
      <c r="D17" s="338"/>
      <c r="E17" s="338"/>
      <c r="F17" s="90">
        <f t="shared" si="0"/>
        <v>0</v>
      </c>
    </row>
    <row r="18" spans="1:21" x14ac:dyDescent="0.2">
      <c r="A18">
        <v>16</v>
      </c>
      <c r="B18" s="88"/>
      <c r="C18" s="88"/>
      <c r="D18" s="338"/>
      <c r="E18" s="338"/>
      <c r="F18" s="90">
        <f t="shared" si="0"/>
        <v>0</v>
      </c>
      <c r="I18" s="494" t="s">
        <v>251</v>
      </c>
      <c r="J18" s="338"/>
      <c r="K18" s="338"/>
      <c r="L18" s="338">
        <v>19880</v>
      </c>
      <c r="M18" s="493"/>
      <c r="N18" s="493"/>
      <c r="O18" s="493"/>
      <c r="P18" s="494" t="s">
        <v>251</v>
      </c>
      <c r="Q18" s="338"/>
      <c r="R18" s="338"/>
      <c r="S18" s="338">
        <v>37185</v>
      </c>
      <c r="T18" s="493"/>
      <c r="U18" s="493"/>
    </row>
    <row r="19" spans="1:21" x14ac:dyDescent="0.2">
      <c r="A19">
        <v>17</v>
      </c>
      <c r="B19" s="88"/>
      <c r="C19" s="88"/>
      <c r="D19" s="338"/>
      <c r="E19" s="338"/>
      <c r="F19" s="90">
        <f t="shared" si="0"/>
        <v>0</v>
      </c>
      <c r="I19" s="494"/>
      <c r="J19" s="338"/>
      <c r="K19" s="338"/>
      <c r="L19" s="338"/>
      <c r="M19" s="493"/>
      <c r="N19" s="493"/>
      <c r="O19" s="493"/>
      <c r="P19" s="494"/>
      <c r="Q19" s="338"/>
      <c r="R19" s="338"/>
      <c r="S19" s="338"/>
      <c r="T19" s="493"/>
      <c r="U19" s="493"/>
    </row>
    <row r="20" spans="1:21" x14ac:dyDescent="0.2">
      <c r="A20">
        <v>18</v>
      </c>
      <c r="B20" s="338"/>
      <c r="C20" s="338"/>
      <c r="D20" s="338"/>
      <c r="E20" s="338"/>
      <c r="F20" s="90">
        <f t="shared" si="0"/>
        <v>0</v>
      </c>
      <c r="I20" s="494"/>
      <c r="J20" s="338"/>
      <c r="K20" s="338"/>
      <c r="L20" s="338"/>
      <c r="M20" s="493"/>
      <c r="N20" s="493"/>
      <c r="O20" s="493"/>
      <c r="P20" s="494"/>
      <c r="Q20" s="338"/>
      <c r="R20" s="338"/>
      <c r="S20" s="338"/>
      <c r="T20" s="493"/>
      <c r="U20" s="493"/>
    </row>
    <row r="21" spans="1:21" x14ac:dyDescent="0.2">
      <c r="A21">
        <v>19</v>
      </c>
      <c r="B21" s="338"/>
      <c r="C21" s="338"/>
      <c r="D21" s="338"/>
      <c r="E21" s="338"/>
      <c r="F21" s="90">
        <f t="shared" si="0"/>
        <v>0</v>
      </c>
      <c r="I21" s="494"/>
      <c r="J21" s="338"/>
      <c r="K21" s="338"/>
      <c r="L21" s="338"/>
      <c r="M21" s="493"/>
      <c r="N21" s="493"/>
      <c r="O21" s="493"/>
      <c r="P21" s="494"/>
      <c r="Q21" s="338"/>
      <c r="R21" s="338"/>
      <c r="S21" s="338"/>
      <c r="T21" s="493"/>
      <c r="U21" s="493"/>
    </row>
    <row r="22" spans="1:21" x14ac:dyDescent="0.2">
      <c r="A22">
        <v>20</v>
      </c>
      <c r="B22" s="445"/>
      <c r="C22" s="338"/>
      <c r="D22" s="338"/>
      <c r="E22" s="338"/>
      <c r="F22" s="90">
        <f t="shared" si="0"/>
        <v>0</v>
      </c>
      <c r="I22" s="494"/>
      <c r="J22" s="338"/>
      <c r="K22" s="338"/>
      <c r="L22" s="338"/>
      <c r="M22" s="493"/>
      <c r="N22" s="493"/>
      <c r="O22" s="493"/>
      <c r="P22" s="494"/>
      <c r="Q22" s="338"/>
      <c r="R22" s="338"/>
      <c r="S22" s="338"/>
      <c r="T22" s="493"/>
      <c r="U22" s="493"/>
    </row>
    <row r="23" spans="1:21" x14ac:dyDescent="0.2">
      <c r="A23">
        <v>21</v>
      </c>
      <c r="B23" s="338"/>
      <c r="C23" s="338"/>
      <c r="D23" s="338"/>
      <c r="E23" s="338"/>
      <c r="F23" s="90">
        <f t="shared" si="0"/>
        <v>0</v>
      </c>
      <c r="I23" s="494"/>
      <c r="J23" s="338"/>
      <c r="K23" s="338"/>
      <c r="L23" s="338"/>
      <c r="M23" s="493"/>
      <c r="N23" s="493"/>
      <c r="O23" s="493"/>
      <c r="P23" s="494"/>
      <c r="Q23" s="338"/>
      <c r="R23" s="338"/>
      <c r="S23" s="338"/>
      <c r="T23" s="493"/>
      <c r="U23" s="493"/>
    </row>
    <row r="24" spans="1:21" x14ac:dyDescent="0.2">
      <c r="A24">
        <v>22</v>
      </c>
      <c r="B24" s="338"/>
      <c r="C24" s="338"/>
      <c r="D24" s="338"/>
      <c r="E24" s="338"/>
      <c r="F24" s="90">
        <f t="shared" si="0"/>
        <v>0</v>
      </c>
      <c r="I24" s="87"/>
      <c r="J24" s="87"/>
      <c r="K24" s="87"/>
      <c r="L24" s="87"/>
      <c r="M24" s="493"/>
      <c r="N24" s="493"/>
      <c r="O24" s="493"/>
      <c r="P24" s="87"/>
      <c r="Q24" s="87"/>
      <c r="R24" s="87"/>
      <c r="S24" s="338"/>
      <c r="T24" s="493"/>
      <c r="U24" s="493"/>
    </row>
    <row r="25" spans="1:21" x14ac:dyDescent="0.2">
      <c r="A25">
        <v>23</v>
      </c>
      <c r="B25" s="338"/>
      <c r="C25" s="338"/>
      <c r="D25" s="338"/>
      <c r="E25" s="338"/>
      <c r="F25" s="90">
        <f t="shared" si="0"/>
        <v>0</v>
      </c>
      <c r="I25" s="87"/>
      <c r="J25" s="87"/>
      <c r="K25" s="87"/>
      <c r="L25" s="87"/>
      <c r="M25" s="493"/>
      <c r="N25" s="493"/>
      <c r="O25" s="493"/>
      <c r="P25" s="87"/>
      <c r="Q25" s="87"/>
      <c r="R25" s="87"/>
      <c r="S25" s="338"/>
      <c r="T25" s="493"/>
      <c r="U25" s="493"/>
    </row>
    <row r="26" spans="1:21" x14ac:dyDescent="0.2">
      <c r="A26">
        <v>24</v>
      </c>
      <c r="B26" s="338"/>
      <c r="C26" s="338"/>
      <c r="D26" s="338"/>
      <c r="E26" s="338"/>
      <c r="F26" s="90">
        <f t="shared" si="0"/>
        <v>0</v>
      </c>
      <c r="I26" s="87"/>
      <c r="J26" s="87"/>
      <c r="K26" s="87"/>
      <c r="L26" s="87"/>
      <c r="M26" s="493"/>
      <c r="N26" s="493"/>
      <c r="O26" s="493"/>
      <c r="P26" s="87"/>
      <c r="Q26" s="87"/>
      <c r="R26" s="87"/>
      <c r="S26" s="338"/>
      <c r="T26" s="493"/>
      <c r="U26" s="493"/>
    </row>
    <row r="27" spans="1:21" x14ac:dyDescent="0.2">
      <c r="A27">
        <v>25</v>
      </c>
      <c r="B27" s="338"/>
      <c r="C27" s="338"/>
      <c r="D27" s="338"/>
      <c r="E27" s="338"/>
      <c r="F27" s="90">
        <f t="shared" si="0"/>
        <v>0</v>
      </c>
      <c r="I27" s="87"/>
      <c r="J27" s="87"/>
      <c r="K27" s="87"/>
      <c r="L27" s="87"/>
      <c r="M27" s="493"/>
      <c r="N27" s="493"/>
      <c r="O27" s="493"/>
      <c r="P27" s="87"/>
      <c r="Q27" s="87"/>
      <c r="R27" s="87"/>
      <c r="S27" s="338"/>
      <c r="T27" s="493"/>
      <c r="U27" s="493"/>
    </row>
    <row r="28" spans="1:21" x14ac:dyDescent="0.2">
      <c r="A28">
        <v>26</v>
      </c>
      <c r="B28" s="338"/>
      <c r="C28" s="338"/>
      <c r="D28" s="14"/>
      <c r="E28" s="14"/>
      <c r="F28" s="90">
        <f t="shared" si="0"/>
        <v>0</v>
      </c>
      <c r="I28" s="87"/>
      <c r="J28" s="87"/>
      <c r="K28" s="87"/>
      <c r="L28" s="87"/>
      <c r="M28" s="493"/>
      <c r="N28" s="493"/>
      <c r="O28" s="493"/>
      <c r="P28" s="87"/>
      <c r="Q28" s="87"/>
      <c r="R28" s="87"/>
      <c r="S28" s="87"/>
      <c r="T28" s="493"/>
      <c r="U28" s="493"/>
    </row>
    <row r="29" spans="1:21" x14ac:dyDescent="0.2">
      <c r="A29">
        <v>27</v>
      </c>
      <c r="B29" s="338"/>
      <c r="C29" s="338"/>
      <c r="D29" s="14"/>
      <c r="E29" s="14"/>
      <c r="F29" s="90">
        <f t="shared" si="0"/>
        <v>0</v>
      </c>
      <c r="I29" s="87"/>
      <c r="J29" s="87"/>
      <c r="K29" s="87"/>
      <c r="L29" s="87"/>
      <c r="M29" s="493"/>
      <c r="N29" s="493"/>
      <c r="O29" s="493"/>
      <c r="P29" s="87"/>
      <c r="Q29" s="87"/>
      <c r="R29" s="87"/>
      <c r="S29" s="87"/>
      <c r="T29" s="493"/>
      <c r="U29" s="493"/>
    </row>
    <row r="30" spans="1:21" x14ac:dyDescent="0.2">
      <c r="A30">
        <v>28</v>
      </c>
      <c r="B30" s="445"/>
      <c r="C30" s="338"/>
      <c r="D30" s="14"/>
      <c r="E30" s="14"/>
      <c r="F30" s="90">
        <f t="shared" si="0"/>
        <v>0</v>
      </c>
      <c r="I30" s="87"/>
      <c r="J30" s="87"/>
      <c r="K30" s="87"/>
      <c r="L30" s="87"/>
      <c r="M30" s="493"/>
      <c r="N30" s="493"/>
      <c r="O30" s="493"/>
      <c r="P30" s="87"/>
      <c r="Q30" s="87"/>
      <c r="R30" s="87"/>
      <c r="S30" s="87"/>
      <c r="T30" s="493"/>
      <c r="U30" s="493"/>
    </row>
    <row r="31" spans="1:21" x14ac:dyDescent="0.2">
      <c r="A31">
        <v>29</v>
      </c>
      <c r="B31" s="338"/>
      <c r="C31" s="338"/>
      <c r="D31" s="14"/>
      <c r="E31" s="14"/>
      <c r="F31" s="90">
        <f t="shared" si="0"/>
        <v>0</v>
      </c>
      <c r="I31" s="87"/>
      <c r="J31" s="87"/>
      <c r="K31" s="87"/>
      <c r="L31" s="87"/>
      <c r="M31" s="493"/>
      <c r="N31" s="493"/>
      <c r="O31" s="493"/>
      <c r="P31" s="87"/>
      <c r="Q31" s="87"/>
      <c r="R31" s="87"/>
      <c r="S31" s="87"/>
      <c r="T31" s="493"/>
      <c r="U31" s="493"/>
    </row>
    <row r="32" spans="1:21" x14ac:dyDescent="0.2">
      <c r="A32">
        <v>30</v>
      </c>
      <c r="B32" s="338"/>
      <c r="C32" s="338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38"/>
      <c r="C33" s="338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239344</v>
      </c>
      <c r="C34" s="294">
        <f>SUM(C3:C33)</f>
        <v>240265</v>
      </c>
      <c r="D34" s="14">
        <f>SUM(D3:D33)</f>
        <v>-28160</v>
      </c>
      <c r="E34" s="14">
        <f>SUM(E3:E33)</f>
        <v>-69643</v>
      </c>
      <c r="F34" s="14">
        <f>SUM(F3:F33)</f>
        <v>-40562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2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08">
        <v>159450</v>
      </c>
      <c r="M37" s="264"/>
      <c r="N37" s="264"/>
      <c r="O37" s="264"/>
      <c r="T37" s="264"/>
      <c r="U37" s="264"/>
    </row>
    <row r="38" spans="1:21" x14ac:dyDescent="0.2">
      <c r="A38" s="261">
        <v>37236</v>
      </c>
      <c r="B38" s="14"/>
      <c r="C38" s="14"/>
      <c r="D38" s="14"/>
      <c r="E38" s="14"/>
      <c r="F38" s="150">
        <f>+F37+F34</f>
        <v>118888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46">
        <v>416892</v>
      </c>
      <c r="F43" s="300"/>
      <c r="M43" s="264"/>
      <c r="N43" s="264"/>
      <c r="O43" s="264"/>
    </row>
    <row r="44" spans="1:21" x14ac:dyDescent="0.2">
      <c r="A44" s="49">
        <f>+A38</f>
        <v>37236</v>
      </c>
      <c r="B44" s="32"/>
      <c r="C44" s="32"/>
      <c r="D44" s="390">
        <f>+F34*'by type_area'!J4</f>
        <v>-81935.240000000005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334956.76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62">
        <v>176934</v>
      </c>
    </row>
    <row r="39" spans="1:4" x14ac:dyDescent="0.2">
      <c r="A39" s="2"/>
      <c r="D39" s="24"/>
    </row>
    <row r="40" spans="1:4" x14ac:dyDescent="0.2">
      <c r="A40" s="57">
        <v>37235</v>
      </c>
      <c r="D40" s="51">
        <f>+D38+D35</f>
        <v>180212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60">
        <v>177562.79</v>
      </c>
    </row>
    <row r="46" spans="1:4" x14ac:dyDescent="0.2">
      <c r="A46" s="49">
        <f>+A40</f>
        <v>37235</v>
      </c>
      <c r="B46" s="32"/>
      <c r="C46" s="32"/>
      <c r="D46" s="390">
        <f>+D35*'by type_area'!J4</f>
        <v>6621.56</v>
      </c>
    </row>
    <row r="47" spans="1:4" x14ac:dyDescent="0.2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255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56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37235</v>
      </c>
      <c r="J41" s="330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57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37235</v>
      </c>
      <c r="B47" s="32"/>
      <c r="C47" s="32"/>
      <c r="D47" s="363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37195</v>
      </c>
      <c r="E40" s="14"/>
      <c r="F40" s="565">
        <v>389644.14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37225</v>
      </c>
      <c r="E41" s="14"/>
      <c r="F41" s="104">
        <f>+F40+F39</f>
        <v>385282.96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57">
        <v>-7465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3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3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">
      <c r="A40" s="26"/>
      <c r="C40" s="14"/>
      <c r="F40" s="258">
        <f>+summary!H4</f>
        <v>2.02</v>
      </c>
    </row>
    <row r="41" spans="1:6" x14ac:dyDescent="0.2">
      <c r="F41" s="138">
        <f>+F40*F39</f>
        <v>1373.6</v>
      </c>
    </row>
    <row r="42" spans="1:6" x14ac:dyDescent="0.2">
      <c r="A42" s="57">
        <v>37225</v>
      </c>
      <c r="C42" s="15"/>
      <c r="F42" s="567">
        <v>28945.49</v>
      </c>
    </row>
    <row r="43" spans="1:6" x14ac:dyDescent="0.2">
      <c r="A43" s="57">
        <v>37235</v>
      </c>
      <c r="C43" s="48"/>
      <c r="F43" s="138">
        <f>+F42+F41</f>
        <v>30319.09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57">
        <v>-1615</v>
      </c>
    </row>
    <row r="49" spans="1:4" x14ac:dyDescent="0.2">
      <c r="A49" s="49">
        <f>+A43</f>
        <v>37235</v>
      </c>
      <c r="B49" s="32"/>
      <c r="C49" s="32"/>
      <c r="D49" s="363">
        <f>+F39</f>
        <v>680</v>
      </c>
    </row>
    <row r="50" spans="1:4" x14ac:dyDescent="0.2">
      <c r="A50" s="32"/>
      <c r="B50" s="32"/>
      <c r="C50" s="32"/>
      <c r="D50" s="14">
        <f>+D49+D48</f>
        <v>-935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97"/>
    </row>
    <row r="41" spans="1:4" x14ac:dyDescent="0.2">
      <c r="A41" s="57">
        <v>37225</v>
      </c>
      <c r="C41" s="15"/>
      <c r="D41" s="507">
        <v>16648</v>
      </c>
    </row>
    <row r="42" spans="1:4" x14ac:dyDescent="0.2">
      <c r="A42" s="57">
        <v>37235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15">
        <v>383998.2</v>
      </c>
    </row>
    <row r="48" spans="1:4" x14ac:dyDescent="0.2">
      <c r="A48" s="49">
        <f>+A42</f>
        <v>37235</v>
      </c>
      <c r="B48" s="32"/>
      <c r="C48" s="32"/>
      <c r="D48" s="390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9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0" t="s">
        <v>20</v>
      </c>
      <c r="I7" s="430" t="s">
        <v>21</v>
      </c>
      <c r="J7" s="431" t="s">
        <v>50</v>
      </c>
      <c r="K7" s="429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9">
        <v>5.62</v>
      </c>
      <c r="L8" s="434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9">
        <v>4.9800000000000004</v>
      </c>
      <c r="L9" s="434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9">
        <v>4.87</v>
      </c>
      <c r="L10" s="434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9">
        <v>3.82</v>
      </c>
      <c r="L11" s="434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9">
        <v>3.2</v>
      </c>
      <c r="L12" s="434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9">
        <v>2.77</v>
      </c>
      <c r="L13" s="434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9">
        <v>2.77</v>
      </c>
      <c r="L14" s="434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6"/>
      <c r="H15" s="119"/>
      <c r="I15" s="119"/>
      <c r="J15" s="119"/>
      <c r="K15" s="429"/>
      <c r="L15" s="434"/>
      <c r="M15" s="104"/>
      <c r="N15" s="34"/>
    </row>
    <row r="16" spans="1:14" ht="15" customHeight="1" x14ac:dyDescent="0.2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7"/>
      <c r="H16" s="34"/>
      <c r="I16" s="34"/>
      <c r="J16" s="189"/>
      <c r="K16" s="429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57"/>
      <c r="H17" s="34"/>
      <c r="I17" s="34"/>
      <c r="J17" s="317">
        <f>SUM(J8:J16)</f>
        <v>130492</v>
      </c>
      <c r="K17" s="429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9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29">
        <f>+D38</f>
        <v>2.02</v>
      </c>
      <c r="L19" s="434">
        <f>+K19*J19</f>
        <v>41725.120000000003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9"/>
      <c r="L20" s="434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5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5"/>
      <c r="L24" s="110">
        <f>+L19+L17</f>
        <v>123410.21999999983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5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5"/>
      <c r="L26" s="24">
        <f>+L24/K19</f>
        <v>61094.168316831594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5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5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41725.120000000003</v>
      </c>
    </row>
    <row r="40" spans="1:4" x14ac:dyDescent="0.2">
      <c r="A40" s="57">
        <v>37225</v>
      </c>
      <c r="C40" s="15"/>
      <c r="D40" s="567">
        <v>51989</v>
      </c>
    </row>
    <row r="41" spans="1:4" x14ac:dyDescent="0.2">
      <c r="A41" s="57">
        <v>37236</v>
      </c>
      <c r="C41" s="48"/>
      <c r="D41" s="138">
        <f>+D40+D39</f>
        <v>93714.12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57">
        <v>116707</v>
      </c>
    </row>
    <row r="46" spans="1:4" x14ac:dyDescent="0.2">
      <c r="A46" s="49">
        <f>+A41</f>
        <v>37236</v>
      </c>
      <c r="B46" s="32"/>
      <c r="C46" s="32"/>
      <c r="D46" s="363">
        <f>+D37</f>
        <v>20656</v>
      </c>
    </row>
    <row r="47" spans="1:4" x14ac:dyDescent="0.2">
      <c r="A47" s="32"/>
      <c r="B47" s="32"/>
      <c r="C47" s="32"/>
      <c r="D47" s="14">
        <f>+D46+D45</f>
        <v>137363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1" t="s">
        <v>168</v>
      </c>
      <c r="B3" s="462"/>
      <c r="C3" s="463"/>
      <c r="E3" s="149"/>
    </row>
    <row r="4" spans="1:50" x14ac:dyDescent="0.2">
      <c r="A4" s="206"/>
      <c r="B4" s="464"/>
      <c r="C4" s="464"/>
      <c r="D4" s="464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65" t="s">
        <v>90</v>
      </c>
      <c r="B5" s="466">
        <v>36861</v>
      </c>
      <c r="C5" s="466">
        <v>36892</v>
      </c>
      <c r="D5" s="467">
        <v>36923</v>
      </c>
      <c r="E5" s="467">
        <v>36951</v>
      </c>
      <c r="F5" s="467">
        <v>36982</v>
      </c>
      <c r="G5" s="467">
        <v>37012</v>
      </c>
      <c r="H5" s="473">
        <v>37043</v>
      </c>
      <c r="I5" s="468">
        <v>37073</v>
      </c>
      <c r="J5" s="468">
        <v>37104</v>
      </c>
      <c r="K5" s="468">
        <v>37135</v>
      </c>
      <c r="L5" s="498">
        <f>+Mojave!A40</f>
        <v>37235</v>
      </c>
      <c r="M5" s="469"/>
      <c r="N5" s="470"/>
      <c r="O5" s="469"/>
      <c r="P5" s="469"/>
      <c r="Q5" s="469"/>
      <c r="R5" s="469"/>
      <c r="S5" s="469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</row>
    <row r="6" spans="1:50" x14ac:dyDescent="0.2">
      <c r="A6" s="471"/>
      <c r="B6" s="475"/>
      <c r="C6" s="475"/>
      <c r="D6" s="475"/>
      <c r="E6" s="475"/>
      <c r="F6" s="475"/>
      <c r="G6" s="475"/>
      <c r="H6" s="479"/>
      <c r="I6" s="479"/>
      <c r="J6" s="479"/>
      <c r="K6" s="479"/>
      <c r="L6" s="479"/>
      <c r="M6" s="475"/>
      <c r="N6" s="475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</row>
    <row r="7" spans="1:50" x14ac:dyDescent="0.2">
      <c r="A7" s="206" t="s">
        <v>95</v>
      </c>
      <c r="B7" s="475">
        <v>75659</v>
      </c>
      <c r="C7" s="474">
        <v>63393</v>
      </c>
      <c r="D7" s="475">
        <v>41052</v>
      </c>
      <c r="E7" s="475">
        <v>3829</v>
      </c>
      <c r="F7" s="475">
        <v>26482</v>
      </c>
      <c r="G7" s="476">
        <v>3949</v>
      </c>
      <c r="H7" s="475">
        <v>133095</v>
      </c>
      <c r="I7" s="475">
        <v>135803</v>
      </c>
      <c r="J7" s="475">
        <v>151464</v>
      </c>
      <c r="K7" s="475">
        <v>134900.51</v>
      </c>
      <c r="L7" s="475">
        <f>+Mojave!D40</f>
        <v>180212</v>
      </c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</row>
    <row r="8" spans="1:50" x14ac:dyDescent="0.2">
      <c r="A8" s="206" t="s">
        <v>33</v>
      </c>
      <c r="B8" s="475">
        <v>-42847</v>
      </c>
      <c r="C8" s="474">
        <v>-2392</v>
      </c>
      <c r="D8" s="475">
        <v>-1948</v>
      </c>
      <c r="E8" s="475">
        <v>47976</v>
      </c>
      <c r="F8" s="475">
        <v>39224</v>
      </c>
      <c r="G8" s="476">
        <v>-21565</v>
      </c>
      <c r="H8" s="475">
        <v>123192</v>
      </c>
      <c r="I8" s="475">
        <v>145102</v>
      </c>
      <c r="J8" s="475">
        <v>151133</v>
      </c>
      <c r="K8" s="475">
        <v>294649</v>
      </c>
      <c r="L8" s="475">
        <f>+SoCal!F40</f>
        <v>157452</v>
      </c>
      <c r="M8" s="475"/>
      <c r="N8" s="475"/>
      <c r="O8" s="475"/>
      <c r="P8" s="475"/>
      <c r="Q8" s="475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7"/>
      <c r="AJ8" s="477"/>
      <c r="AK8" s="477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7"/>
      <c r="AX8" s="477"/>
    </row>
    <row r="9" spans="1:50" x14ac:dyDescent="0.2">
      <c r="A9" s="206" t="s">
        <v>115</v>
      </c>
      <c r="B9" s="475">
        <v>147492</v>
      </c>
      <c r="C9" s="474">
        <v>59676</v>
      </c>
      <c r="D9" s="475">
        <v>69410</v>
      </c>
      <c r="E9" s="475">
        <v>93592</v>
      </c>
      <c r="F9" s="475">
        <v>38770</v>
      </c>
      <c r="G9" s="476">
        <v>-10045</v>
      </c>
      <c r="H9" s="475">
        <v>-12760</v>
      </c>
      <c r="I9" s="475">
        <v>24900</v>
      </c>
      <c r="J9" s="475">
        <v>43542</v>
      </c>
      <c r="K9" s="475">
        <v>73067</v>
      </c>
      <c r="L9" s="475">
        <f>+'PG&amp;E'!D40</f>
        <v>82027</v>
      </c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7"/>
      <c r="AJ9" s="477"/>
      <c r="AK9" s="477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7"/>
      <c r="AX9" s="477"/>
    </row>
    <row r="10" spans="1:50" x14ac:dyDescent="0.2">
      <c r="A10" s="206" t="s">
        <v>186</v>
      </c>
      <c r="B10" s="475">
        <v>-7121</v>
      </c>
      <c r="C10" s="475">
        <v>-7121</v>
      </c>
      <c r="D10" s="475">
        <v>-7121</v>
      </c>
      <c r="E10" s="475">
        <v>23739</v>
      </c>
      <c r="F10" s="475">
        <v>47545</v>
      </c>
      <c r="G10" s="475">
        <v>47545</v>
      </c>
      <c r="H10" s="475">
        <v>50521</v>
      </c>
      <c r="I10" s="475">
        <v>64269</v>
      </c>
      <c r="J10" s="475">
        <v>64269</v>
      </c>
      <c r="K10" s="475">
        <v>64269</v>
      </c>
      <c r="L10" s="475">
        <f>+'El Paso'!C39</f>
        <v>64166</v>
      </c>
      <c r="M10" s="475"/>
      <c r="N10" s="475"/>
      <c r="O10" s="475"/>
      <c r="P10" s="475"/>
      <c r="Q10" s="475"/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5"/>
      <c r="AC10" s="475"/>
      <c r="AD10" s="475"/>
      <c r="AE10" s="475"/>
      <c r="AF10" s="475"/>
      <c r="AG10" s="475"/>
      <c r="AH10" s="475"/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</row>
    <row r="11" spans="1:50" x14ac:dyDescent="0.2">
      <c r="A11" s="206" t="s">
        <v>209</v>
      </c>
      <c r="B11" s="475">
        <v>-32074</v>
      </c>
      <c r="C11" s="474">
        <v>-32074</v>
      </c>
      <c r="D11" s="475">
        <v>-25783</v>
      </c>
      <c r="E11" s="475">
        <v>-25783</v>
      </c>
      <c r="F11" s="475">
        <v>19880</v>
      </c>
      <c r="G11" s="476">
        <v>37616</v>
      </c>
      <c r="H11" s="476">
        <v>72277</v>
      </c>
      <c r="I11" s="475">
        <v>30271</v>
      </c>
      <c r="J11" s="475">
        <v>12393</v>
      </c>
      <c r="K11" s="475">
        <v>8222</v>
      </c>
      <c r="L11" s="475">
        <f>+NGPL!C34-NGPL!B34+volvalue!K11</f>
        <v>9143</v>
      </c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475"/>
      <c r="X11" s="475"/>
      <c r="Y11" s="475"/>
      <c r="Z11" s="475"/>
      <c r="AA11" s="475"/>
      <c r="AB11" s="475"/>
      <c r="AC11" s="475"/>
      <c r="AD11" s="475"/>
      <c r="AE11" s="475"/>
      <c r="AF11" s="475"/>
      <c r="AG11" s="475"/>
      <c r="AH11" s="475"/>
      <c r="AI11" s="477"/>
      <c r="AJ11" s="477"/>
      <c r="AK11" s="477"/>
      <c r="AL11" s="477"/>
      <c r="AM11" s="477"/>
      <c r="AN11" s="477"/>
      <c r="AO11" s="477"/>
      <c r="AP11" s="477"/>
      <c r="AQ11" s="477"/>
      <c r="AR11" s="477"/>
      <c r="AS11" s="477"/>
      <c r="AT11" s="477"/>
      <c r="AU11" s="477"/>
      <c r="AV11" s="477"/>
      <c r="AW11" s="477"/>
      <c r="AX11" s="477"/>
    </row>
    <row r="12" spans="1:50" x14ac:dyDescent="0.2">
      <c r="A12" s="480" t="s">
        <v>210</v>
      </c>
      <c r="B12" s="481">
        <v>81654</v>
      </c>
      <c r="C12" s="483">
        <v>79650</v>
      </c>
      <c r="D12" s="481">
        <v>30618</v>
      </c>
      <c r="E12" s="481">
        <v>43969</v>
      </c>
      <c r="F12" s="481">
        <v>37185</v>
      </c>
      <c r="G12" s="482">
        <v>54911</v>
      </c>
      <c r="H12" s="482">
        <v>120061</v>
      </c>
      <c r="I12" s="481">
        <v>120061</v>
      </c>
      <c r="J12" s="481">
        <v>127284</v>
      </c>
      <c r="K12" s="481">
        <v>107975</v>
      </c>
      <c r="L12" s="489">
        <f>+NGPL!E34-NGPL!D34+volvalue!K12</f>
        <v>66492</v>
      </c>
      <c r="N12" s="475"/>
      <c r="O12" s="475"/>
      <c r="P12" s="475"/>
      <c r="Q12" s="475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5"/>
      <c r="AF12" s="475"/>
      <c r="AG12" s="475"/>
      <c r="AH12" s="475"/>
      <c r="AI12" s="477"/>
      <c r="AJ12" s="477"/>
      <c r="AK12" s="477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7"/>
      <c r="AX12" s="477"/>
    </row>
    <row r="13" spans="1:50" x14ac:dyDescent="0.2">
      <c r="A13" s="206" t="s">
        <v>144</v>
      </c>
      <c r="B13" s="475">
        <v>11018</v>
      </c>
      <c r="C13" s="474">
        <v>12567</v>
      </c>
      <c r="D13" s="478">
        <v>19121</v>
      </c>
      <c r="E13" s="475">
        <v>30904</v>
      </c>
      <c r="F13" s="475">
        <v>33216</v>
      </c>
      <c r="G13" s="476">
        <v>27926</v>
      </c>
      <c r="H13" s="475">
        <v>95102</v>
      </c>
      <c r="I13" s="475">
        <v>76325</v>
      </c>
      <c r="J13" s="475">
        <v>48988</v>
      </c>
      <c r="K13" s="475">
        <v>-29618</v>
      </c>
      <c r="L13" s="475">
        <f>+PEPL!D41</f>
        <v>-22665</v>
      </c>
      <c r="M13" s="475"/>
      <c r="N13" s="475"/>
      <c r="O13" s="475"/>
      <c r="P13" s="475"/>
      <c r="Q13" s="475"/>
      <c r="R13" s="475"/>
      <c r="S13" s="475"/>
      <c r="T13" s="475"/>
      <c r="U13" s="475"/>
      <c r="V13" s="475"/>
      <c r="W13" s="475"/>
      <c r="X13" s="475"/>
      <c r="Y13" s="475"/>
      <c r="Z13" s="475"/>
      <c r="AA13" s="475"/>
      <c r="AB13" s="475"/>
      <c r="AC13" s="475"/>
      <c r="AD13" s="475"/>
      <c r="AE13" s="475"/>
      <c r="AF13" s="475"/>
      <c r="AG13" s="475"/>
      <c r="AH13" s="475"/>
      <c r="AI13" s="477"/>
      <c r="AJ13" s="477"/>
      <c r="AK13" s="477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7"/>
      <c r="AX13" s="477"/>
    </row>
    <row r="14" spans="1:50" x14ac:dyDescent="0.2">
      <c r="A14" s="206" t="s">
        <v>7</v>
      </c>
      <c r="B14" s="475">
        <v>70928</v>
      </c>
      <c r="C14" s="474">
        <v>24533</v>
      </c>
      <c r="D14" s="475">
        <v>29886</v>
      </c>
      <c r="E14" s="475">
        <v>22591</v>
      </c>
      <c r="F14" s="475">
        <v>45729</v>
      </c>
      <c r="G14" s="476">
        <v>1307</v>
      </c>
      <c r="H14" s="475">
        <v>28278</v>
      </c>
      <c r="I14" s="475">
        <v>34979</v>
      </c>
      <c r="J14" s="475">
        <v>47553</v>
      </c>
      <c r="K14" s="475">
        <v>58685</v>
      </c>
      <c r="L14" s="475">
        <f>+Oasis!D40</f>
        <v>-7820</v>
      </c>
      <c r="M14" s="475"/>
      <c r="N14" s="475"/>
      <c r="O14" s="475"/>
      <c r="P14" s="475"/>
      <c r="Q14" s="475"/>
      <c r="R14" s="475"/>
      <c r="S14" s="475"/>
      <c r="T14" s="475"/>
      <c r="U14" s="475"/>
      <c r="V14" s="475"/>
      <c r="W14" s="475"/>
      <c r="X14" s="475"/>
      <c r="Y14" s="475"/>
      <c r="Z14" s="475"/>
      <c r="AA14" s="475"/>
      <c r="AB14" s="475"/>
      <c r="AC14" s="475"/>
      <c r="AD14" s="475"/>
      <c r="AE14" s="475"/>
      <c r="AF14" s="475"/>
      <c r="AG14" s="475"/>
      <c r="AH14" s="475"/>
      <c r="AI14" s="477"/>
      <c r="AJ14" s="477"/>
      <c r="AK14" s="477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7"/>
      <c r="AX14" s="477"/>
    </row>
    <row r="15" spans="1:50" x14ac:dyDescent="0.2">
      <c r="A15" s="206" t="s">
        <v>32</v>
      </c>
      <c r="B15" s="475">
        <v>-7752</v>
      </c>
      <c r="C15" s="474">
        <v>3487</v>
      </c>
      <c r="D15" s="475">
        <v>3487</v>
      </c>
      <c r="E15" s="475">
        <v>6729</v>
      </c>
      <c r="F15" s="475">
        <v>54217</v>
      </c>
      <c r="G15" s="476">
        <v>61895</v>
      </c>
      <c r="H15" s="475">
        <v>69314</v>
      </c>
      <c r="I15" s="475">
        <v>36339</v>
      </c>
      <c r="J15" s="475">
        <v>73003</v>
      </c>
      <c r="K15" s="475">
        <v>69880</v>
      </c>
      <c r="L15" s="475">
        <f>+Lonestar!F42</f>
        <v>802</v>
      </c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5"/>
      <c r="Z15" s="475"/>
      <c r="AA15" s="475"/>
      <c r="AB15" s="475"/>
      <c r="AC15" s="475"/>
      <c r="AD15" s="475"/>
      <c r="AE15" s="475"/>
      <c r="AF15" s="475"/>
      <c r="AG15" s="475"/>
      <c r="AH15" s="475"/>
      <c r="AI15" s="477"/>
      <c r="AJ15" s="477"/>
      <c r="AK15" s="477"/>
      <c r="AL15" s="477"/>
      <c r="AM15" s="477"/>
      <c r="AN15" s="477"/>
      <c r="AO15" s="477"/>
      <c r="AP15" s="477"/>
      <c r="AQ15" s="477"/>
      <c r="AR15" s="477"/>
      <c r="AS15" s="477"/>
      <c r="AT15" s="477"/>
      <c r="AU15" s="477"/>
      <c r="AV15" s="477"/>
      <c r="AW15" s="477"/>
      <c r="AX15" s="477"/>
    </row>
    <row r="16" spans="1:50" x14ac:dyDescent="0.2">
      <c r="A16" s="206"/>
      <c r="B16" s="475">
        <f>SUM(B7:B15)</f>
        <v>296957</v>
      </c>
      <c r="C16" s="475">
        <f>SUM(C7:C15)</f>
        <v>201719</v>
      </c>
      <c r="D16" s="475">
        <f t="shared" ref="D16:L16" si="0">SUM(D7:D15)</f>
        <v>158722</v>
      </c>
      <c r="E16" s="475">
        <f t="shared" si="0"/>
        <v>247546</v>
      </c>
      <c r="F16" s="475">
        <f t="shared" si="0"/>
        <v>342248</v>
      </c>
      <c r="G16" s="475">
        <f t="shared" si="0"/>
        <v>203539</v>
      </c>
      <c r="H16" s="475">
        <f t="shared" si="0"/>
        <v>679080</v>
      </c>
      <c r="I16" s="475">
        <f t="shared" si="0"/>
        <v>668049</v>
      </c>
      <c r="J16" s="475">
        <f t="shared" si="0"/>
        <v>719629</v>
      </c>
      <c r="K16" s="475">
        <f t="shared" si="0"/>
        <v>782029.51</v>
      </c>
      <c r="L16" s="475">
        <f t="shared" si="0"/>
        <v>529809</v>
      </c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5"/>
      <c r="Z16" s="475"/>
      <c r="AA16" s="475"/>
      <c r="AB16" s="475"/>
      <c r="AC16" s="475"/>
      <c r="AD16" s="475"/>
      <c r="AE16" s="475"/>
      <c r="AF16" s="475"/>
      <c r="AG16" s="475"/>
      <c r="AH16" s="475"/>
      <c r="AI16" s="477"/>
      <c r="AJ16" s="477"/>
      <c r="AK16" s="477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7"/>
      <c r="AX16" s="477"/>
    </row>
    <row r="18" spans="1:50" x14ac:dyDescent="0.2">
      <c r="A18" s="484" t="s">
        <v>211</v>
      </c>
      <c r="B18" s="485"/>
      <c r="C18" s="485">
        <v>8.2100000000000009</v>
      </c>
      <c r="D18" s="485">
        <v>5.62</v>
      </c>
      <c r="E18" s="485">
        <v>4.9800000000000004</v>
      </c>
      <c r="F18" s="485">
        <v>4.87</v>
      </c>
      <c r="G18" s="485">
        <v>3.82</v>
      </c>
      <c r="H18" s="485">
        <v>3.2</v>
      </c>
      <c r="I18" s="485">
        <v>2.77</v>
      </c>
      <c r="J18" s="485">
        <v>2.77</v>
      </c>
      <c r="K18" s="485">
        <v>1.88</v>
      </c>
      <c r="L18" s="485">
        <f>+'[1]1001'!$M$39</f>
        <v>2.04</v>
      </c>
      <c r="M18" s="485"/>
      <c r="N18" s="485"/>
      <c r="O18" s="475"/>
      <c r="P18" s="475"/>
      <c r="Q18" s="475"/>
      <c r="R18" s="475"/>
      <c r="S18" s="475"/>
      <c r="T18" s="475"/>
      <c r="U18" s="475"/>
      <c r="V18" s="475"/>
      <c r="W18" s="475"/>
      <c r="X18" s="475"/>
      <c r="Y18" s="475"/>
      <c r="Z18" s="475"/>
      <c r="AA18" s="475"/>
      <c r="AB18" s="475"/>
      <c r="AC18" s="475"/>
      <c r="AD18" s="475"/>
      <c r="AE18" s="475"/>
      <c r="AF18" s="475"/>
      <c r="AG18" s="475"/>
      <c r="AH18" s="475"/>
      <c r="AI18" s="477"/>
      <c r="AJ18" s="477"/>
      <c r="AK18" s="477"/>
      <c r="AL18" s="477"/>
      <c r="AM18" s="477"/>
      <c r="AN18" s="477"/>
      <c r="AO18" s="477"/>
      <c r="AP18" s="477"/>
      <c r="AQ18" s="477"/>
      <c r="AR18" s="477"/>
      <c r="AS18" s="477"/>
      <c r="AT18" s="477"/>
      <c r="AU18" s="477"/>
      <c r="AV18" s="477"/>
      <c r="AW18" s="477"/>
      <c r="AX18" s="477"/>
    </row>
    <row r="19" spans="1:50" s="472" customFormat="1" x14ac:dyDescent="0.2">
      <c r="A19" s="359"/>
      <c r="B19" s="486"/>
      <c r="C19" s="487">
        <f t="shared" ref="C19:L19" si="1">+C18*B16</f>
        <v>2438016.9700000002</v>
      </c>
      <c r="D19" s="487">
        <f t="shared" si="1"/>
        <v>1133660.78</v>
      </c>
      <c r="E19" s="487">
        <f t="shared" si="1"/>
        <v>790435.56</v>
      </c>
      <c r="F19" s="487">
        <f t="shared" si="1"/>
        <v>1205549.02</v>
      </c>
      <c r="G19" s="487">
        <f t="shared" si="1"/>
        <v>1307387.3599999999</v>
      </c>
      <c r="H19" s="487">
        <f t="shared" si="1"/>
        <v>651324.80000000005</v>
      </c>
      <c r="I19" s="487">
        <f t="shared" si="1"/>
        <v>1881051.6</v>
      </c>
      <c r="J19" s="487">
        <f t="shared" si="1"/>
        <v>1850495.73</v>
      </c>
      <c r="K19" s="487">
        <f t="shared" si="1"/>
        <v>1352902.52</v>
      </c>
      <c r="L19" s="487">
        <f t="shared" si="1"/>
        <v>1595340.2004</v>
      </c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6"/>
      <c r="Z19" s="486"/>
      <c r="AA19" s="486"/>
      <c r="AB19" s="486"/>
      <c r="AC19" s="486"/>
      <c r="AD19" s="486"/>
      <c r="AE19" s="486"/>
      <c r="AF19" s="486"/>
      <c r="AG19" s="486"/>
      <c r="AH19" s="486"/>
      <c r="AI19" s="488"/>
      <c r="AJ19" s="488"/>
      <c r="AK19" s="488"/>
      <c r="AL19" s="488"/>
      <c r="AM19" s="488"/>
      <c r="AN19" s="488"/>
      <c r="AO19" s="488"/>
      <c r="AP19" s="488"/>
      <c r="AQ19" s="488"/>
      <c r="AR19" s="488"/>
      <c r="AS19" s="488"/>
      <c r="AT19" s="488"/>
      <c r="AU19" s="488"/>
      <c r="AV19" s="488"/>
      <c r="AW19" s="488"/>
      <c r="AX19" s="488"/>
    </row>
    <row r="20" spans="1:50" s="472" customFormat="1" x14ac:dyDescent="0.2">
      <c r="A20" s="359"/>
      <c r="B20" s="486"/>
      <c r="C20" s="487"/>
      <c r="D20" s="487">
        <f t="shared" ref="D20:L20" si="2">+D19-C19</f>
        <v>-1304356.1900000002</v>
      </c>
      <c r="E20" s="487">
        <f t="shared" si="2"/>
        <v>-343225.22</v>
      </c>
      <c r="F20" s="487">
        <f t="shared" si="2"/>
        <v>415113.45999999996</v>
      </c>
      <c r="G20" s="487">
        <f t="shared" si="2"/>
        <v>101838.33999999985</v>
      </c>
      <c r="H20" s="487">
        <f t="shared" si="2"/>
        <v>-656062.55999999982</v>
      </c>
      <c r="I20" s="487">
        <f t="shared" si="2"/>
        <v>1229726.8</v>
      </c>
      <c r="J20" s="487">
        <f t="shared" si="2"/>
        <v>-30555.870000000112</v>
      </c>
      <c r="K20" s="487">
        <f t="shared" si="2"/>
        <v>-497593.20999999996</v>
      </c>
      <c r="L20" s="487">
        <f t="shared" si="2"/>
        <v>242437.68039999995</v>
      </c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6"/>
      <c r="Z20" s="486"/>
      <c r="AA20" s="486"/>
      <c r="AB20" s="486"/>
      <c r="AC20" s="486"/>
      <c r="AD20" s="486"/>
      <c r="AE20" s="486"/>
      <c r="AF20" s="486"/>
      <c r="AG20" s="486"/>
      <c r="AH20" s="486"/>
      <c r="AI20" s="488"/>
      <c r="AJ20" s="488"/>
      <c r="AK20" s="488"/>
      <c r="AL20" s="488"/>
      <c r="AM20" s="488"/>
      <c r="AN20" s="488"/>
      <c r="AO20" s="488"/>
      <c r="AP20" s="488"/>
      <c r="AQ20" s="488"/>
      <c r="AR20" s="488"/>
      <c r="AS20" s="488"/>
      <c r="AT20" s="488"/>
      <c r="AU20" s="488"/>
      <c r="AV20" s="488"/>
      <c r="AW20" s="488"/>
      <c r="AX20" s="488"/>
    </row>
    <row r="21" spans="1:50" s="472" customFormat="1" x14ac:dyDescent="0.2">
      <c r="A21" s="359"/>
      <c r="B21" s="486"/>
      <c r="C21" s="487"/>
      <c r="D21" s="487"/>
      <c r="E21" s="487"/>
      <c r="F21" s="487"/>
      <c r="G21" s="487"/>
      <c r="H21" s="487"/>
      <c r="I21" s="487"/>
      <c r="J21" s="487"/>
      <c r="K21" s="487"/>
      <c r="L21" s="487"/>
      <c r="M21" s="486"/>
      <c r="N21" s="486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6"/>
      <c r="AB21" s="486"/>
      <c r="AC21" s="486"/>
      <c r="AD21" s="486"/>
      <c r="AE21" s="486"/>
      <c r="AF21" s="486"/>
      <c r="AG21" s="486"/>
      <c r="AH21" s="486"/>
      <c r="AI21" s="488"/>
      <c r="AJ21" s="488"/>
      <c r="AK21" s="488"/>
      <c r="AL21" s="488"/>
      <c r="AM21" s="488"/>
      <c r="AN21" s="488"/>
      <c r="AO21" s="488"/>
      <c r="AP21" s="488"/>
      <c r="AQ21" s="488"/>
      <c r="AR21" s="488"/>
      <c r="AS21" s="488"/>
      <c r="AT21" s="488"/>
      <c r="AU21" s="488"/>
      <c r="AV21" s="488"/>
      <c r="AW21" s="488"/>
      <c r="AX21" s="488"/>
    </row>
    <row r="22" spans="1:50" x14ac:dyDescent="0.2">
      <c r="R22" s="475"/>
      <c r="S22" s="475"/>
      <c r="T22" s="475"/>
      <c r="U22" s="475"/>
      <c r="V22" s="475"/>
      <c r="W22" s="475"/>
      <c r="X22" s="475"/>
      <c r="Y22" s="475"/>
      <c r="Z22" s="475"/>
      <c r="AA22" s="475"/>
      <c r="AB22" s="475"/>
      <c r="AC22" s="475"/>
      <c r="AD22" s="475"/>
      <c r="AE22" s="475"/>
      <c r="AF22" s="475"/>
      <c r="AG22" s="475"/>
      <c r="AH22" s="475"/>
      <c r="AI22" s="477"/>
      <c r="AJ22" s="477"/>
      <c r="AK22" s="477"/>
      <c r="AL22" s="477"/>
      <c r="AM22" s="477"/>
      <c r="AN22" s="477"/>
      <c r="AO22" s="477"/>
      <c r="AP22" s="477"/>
      <c r="AQ22" s="477"/>
      <c r="AR22" s="477"/>
      <c r="AS22" s="477"/>
      <c r="AT22" s="477"/>
      <c r="AU22" s="477"/>
      <c r="AV22" s="477"/>
      <c r="AW22" s="477"/>
      <c r="AX22" s="477"/>
    </row>
    <row r="23" spans="1:50" ht="13.5" customHeight="1" x14ac:dyDescent="0.2">
      <c r="A23" s="206" t="s">
        <v>29</v>
      </c>
      <c r="B23" s="475">
        <v>-70145</v>
      </c>
      <c r="C23" s="474">
        <v>-44467</v>
      </c>
      <c r="D23" s="475">
        <v>-9747</v>
      </c>
      <c r="E23" s="475">
        <v>30129</v>
      </c>
      <c r="F23" s="475">
        <v>121747</v>
      </c>
      <c r="G23" s="476">
        <v>278779</v>
      </c>
      <c r="H23" s="476">
        <v>286331</v>
      </c>
      <c r="I23" s="475">
        <v>310267</v>
      </c>
      <c r="J23" s="475">
        <v>275390</v>
      </c>
      <c r="K23" s="475">
        <v>230460</v>
      </c>
      <c r="L23" s="475">
        <f>+williams!J40</f>
        <v>116446</v>
      </c>
      <c r="M23" s="475"/>
      <c r="N23" s="475"/>
      <c r="O23" s="475"/>
      <c r="P23" s="475"/>
      <c r="Q23" s="475"/>
      <c r="R23" s="475"/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  <c r="AD23" s="475"/>
      <c r="AE23" s="475"/>
      <c r="AF23" s="475"/>
      <c r="AG23" s="475"/>
      <c r="AH23" s="475"/>
      <c r="AI23" s="477"/>
      <c r="AJ23" s="477"/>
      <c r="AK23" s="477"/>
      <c r="AL23" s="477"/>
      <c r="AM23" s="477"/>
      <c r="AN23" s="477"/>
      <c r="AO23" s="477"/>
      <c r="AP23" s="477"/>
      <c r="AQ23" s="477"/>
      <c r="AR23" s="477"/>
      <c r="AS23" s="477"/>
      <c r="AT23" s="477"/>
      <c r="AU23" s="477"/>
      <c r="AV23" s="477"/>
      <c r="AW23" s="477"/>
      <c r="AX23" s="477"/>
    </row>
    <row r="24" spans="1:50" x14ac:dyDescent="0.2">
      <c r="A24" s="206" t="s">
        <v>208</v>
      </c>
      <c r="B24" s="475">
        <v>-55807</v>
      </c>
      <c r="C24" s="474">
        <v>-32211</v>
      </c>
      <c r="D24" s="475">
        <v>-38475</v>
      </c>
      <c r="E24" s="475">
        <v>-32230</v>
      </c>
      <c r="F24" s="475">
        <v>82528</v>
      </c>
      <c r="G24" s="476">
        <v>94855</v>
      </c>
      <c r="H24" s="476">
        <v>59179</v>
      </c>
      <c r="I24" s="475">
        <v>54883</v>
      </c>
      <c r="J24" s="475">
        <v>87070</v>
      </c>
      <c r="K24" s="475">
        <v>50022</v>
      </c>
      <c r="L24" s="475">
        <f>+Amoco!D40</f>
        <v>-60977</v>
      </c>
      <c r="M24" s="490"/>
      <c r="N24" s="490"/>
      <c r="O24" s="475"/>
      <c r="P24" s="475"/>
      <c r="Q24" s="475"/>
      <c r="R24" s="475"/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  <c r="AD24" s="475"/>
      <c r="AE24" s="475"/>
      <c r="AF24" s="475"/>
      <c r="AG24" s="475"/>
      <c r="AH24" s="475"/>
      <c r="AI24" s="477"/>
      <c r="AJ24" s="477"/>
      <c r="AK24" s="477"/>
      <c r="AL24" s="477"/>
      <c r="AM24" s="477"/>
      <c r="AN24" s="477"/>
      <c r="AO24" s="477"/>
      <c r="AP24" s="477"/>
      <c r="AQ24" s="477"/>
      <c r="AR24" s="477"/>
      <c r="AS24" s="477"/>
      <c r="AT24" s="477"/>
      <c r="AU24" s="477"/>
      <c r="AV24" s="477"/>
      <c r="AW24" s="477"/>
      <c r="AX24" s="477"/>
    </row>
    <row r="25" spans="1:50" x14ac:dyDescent="0.2">
      <c r="A25" s="206" t="s">
        <v>187</v>
      </c>
      <c r="B25" s="475">
        <v>268892</v>
      </c>
      <c r="C25" s="474">
        <v>198073</v>
      </c>
      <c r="D25" s="475">
        <v>173680</v>
      </c>
      <c r="E25" s="475">
        <v>168646</v>
      </c>
      <c r="F25" s="475">
        <v>255346</v>
      </c>
      <c r="G25" s="476">
        <v>300960</v>
      </c>
      <c r="H25" s="476">
        <v>170528</v>
      </c>
      <c r="I25" s="475">
        <v>27596</v>
      </c>
      <c r="J25" s="475">
        <v>-65974</v>
      </c>
      <c r="K25" s="475">
        <v>-75692</v>
      </c>
      <c r="L25" s="475">
        <f>+'El Paso'!E39</f>
        <v>-30636</v>
      </c>
      <c r="M25" s="475"/>
      <c r="N25" s="475"/>
      <c r="O25" s="475"/>
      <c r="P25" s="475"/>
      <c r="Q25" s="475"/>
      <c r="R25" s="475"/>
      <c r="S25" s="475"/>
      <c r="T25" s="475"/>
      <c r="U25" s="475"/>
      <c r="V25" s="475"/>
      <c r="W25" s="475"/>
      <c r="X25" s="475"/>
      <c r="Y25" s="475"/>
      <c r="Z25" s="475"/>
      <c r="AA25" s="475"/>
      <c r="AB25" s="475"/>
      <c r="AC25" s="475"/>
      <c r="AD25" s="475"/>
      <c r="AE25" s="475"/>
      <c r="AF25" s="475"/>
      <c r="AG25" s="475"/>
      <c r="AH25" s="475"/>
      <c r="AI25" s="477"/>
      <c r="AJ25" s="477"/>
      <c r="AK25" s="477"/>
      <c r="AL25" s="477"/>
      <c r="AM25" s="477"/>
      <c r="AN25" s="477"/>
      <c r="AO25" s="477"/>
      <c r="AP25" s="477"/>
      <c r="AQ25" s="477"/>
      <c r="AR25" s="477"/>
      <c r="AS25" s="477"/>
      <c r="AT25" s="477"/>
      <c r="AU25" s="477"/>
      <c r="AV25" s="477"/>
      <c r="AW25" s="477"/>
      <c r="AX25" s="477"/>
    </row>
    <row r="26" spans="1:50" x14ac:dyDescent="0.2">
      <c r="A26" s="206" t="s">
        <v>1</v>
      </c>
      <c r="B26" s="475">
        <v>-119838</v>
      </c>
      <c r="C26" s="474">
        <v>-60187</v>
      </c>
      <c r="D26" s="475">
        <v>6957</v>
      </c>
      <c r="E26" s="475">
        <v>-37371</v>
      </c>
      <c r="F26" s="475">
        <v>-18982</v>
      </c>
      <c r="G26" s="476">
        <v>-386</v>
      </c>
      <c r="H26" s="476">
        <v>11234</v>
      </c>
      <c r="I26" s="475">
        <v>5110</v>
      </c>
      <c r="J26" s="475">
        <v>70754</v>
      </c>
      <c r="K26" s="475">
        <v>51156</v>
      </c>
      <c r="L26" s="475">
        <f>+NW!F41</f>
        <v>16015</v>
      </c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5"/>
      <c r="AF26" s="475"/>
      <c r="AG26" s="475"/>
      <c r="AH26" s="475"/>
      <c r="AI26" s="477"/>
      <c r="AJ26" s="477"/>
      <c r="AK26" s="477"/>
      <c r="AL26" s="477"/>
      <c r="AM26" s="477"/>
      <c r="AN26" s="477"/>
      <c r="AO26" s="477"/>
      <c r="AP26" s="477"/>
      <c r="AQ26" s="477"/>
      <c r="AR26" s="477"/>
      <c r="AS26" s="477"/>
      <c r="AT26" s="477"/>
      <c r="AU26" s="477"/>
      <c r="AV26" s="477"/>
      <c r="AW26" s="477"/>
      <c r="AX26" s="477"/>
    </row>
    <row r="27" spans="1:50" x14ac:dyDescent="0.2">
      <c r="A27" s="206"/>
      <c r="B27" s="475">
        <f t="shared" ref="B27:L27" si="3">SUM(B23:B26)</f>
        <v>23102</v>
      </c>
      <c r="C27" s="475">
        <f t="shared" si="3"/>
        <v>61208</v>
      </c>
      <c r="D27" s="475">
        <f t="shared" si="3"/>
        <v>132415</v>
      </c>
      <c r="E27" s="475">
        <f t="shared" si="3"/>
        <v>129174</v>
      </c>
      <c r="F27" s="475">
        <f t="shared" si="3"/>
        <v>440639</v>
      </c>
      <c r="G27" s="475">
        <f t="shared" si="3"/>
        <v>674208</v>
      </c>
      <c r="H27" s="475">
        <f t="shared" si="3"/>
        <v>527272</v>
      </c>
      <c r="I27" s="475">
        <f t="shared" si="3"/>
        <v>397856</v>
      </c>
      <c r="J27" s="475">
        <f t="shared" si="3"/>
        <v>367240</v>
      </c>
      <c r="K27" s="475">
        <f t="shared" si="3"/>
        <v>255946</v>
      </c>
      <c r="L27" s="475">
        <f t="shared" si="3"/>
        <v>40848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475"/>
      <c r="X27" s="475"/>
      <c r="Y27" s="475"/>
      <c r="Z27" s="475"/>
      <c r="AA27" s="475"/>
      <c r="AB27" s="475"/>
      <c r="AC27" s="475"/>
      <c r="AD27" s="475"/>
      <c r="AE27" s="475"/>
      <c r="AF27" s="475"/>
      <c r="AG27" s="475"/>
      <c r="AH27" s="475"/>
      <c r="AI27" s="477"/>
      <c r="AJ27" s="477"/>
      <c r="AK27" s="477"/>
      <c r="AL27" s="477"/>
      <c r="AM27" s="477"/>
      <c r="AN27" s="477"/>
      <c r="AO27" s="477"/>
      <c r="AP27" s="477"/>
      <c r="AQ27" s="477"/>
      <c r="AR27" s="477"/>
      <c r="AS27" s="477"/>
      <c r="AT27" s="477"/>
      <c r="AU27" s="477"/>
      <c r="AV27" s="477"/>
      <c r="AW27" s="477"/>
      <c r="AX27" s="477"/>
    </row>
    <row r="29" spans="1:50" x14ac:dyDescent="0.2">
      <c r="A29" s="484" t="s">
        <v>212</v>
      </c>
      <c r="B29" s="485"/>
      <c r="C29" s="485">
        <v>8.1</v>
      </c>
      <c r="D29" s="485">
        <v>5.61</v>
      </c>
      <c r="E29" s="485">
        <v>4.87</v>
      </c>
      <c r="F29" s="485">
        <v>4.62</v>
      </c>
      <c r="G29" s="485">
        <v>3.44</v>
      </c>
      <c r="H29" s="485">
        <v>2.58</v>
      </c>
      <c r="I29" s="485">
        <v>2.4500000000000002</v>
      </c>
      <c r="J29" s="485">
        <v>2.61</v>
      </c>
      <c r="K29" s="485">
        <v>1.73</v>
      </c>
      <c r="L29" s="485">
        <f>+'[1]1001'!$K$39</f>
        <v>1.98</v>
      </c>
      <c r="M29" s="485"/>
      <c r="N29" s="485"/>
      <c r="O29" s="475"/>
      <c r="P29" s="475"/>
      <c r="Q29" s="475"/>
      <c r="R29" s="475"/>
      <c r="S29" s="475"/>
      <c r="T29" s="475"/>
      <c r="U29" s="475"/>
      <c r="V29" s="475"/>
      <c r="W29" s="475"/>
      <c r="X29" s="475"/>
      <c r="Y29" s="475"/>
      <c r="Z29" s="475"/>
      <c r="AA29" s="475"/>
      <c r="AB29" s="475"/>
      <c r="AC29" s="475"/>
      <c r="AD29" s="475"/>
      <c r="AE29" s="475"/>
      <c r="AF29" s="475"/>
      <c r="AG29" s="475"/>
      <c r="AH29" s="475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</row>
    <row r="30" spans="1:50" x14ac:dyDescent="0.2">
      <c r="A30" s="206"/>
      <c r="B30" s="475"/>
      <c r="C30" s="475">
        <f t="shared" ref="C30:J30" si="4">+C29*B27</f>
        <v>187126.19999999998</v>
      </c>
      <c r="D30" s="475">
        <f t="shared" si="4"/>
        <v>343376.88</v>
      </c>
      <c r="E30" s="475">
        <f t="shared" si="4"/>
        <v>644861.05000000005</v>
      </c>
      <c r="F30" s="475">
        <f t="shared" si="4"/>
        <v>596783.88</v>
      </c>
      <c r="G30" s="475">
        <f t="shared" si="4"/>
        <v>1515798.16</v>
      </c>
      <c r="H30" s="475">
        <f t="shared" si="4"/>
        <v>1739456.6400000001</v>
      </c>
      <c r="I30" s="475">
        <f t="shared" si="4"/>
        <v>1291816.4000000001</v>
      </c>
      <c r="J30" s="475">
        <f t="shared" si="4"/>
        <v>1038404.1599999999</v>
      </c>
      <c r="K30" s="475">
        <f>+J27*K29</f>
        <v>635325.19999999995</v>
      </c>
      <c r="L30" s="475">
        <f>+K27*L29</f>
        <v>506773.08</v>
      </c>
      <c r="M30" s="475"/>
      <c r="N30" s="475"/>
      <c r="O30" s="475"/>
      <c r="P30" s="475"/>
      <c r="Q30" s="475"/>
      <c r="R30" s="475"/>
      <c r="S30" s="475"/>
      <c r="T30" s="475"/>
      <c r="U30" s="475"/>
      <c r="V30" s="475"/>
      <c r="W30" s="475"/>
      <c r="X30" s="475"/>
      <c r="Y30" s="475"/>
      <c r="Z30" s="475"/>
      <c r="AA30" s="475"/>
      <c r="AB30" s="475"/>
      <c r="AC30" s="475"/>
      <c r="AD30" s="475"/>
      <c r="AE30" s="475"/>
      <c r="AF30" s="475"/>
      <c r="AG30" s="475"/>
      <c r="AH30" s="475"/>
      <c r="AI30" s="477"/>
      <c r="AJ30" s="477"/>
      <c r="AK30" s="477"/>
      <c r="AL30" s="477"/>
      <c r="AM30" s="477"/>
      <c r="AN30" s="477"/>
      <c r="AO30" s="477"/>
      <c r="AP30" s="477"/>
      <c r="AQ30" s="477"/>
      <c r="AR30" s="477"/>
      <c r="AS30" s="477"/>
      <c r="AT30" s="477"/>
      <c r="AU30" s="477"/>
      <c r="AV30" s="477"/>
      <c r="AW30" s="477"/>
      <c r="AX30" s="477"/>
    </row>
    <row r="31" spans="1:50" s="477" customFormat="1" ht="12" x14ac:dyDescent="0.2">
      <c r="D31" s="489">
        <f t="shared" ref="D31:L31" si="5">+D30-C30</f>
        <v>156250.68000000002</v>
      </c>
      <c r="E31" s="489">
        <f t="shared" si="5"/>
        <v>301484.17000000004</v>
      </c>
      <c r="F31" s="489">
        <f t="shared" si="5"/>
        <v>-48077.170000000042</v>
      </c>
      <c r="G31" s="489">
        <f t="shared" si="5"/>
        <v>919014.27999999991</v>
      </c>
      <c r="H31" s="489">
        <f t="shared" si="5"/>
        <v>223658.48000000021</v>
      </c>
      <c r="I31" s="489">
        <f t="shared" si="5"/>
        <v>-447640.24</v>
      </c>
      <c r="J31" s="489">
        <f t="shared" si="5"/>
        <v>-253412.24000000022</v>
      </c>
      <c r="K31" s="489">
        <f t="shared" si="5"/>
        <v>-403078.95999999996</v>
      </c>
      <c r="L31" s="489">
        <f t="shared" si="5"/>
        <v>-128552.11999999994</v>
      </c>
    </row>
    <row r="32" spans="1:50" s="477" customFormat="1" ht="12" x14ac:dyDescent="0.2">
      <c r="B32" s="485"/>
      <c r="C32" s="485"/>
      <c r="D32" s="485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75"/>
      <c r="P32" s="475"/>
      <c r="Q32" s="475"/>
      <c r="R32" s="475"/>
      <c r="S32" s="475"/>
      <c r="T32" s="475"/>
      <c r="U32" s="475"/>
      <c r="V32" s="475"/>
      <c r="W32" s="475"/>
      <c r="X32" s="475"/>
      <c r="Y32" s="475"/>
      <c r="Z32" s="475"/>
      <c r="AA32" s="475"/>
      <c r="AB32" s="475"/>
      <c r="AC32" s="475"/>
      <c r="AD32" s="475"/>
      <c r="AE32" s="475"/>
      <c r="AF32" s="475"/>
      <c r="AG32" s="475"/>
      <c r="AH32" s="475"/>
    </row>
    <row r="33" spans="1:50" s="477" customFormat="1" ht="12" x14ac:dyDescent="0.2">
      <c r="B33" s="485"/>
      <c r="C33" s="485"/>
      <c r="D33" s="485"/>
      <c r="E33" s="485"/>
      <c r="F33" s="485"/>
      <c r="G33" s="485"/>
      <c r="H33" s="485"/>
      <c r="I33" s="485"/>
      <c r="J33" s="485"/>
      <c r="K33" s="485"/>
      <c r="L33" s="485"/>
      <c r="M33" s="485"/>
      <c r="N33" s="485"/>
      <c r="O33" s="475"/>
      <c r="P33" s="475"/>
      <c r="Q33" s="475"/>
      <c r="R33" s="475"/>
      <c r="S33" s="475"/>
      <c r="T33" s="475"/>
      <c r="U33" s="475"/>
      <c r="V33" s="475"/>
      <c r="W33" s="475"/>
      <c r="X33" s="475"/>
      <c r="Y33" s="475"/>
      <c r="Z33" s="475"/>
      <c r="AA33" s="475"/>
      <c r="AB33" s="475"/>
      <c r="AC33" s="475"/>
      <c r="AD33" s="475"/>
      <c r="AE33" s="475"/>
      <c r="AF33" s="475"/>
      <c r="AG33" s="475"/>
      <c r="AH33" s="475"/>
    </row>
    <row r="34" spans="1:50" s="472" customFormat="1" x14ac:dyDescent="0.2">
      <c r="A34" s="359"/>
      <c r="B34" s="486"/>
      <c r="C34" s="486"/>
      <c r="D34" s="486">
        <f t="shared" ref="D34:L34" si="6">+D31+D20</f>
        <v>-1148105.5100000002</v>
      </c>
      <c r="E34" s="486">
        <f t="shared" si="6"/>
        <v>-41741.04999999993</v>
      </c>
      <c r="F34" s="486">
        <f t="shared" si="6"/>
        <v>367036.28999999992</v>
      </c>
      <c r="G34" s="486">
        <f t="shared" si="6"/>
        <v>1020852.6199999998</v>
      </c>
      <c r="H34" s="486">
        <f t="shared" si="6"/>
        <v>-432404.07999999961</v>
      </c>
      <c r="I34" s="486">
        <f t="shared" si="6"/>
        <v>782086.56</v>
      </c>
      <c r="J34" s="486">
        <f t="shared" si="6"/>
        <v>-283968.11000000034</v>
      </c>
      <c r="K34" s="486">
        <f t="shared" si="6"/>
        <v>-900672.16999999993</v>
      </c>
      <c r="L34" s="486">
        <f t="shared" si="6"/>
        <v>113885.56040000002</v>
      </c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6"/>
      <c r="AC34" s="486"/>
      <c r="AD34" s="486"/>
      <c r="AE34" s="486"/>
      <c r="AF34" s="486"/>
      <c r="AG34" s="486"/>
      <c r="AH34" s="486"/>
      <c r="AI34" s="488"/>
      <c r="AJ34" s="488"/>
      <c r="AK34" s="488"/>
      <c r="AL34" s="488"/>
      <c r="AM34" s="488"/>
      <c r="AN34" s="488"/>
      <c r="AO34" s="488"/>
      <c r="AP34" s="488"/>
      <c r="AQ34" s="488"/>
      <c r="AR34" s="488"/>
      <c r="AS34" s="488"/>
      <c r="AT34" s="488"/>
      <c r="AU34" s="488"/>
      <c r="AV34" s="488"/>
      <c r="AW34" s="488"/>
      <c r="AX34" s="488"/>
    </row>
    <row r="35" spans="1:50" x14ac:dyDescent="0.2">
      <c r="A35" s="206"/>
      <c r="B35" s="485"/>
      <c r="C35" s="485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Y35" s="475"/>
      <c r="Z35" s="475"/>
      <c r="AA35" s="475"/>
      <c r="AB35" s="475"/>
      <c r="AC35" s="475"/>
      <c r="AD35" s="475"/>
      <c r="AE35" s="475"/>
      <c r="AF35" s="475"/>
      <c r="AG35" s="475"/>
      <c r="AH35" s="475"/>
      <c r="AI35" s="477"/>
      <c r="AJ35" s="477"/>
      <c r="AK35" s="477"/>
      <c r="AL35" s="477"/>
      <c r="AM35" s="477"/>
      <c r="AN35" s="477"/>
      <c r="AO35" s="477"/>
      <c r="AP35" s="477"/>
      <c r="AQ35" s="477"/>
      <c r="AR35" s="477"/>
      <c r="AS35" s="477"/>
      <c r="AT35" s="477"/>
      <c r="AU35" s="477"/>
      <c r="AV35" s="477"/>
      <c r="AW35" s="477"/>
      <c r="AX35" s="477"/>
    </row>
    <row r="36" spans="1:50" x14ac:dyDescent="0.2">
      <c r="A36" s="206"/>
      <c r="B36" s="475"/>
      <c r="C36" s="475"/>
      <c r="D36" s="475"/>
      <c r="E36" s="475"/>
      <c r="F36" s="475"/>
      <c r="G36" s="475"/>
      <c r="H36" s="475"/>
      <c r="I36" s="475"/>
      <c r="J36" s="475"/>
      <c r="K36" s="475"/>
      <c r="L36" s="475"/>
      <c r="M36" s="475"/>
      <c r="N36" s="475"/>
      <c r="O36" s="475"/>
      <c r="P36" s="475"/>
      <c r="Q36" s="475"/>
      <c r="R36" s="475"/>
      <c r="S36" s="475"/>
      <c r="T36" s="475"/>
      <c r="U36" s="475"/>
      <c r="V36" s="475"/>
      <c r="W36" s="475"/>
      <c r="X36" s="475"/>
      <c r="Y36" s="475"/>
      <c r="Z36" s="475"/>
      <c r="AA36" s="475"/>
      <c r="AB36" s="475"/>
      <c r="AC36" s="475"/>
      <c r="AD36" s="475"/>
      <c r="AE36" s="475"/>
      <c r="AF36" s="475"/>
      <c r="AG36" s="475"/>
      <c r="AH36" s="475"/>
      <c r="AI36" s="477"/>
      <c r="AJ36" s="477"/>
      <c r="AK36" s="477"/>
      <c r="AL36" s="477"/>
      <c r="AM36" s="477"/>
      <c r="AN36" s="477"/>
      <c r="AO36" s="477"/>
      <c r="AP36" s="477"/>
      <c r="AQ36" s="477"/>
      <c r="AR36" s="477"/>
      <c r="AS36" s="477"/>
      <c r="AT36" s="477"/>
      <c r="AU36" s="477"/>
      <c r="AV36" s="477"/>
      <c r="AW36" s="477"/>
      <c r="AX36" s="477"/>
    </row>
    <row r="37" spans="1:50" x14ac:dyDescent="0.2">
      <c r="A37" s="206"/>
      <c r="B37" s="475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  <c r="P37" s="475"/>
      <c r="Q37" s="475"/>
      <c r="R37" s="475"/>
      <c r="S37" s="475"/>
      <c r="T37" s="475"/>
      <c r="U37" s="475"/>
      <c r="V37" s="475"/>
      <c r="W37" s="475"/>
      <c r="X37" s="475"/>
      <c r="Y37" s="475"/>
      <c r="Z37" s="475"/>
      <c r="AA37" s="475"/>
      <c r="AB37" s="475"/>
      <c r="AC37" s="475"/>
      <c r="AD37" s="475"/>
      <c r="AE37" s="475"/>
      <c r="AF37" s="475"/>
      <c r="AG37" s="475"/>
      <c r="AH37" s="475"/>
      <c r="AI37" s="477"/>
      <c r="AJ37" s="477"/>
      <c r="AK37" s="477"/>
      <c r="AL37" s="477"/>
      <c r="AM37" s="477"/>
      <c r="AN37" s="477"/>
      <c r="AO37" s="477"/>
      <c r="AP37" s="477"/>
      <c r="AQ37" s="477"/>
      <c r="AR37" s="477"/>
      <c r="AS37" s="477"/>
      <c r="AT37" s="477"/>
      <c r="AU37" s="477"/>
      <c r="AV37" s="477"/>
      <c r="AW37" s="477"/>
      <c r="AX37" s="477"/>
    </row>
    <row r="38" spans="1:50" x14ac:dyDescent="0.2">
      <c r="A38" s="206"/>
      <c r="B38" s="475"/>
      <c r="C38" s="475"/>
      <c r="D38" s="475"/>
      <c r="E38" s="475"/>
      <c r="F38" s="475"/>
      <c r="G38" s="475"/>
      <c r="H38" s="475">
        <f>+H27+H16</f>
        <v>1206352</v>
      </c>
      <c r="I38" s="475">
        <f>+I27+I16</f>
        <v>1065905</v>
      </c>
      <c r="J38" s="475">
        <f>+J27+J16</f>
        <v>1086869</v>
      </c>
      <c r="K38" s="475">
        <f>+K27+K16</f>
        <v>1037975.51</v>
      </c>
      <c r="L38" s="475">
        <f>+L27+L16</f>
        <v>570657</v>
      </c>
      <c r="M38" s="47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  <c r="AE38" s="475"/>
      <c r="AF38" s="475"/>
      <c r="AG38" s="475"/>
      <c r="AH38" s="475"/>
      <c r="AI38" s="477"/>
      <c r="AJ38" s="477"/>
      <c r="AK38" s="477"/>
      <c r="AL38" s="477"/>
      <c r="AM38" s="477"/>
      <c r="AN38" s="477"/>
      <c r="AO38" s="477"/>
      <c r="AP38" s="477"/>
      <c r="AQ38" s="477"/>
      <c r="AR38" s="477"/>
      <c r="AS38" s="477"/>
      <c r="AT38" s="477"/>
      <c r="AU38" s="477"/>
      <c r="AV38" s="477"/>
      <c r="AW38" s="477"/>
      <c r="AX38" s="477"/>
    </row>
    <row r="39" spans="1:50" x14ac:dyDescent="0.2">
      <c r="A39" s="206"/>
      <c r="B39" s="475"/>
      <c r="C39" s="475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475"/>
      <c r="T39" s="475"/>
      <c r="U39" s="475"/>
      <c r="V39" s="475"/>
      <c r="W39" s="475"/>
      <c r="X39" s="475"/>
      <c r="Y39" s="475"/>
      <c r="Z39" s="475"/>
      <c r="AA39" s="475"/>
      <c r="AB39" s="475"/>
      <c r="AC39" s="475"/>
      <c r="AD39" s="475"/>
      <c r="AE39" s="475"/>
      <c r="AF39" s="475"/>
      <c r="AG39" s="475"/>
      <c r="AH39" s="475"/>
      <c r="AI39" s="477"/>
      <c r="AJ39" s="477"/>
      <c r="AK39" s="477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7"/>
      <c r="AX39" s="477"/>
    </row>
    <row r="40" spans="1:50" x14ac:dyDescent="0.2">
      <c r="A40" s="206"/>
      <c r="B40" s="475"/>
      <c r="C40" s="475"/>
      <c r="D40" s="475"/>
      <c r="E40" s="475"/>
      <c r="F40" s="475"/>
      <c r="G40" s="475"/>
      <c r="H40" s="475">
        <f>+H30+H19</f>
        <v>2390781.4400000004</v>
      </c>
      <c r="I40" s="475">
        <f>+I30+I19</f>
        <v>3172868</v>
      </c>
      <c r="J40" s="475">
        <f>+J30+J19</f>
        <v>2888899.8899999997</v>
      </c>
      <c r="K40" s="475">
        <f>+K30+K19</f>
        <v>1988227.72</v>
      </c>
      <c r="L40" s="475"/>
      <c r="M40" s="475"/>
      <c r="N40" s="475"/>
      <c r="O40" s="475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  <c r="AA40" s="475"/>
      <c r="AB40" s="475"/>
      <c r="AC40" s="475"/>
      <c r="AD40" s="475"/>
      <c r="AE40" s="475"/>
      <c r="AF40" s="475"/>
      <c r="AG40" s="475"/>
      <c r="AH40" s="475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</row>
    <row r="41" spans="1:50" x14ac:dyDescent="0.2">
      <c r="A41" s="206"/>
      <c r="B41" s="475"/>
      <c r="C41" s="475"/>
      <c r="D41" s="475"/>
      <c r="E41" s="475"/>
      <c r="F41" s="475"/>
      <c r="G41" s="475"/>
      <c r="H41" s="475"/>
      <c r="I41" s="475"/>
      <c r="J41" s="475"/>
      <c r="K41" s="475">
        <v>2037075.88</v>
      </c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</row>
    <row r="42" spans="1:50" x14ac:dyDescent="0.2">
      <c r="A42" s="206"/>
      <c r="B42" s="475"/>
      <c r="C42" s="475"/>
      <c r="D42" s="475"/>
      <c r="E42" s="475"/>
      <c r="F42" s="475"/>
      <c r="G42" s="475"/>
      <c r="H42" s="475"/>
      <c r="I42" s="475"/>
      <c r="J42" s="475"/>
      <c r="K42" s="475">
        <f>+K40-K41</f>
        <v>-48848.159999999916</v>
      </c>
      <c r="L42" s="475"/>
      <c r="M42" s="475"/>
      <c r="N42" s="475"/>
      <c r="O42" s="475"/>
      <c r="P42" s="475"/>
      <c r="Q42" s="475"/>
      <c r="R42" s="475"/>
      <c r="S42" s="475"/>
      <c r="T42" s="475"/>
      <c r="U42" s="475"/>
      <c r="V42" s="475"/>
      <c r="W42" s="475"/>
      <c r="X42" s="475"/>
      <c r="Y42" s="475"/>
      <c r="Z42" s="475"/>
      <c r="AA42" s="475"/>
      <c r="AB42" s="475"/>
      <c r="AC42" s="475"/>
      <c r="AD42" s="475"/>
      <c r="AE42" s="475"/>
      <c r="AF42" s="475"/>
      <c r="AG42" s="475"/>
      <c r="AH42" s="475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</row>
    <row r="43" spans="1:50" x14ac:dyDescent="0.2">
      <c r="A43" s="206"/>
      <c r="B43" s="475"/>
      <c r="C43" s="475"/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5"/>
      <c r="X43" s="475"/>
      <c r="Y43" s="475"/>
      <c r="Z43" s="475"/>
      <c r="AA43" s="475"/>
      <c r="AB43" s="475"/>
      <c r="AC43" s="475"/>
      <c r="AD43" s="475"/>
      <c r="AE43" s="475"/>
      <c r="AF43" s="475"/>
      <c r="AG43" s="475"/>
      <c r="AH43" s="475"/>
      <c r="AI43" s="477"/>
      <c r="AJ43" s="477"/>
      <c r="AK43" s="477"/>
      <c r="AL43" s="477"/>
      <c r="AM43" s="477"/>
      <c r="AN43" s="477"/>
      <c r="AO43" s="477"/>
      <c r="AP43" s="477"/>
      <c r="AQ43" s="477"/>
      <c r="AR43" s="477"/>
      <c r="AS43" s="477"/>
      <c r="AT43" s="477"/>
      <c r="AU43" s="477"/>
      <c r="AV43" s="477"/>
      <c r="AW43" s="477"/>
      <c r="AX43" s="477"/>
    </row>
    <row r="44" spans="1:50" x14ac:dyDescent="0.2">
      <c r="A44" s="206"/>
      <c r="B44" s="475"/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5"/>
      <c r="X44" s="475"/>
      <c r="Y44" s="475"/>
      <c r="Z44" s="475"/>
      <c r="AA44" s="475"/>
      <c r="AB44" s="475"/>
      <c r="AC44" s="475"/>
      <c r="AD44" s="475"/>
      <c r="AE44" s="475"/>
      <c r="AF44" s="475"/>
      <c r="AG44" s="475"/>
      <c r="AH44" s="475"/>
      <c r="AI44" s="477"/>
      <c r="AJ44" s="477"/>
      <c r="AK44" s="477"/>
      <c r="AL44" s="477"/>
      <c r="AM44" s="477"/>
      <c r="AN44" s="477"/>
      <c r="AO44" s="477"/>
      <c r="AP44" s="477"/>
      <c r="AQ44" s="477"/>
      <c r="AR44" s="477"/>
      <c r="AS44" s="477"/>
      <c r="AT44" s="477"/>
      <c r="AU44" s="477"/>
      <c r="AV44" s="477"/>
      <c r="AW44" s="477"/>
      <c r="AX44" s="477"/>
    </row>
    <row r="45" spans="1:50" x14ac:dyDescent="0.2">
      <c r="A45" s="206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  <c r="AA45" s="475"/>
      <c r="AB45" s="475"/>
      <c r="AC45" s="475"/>
      <c r="AD45" s="475"/>
      <c r="AE45" s="475"/>
      <c r="AF45" s="475"/>
      <c r="AG45" s="475"/>
      <c r="AH45" s="475"/>
      <c r="AI45" s="477"/>
      <c r="AJ45" s="477"/>
      <c r="AK45" s="477"/>
      <c r="AL45" s="477"/>
      <c r="AM45" s="477"/>
      <c r="AN45" s="477"/>
      <c r="AO45" s="477"/>
      <c r="AP45" s="477"/>
      <c r="AQ45" s="477"/>
      <c r="AR45" s="477"/>
      <c r="AS45" s="477"/>
      <c r="AT45" s="477"/>
      <c r="AU45" s="477"/>
      <c r="AV45" s="477"/>
      <c r="AW45" s="477"/>
      <c r="AX45" s="477"/>
    </row>
    <row r="46" spans="1:50" x14ac:dyDescent="0.2">
      <c r="A46" s="206"/>
      <c r="B46" s="475"/>
      <c r="C46" s="475"/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5"/>
      <c r="X46" s="475"/>
      <c r="Y46" s="475"/>
      <c r="Z46" s="475"/>
      <c r="AA46" s="475"/>
      <c r="AB46" s="475"/>
      <c r="AC46" s="475"/>
      <c r="AD46" s="475"/>
      <c r="AE46" s="475"/>
      <c r="AF46" s="475"/>
      <c r="AG46" s="475"/>
      <c r="AH46" s="475"/>
      <c r="AI46" s="477"/>
      <c r="AJ46" s="477"/>
      <c r="AK46" s="477"/>
      <c r="AL46" s="477"/>
      <c r="AM46" s="477"/>
      <c r="AN46" s="477"/>
      <c r="AO46" s="477"/>
      <c r="AP46" s="477"/>
      <c r="AQ46" s="477"/>
      <c r="AR46" s="477"/>
      <c r="AS46" s="477"/>
      <c r="AT46" s="477"/>
      <c r="AU46" s="477"/>
      <c r="AV46" s="477"/>
      <c r="AW46" s="477"/>
      <c r="AX46" s="477"/>
    </row>
    <row r="47" spans="1:50" x14ac:dyDescent="0.2">
      <c r="A47" s="206" t="s">
        <v>24</v>
      </c>
      <c r="B47" s="475">
        <v>3246</v>
      </c>
      <c r="C47" s="474">
        <v>30877</v>
      </c>
      <c r="D47" s="478">
        <v>40063</v>
      </c>
      <c r="E47" s="475">
        <v>48379</v>
      </c>
      <c r="F47" s="475">
        <v>80516</v>
      </c>
      <c r="G47" s="476">
        <v>96175</v>
      </c>
      <c r="H47" s="476">
        <v>140689</v>
      </c>
      <c r="I47" s="475">
        <v>147133</v>
      </c>
      <c r="J47" s="475">
        <v>143078</v>
      </c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475"/>
      <c r="W47" s="475"/>
      <c r="X47" s="475"/>
      <c r="Y47" s="475"/>
      <c r="Z47" s="475"/>
      <c r="AA47" s="475"/>
      <c r="AB47" s="475"/>
      <c r="AC47" s="475"/>
      <c r="AD47" s="475"/>
      <c r="AE47" s="475"/>
      <c r="AF47" s="475"/>
      <c r="AG47" s="475"/>
      <c r="AH47" s="475"/>
      <c r="AI47" s="477"/>
      <c r="AJ47" s="477"/>
      <c r="AK47" s="477"/>
      <c r="AL47" s="477"/>
      <c r="AM47" s="477"/>
      <c r="AN47" s="477"/>
      <c r="AO47" s="477"/>
      <c r="AP47" s="477"/>
      <c r="AQ47" s="477"/>
      <c r="AR47" s="477"/>
      <c r="AS47" s="477"/>
      <c r="AT47" s="477"/>
      <c r="AU47" s="477"/>
      <c r="AV47" s="477"/>
      <c r="AW47" s="477"/>
      <c r="AX47" s="477"/>
    </row>
    <row r="48" spans="1:50" x14ac:dyDescent="0.2">
      <c r="A48" s="206"/>
      <c r="B48" s="475"/>
      <c r="C48" s="475"/>
      <c r="D48" s="475"/>
      <c r="E48" s="475"/>
      <c r="F48" s="475"/>
      <c r="G48" s="475"/>
      <c r="H48" s="475"/>
      <c r="I48" s="475"/>
      <c r="J48" s="475"/>
      <c r="K48" s="475"/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5"/>
      <c r="X48" s="475"/>
      <c r="Y48" s="475"/>
      <c r="Z48" s="475"/>
      <c r="AA48" s="475"/>
      <c r="AB48" s="475"/>
      <c r="AC48" s="475"/>
      <c r="AD48" s="475"/>
      <c r="AE48" s="475"/>
      <c r="AF48" s="475"/>
      <c r="AG48" s="475"/>
      <c r="AH48" s="475"/>
      <c r="AI48" s="477"/>
      <c r="AJ48" s="477"/>
      <c r="AK48" s="477"/>
      <c r="AL48" s="477"/>
      <c r="AM48" s="477"/>
      <c r="AN48" s="477"/>
      <c r="AO48" s="477"/>
      <c r="AP48" s="477"/>
      <c r="AQ48" s="477"/>
      <c r="AR48" s="477"/>
      <c r="AS48" s="477"/>
      <c r="AT48" s="477"/>
      <c r="AU48" s="477"/>
      <c r="AV48" s="477"/>
      <c r="AW48" s="477"/>
      <c r="AX48" s="477"/>
    </row>
    <row r="49" spans="1:50" x14ac:dyDescent="0.2">
      <c r="A49" s="206"/>
      <c r="B49" s="475"/>
      <c r="C49" s="475"/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5"/>
      <c r="X49" s="475"/>
      <c r="Y49" s="475"/>
      <c r="Z49" s="475"/>
      <c r="AA49" s="475"/>
      <c r="AB49" s="475"/>
      <c r="AC49" s="475"/>
      <c r="AD49" s="475"/>
      <c r="AE49" s="475"/>
      <c r="AF49" s="475"/>
      <c r="AG49" s="475"/>
      <c r="AH49" s="475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</row>
    <row r="50" spans="1:50" x14ac:dyDescent="0.2">
      <c r="A50" s="206"/>
      <c r="B50" s="475"/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5"/>
      <c r="O50" s="475"/>
      <c r="P50" s="475"/>
      <c r="Q50" s="475"/>
      <c r="R50" s="475"/>
      <c r="S50" s="475"/>
      <c r="T50" s="475"/>
      <c r="U50" s="475"/>
      <c r="V50" s="475"/>
      <c r="W50" s="475"/>
      <c r="X50" s="475"/>
      <c r="Y50" s="475"/>
      <c r="Z50" s="475"/>
      <c r="AA50" s="475"/>
      <c r="AB50" s="475"/>
      <c r="AC50" s="475"/>
      <c r="AD50" s="475"/>
      <c r="AE50" s="475"/>
      <c r="AF50" s="475"/>
      <c r="AG50" s="475"/>
      <c r="AH50" s="475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</row>
    <row r="51" spans="1:50" x14ac:dyDescent="0.2">
      <c r="A51" s="206"/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5"/>
      <c r="P51" s="475"/>
      <c r="Q51" s="475"/>
      <c r="R51" s="475"/>
      <c r="S51" s="475"/>
      <c r="T51" s="475"/>
      <c r="U51" s="475"/>
      <c r="V51" s="475"/>
      <c r="W51" s="475"/>
      <c r="X51" s="475"/>
      <c r="Y51" s="475"/>
      <c r="Z51" s="475"/>
      <c r="AA51" s="475"/>
      <c r="AB51" s="475"/>
      <c r="AC51" s="475"/>
      <c r="AD51" s="475"/>
      <c r="AE51" s="475"/>
      <c r="AF51" s="475"/>
      <c r="AG51" s="475"/>
      <c r="AH51" s="475"/>
      <c r="AI51" s="477"/>
      <c r="AJ51" s="477"/>
      <c r="AK51" s="477"/>
      <c r="AL51" s="477"/>
      <c r="AM51" s="477"/>
      <c r="AN51" s="477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</row>
    <row r="52" spans="1:50" x14ac:dyDescent="0.2">
      <c r="A52" s="206"/>
      <c r="B52" s="475"/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75"/>
      <c r="R52" s="475"/>
      <c r="S52" s="475"/>
      <c r="T52" s="475"/>
      <c r="U52" s="475"/>
      <c r="V52" s="475"/>
      <c r="W52" s="475"/>
      <c r="X52" s="475"/>
      <c r="Y52" s="475"/>
      <c r="Z52" s="475"/>
      <c r="AA52" s="475"/>
      <c r="AB52" s="475"/>
      <c r="AC52" s="475"/>
      <c r="AD52" s="475"/>
      <c r="AE52" s="475"/>
      <c r="AF52" s="475"/>
      <c r="AG52" s="475"/>
      <c r="AH52" s="475"/>
      <c r="AI52" s="477"/>
      <c r="AJ52" s="477"/>
      <c r="AK52" s="477"/>
      <c r="AL52" s="477"/>
      <c r="AM52" s="477"/>
      <c r="AN52" s="477"/>
      <c r="AO52" s="477"/>
      <c r="AP52" s="477"/>
      <c r="AQ52" s="477"/>
      <c r="AR52" s="477"/>
      <c r="AS52" s="477"/>
      <c r="AT52" s="477"/>
      <c r="AU52" s="477"/>
      <c r="AV52" s="477"/>
      <c r="AW52" s="477"/>
      <c r="AX52" s="477"/>
    </row>
    <row r="53" spans="1:50" x14ac:dyDescent="0.2">
      <c r="A53" s="206"/>
      <c r="B53" s="475"/>
      <c r="C53" s="475"/>
      <c r="D53" s="475"/>
      <c r="E53" s="475"/>
      <c r="F53" s="475"/>
      <c r="G53" s="475"/>
      <c r="H53" s="475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475"/>
      <c r="V53" s="475"/>
      <c r="W53" s="475"/>
      <c r="X53" s="475"/>
      <c r="Y53" s="475"/>
      <c r="Z53" s="475"/>
      <c r="AA53" s="475"/>
      <c r="AB53" s="475"/>
      <c r="AC53" s="475"/>
      <c r="AD53" s="475"/>
      <c r="AE53" s="475"/>
      <c r="AF53" s="475"/>
      <c r="AG53" s="475"/>
      <c r="AH53" s="475"/>
      <c r="AI53" s="477"/>
      <c r="AJ53" s="477"/>
      <c r="AK53" s="477"/>
      <c r="AL53" s="477"/>
      <c r="AM53" s="477"/>
      <c r="AN53" s="477"/>
      <c r="AO53" s="477"/>
      <c r="AP53" s="477"/>
      <c r="AQ53" s="477"/>
      <c r="AR53" s="477"/>
      <c r="AS53" s="477"/>
      <c r="AT53" s="477"/>
      <c r="AU53" s="477"/>
      <c r="AV53" s="477"/>
      <c r="AW53" s="477"/>
      <c r="AX53" s="477"/>
    </row>
    <row r="54" spans="1:50" x14ac:dyDescent="0.2">
      <c r="A54" s="206"/>
      <c r="B54" s="475"/>
      <c r="C54" s="475"/>
      <c r="D54" s="475"/>
      <c r="E54" s="475"/>
      <c r="F54" s="475"/>
      <c r="G54" s="475"/>
      <c r="H54" s="475"/>
      <c r="I54" s="475"/>
      <c r="J54" s="475"/>
      <c r="K54" s="475"/>
      <c r="L54" s="475"/>
      <c r="M54" s="475"/>
      <c r="N54" s="475"/>
      <c r="O54" s="475"/>
      <c r="P54" s="475"/>
      <c r="Q54" s="475"/>
      <c r="R54" s="475"/>
      <c r="S54" s="475"/>
      <c r="T54" s="475"/>
      <c r="U54" s="475"/>
      <c r="V54" s="475"/>
      <c r="W54" s="475"/>
      <c r="X54" s="475"/>
      <c r="Y54" s="475"/>
      <c r="Z54" s="475"/>
      <c r="AA54" s="475"/>
      <c r="AB54" s="475"/>
      <c r="AC54" s="475"/>
      <c r="AD54" s="475"/>
      <c r="AE54" s="475"/>
      <c r="AF54" s="475"/>
      <c r="AG54" s="475"/>
      <c r="AH54" s="475"/>
      <c r="AI54" s="477"/>
      <c r="AJ54" s="477"/>
      <c r="AK54" s="477"/>
      <c r="AL54" s="477"/>
      <c r="AM54" s="477"/>
      <c r="AN54" s="477"/>
      <c r="AO54" s="477"/>
      <c r="AP54" s="477"/>
      <c r="AQ54" s="477"/>
      <c r="AR54" s="477"/>
      <c r="AS54" s="477"/>
      <c r="AT54" s="477"/>
      <c r="AU54" s="477"/>
      <c r="AV54" s="477"/>
      <c r="AW54" s="477"/>
      <c r="AX54" s="477"/>
    </row>
    <row r="55" spans="1:50" x14ac:dyDescent="0.2">
      <c r="A55" s="206"/>
      <c r="B55" s="475"/>
      <c r="C55" s="475"/>
      <c r="D55" s="475"/>
      <c r="E55" s="475"/>
      <c r="F55" s="475"/>
      <c r="G55" s="475"/>
      <c r="H55" s="475"/>
      <c r="I55" s="475"/>
      <c r="J55" s="475"/>
      <c r="K55" s="475"/>
      <c r="L55" s="475"/>
      <c r="M55" s="475"/>
      <c r="N55" s="475"/>
      <c r="O55" s="475"/>
      <c r="P55" s="475"/>
      <c r="Q55" s="475"/>
      <c r="R55" s="475"/>
      <c r="S55" s="475"/>
      <c r="T55" s="475"/>
      <c r="U55" s="475"/>
      <c r="V55" s="475"/>
      <c r="W55" s="475"/>
      <c r="X55" s="475"/>
      <c r="Y55" s="475"/>
      <c r="Z55" s="475"/>
      <c r="AA55" s="475"/>
      <c r="AB55" s="475"/>
      <c r="AC55" s="475"/>
      <c r="AD55" s="475"/>
      <c r="AE55" s="475"/>
      <c r="AF55" s="475"/>
      <c r="AG55" s="475"/>
      <c r="AH55" s="475"/>
      <c r="AI55" s="477"/>
      <c r="AJ55" s="477"/>
      <c r="AK55" s="477"/>
      <c r="AL55" s="477"/>
      <c r="AM55" s="477"/>
      <c r="AN55" s="477"/>
      <c r="AO55" s="477"/>
      <c r="AP55" s="477"/>
      <c r="AQ55" s="477"/>
      <c r="AR55" s="477"/>
      <c r="AS55" s="477"/>
      <c r="AT55" s="477"/>
      <c r="AU55" s="477"/>
      <c r="AV55" s="477"/>
      <c r="AW55" s="477"/>
      <c r="AX55" s="477"/>
    </row>
    <row r="56" spans="1:50" x14ac:dyDescent="0.2">
      <c r="A56" s="206"/>
      <c r="B56" s="475"/>
      <c r="C56" s="475"/>
      <c r="D56" s="475"/>
      <c r="E56" s="475"/>
      <c r="F56" s="475"/>
      <c r="G56" s="475"/>
      <c r="H56" s="475"/>
      <c r="I56" s="475"/>
      <c r="J56" s="475"/>
      <c r="K56" s="475"/>
      <c r="L56" s="475"/>
      <c r="M56" s="475"/>
      <c r="N56" s="475"/>
      <c r="O56" s="475"/>
      <c r="P56" s="475"/>
      <c r="Q56" s="475"/>
      <c r="R56" s="475"/>
      <c r="S56" s="475"/>
      <c r="T56" s="475"/>
      <c r="U56" s="475"/>
      <c r="V56" s="475"/>
      <c r="W56" s="475"/>
      <c r="X56" s="475"/>
      <c r="Y56" s="475"/>
      <c r="Z56" s="475"/>
      <c r="AA56" s="475"/>
      <c r="AB56" s="475"/>
      <c r="AC56" s="475"/>
      <c r="AD56" s="475"/>
      <c r="AE56" s="475"/>
      <c r="AF56" s="475"/>
      <c r="AG56" s="475"/>
      <c r="AH56" s="475"/>
      <c r="AI56" s="477"/>
      <c r="AJ56" s="477"/>
      <c r="AK56" s="477"/>
      <c r="AL56" s="477"/>
      <c r="AM56" s="477"/>
      <c r="AN56" s="477"/>
      <c r="AO56" s="477"/>
      <c r="AP56" s="477"/>
      <c r="AQ56" s="477"/>
      <c r="AR56" s="477"/>
      <c r="AS56" s="477"/>
      <c r="AT56" s="477"/>
      <c r="AU56" s="477"/>
      <c r="AV56" s="477"/>
      <c r="AW56" s="477"/>
      <c r="AX56" s="477"/>
    </row>
    <row r="57" spans="1:50" x14ac:dyDescent="0.2">
      <c r="A57" s="206"/>
      <c r="B57" s="475"/>
      <c r="C57" s="475"/>
      <c r="D57" s="475"/>
      <c r="E57" s="475"/>
      <c r="F57" s="475"/>
      <c r="G57" s="475"/>
      <c r="H57" s="475"/>
      <c r="I57" s="475"/>
      <c r="J57" s="475"/>
      <c r="K57" s="475"/>
      <c r="L57" s="475"/>
      <c r="M57" s="475"/>
      <c r="N57" s="475"/>
      <c r="O57" s="475"/>
      <c r="P57" s="475"/>
      <c r="Q57" s="475"/>
      <c r="R57" s="475"/>
      <c r="S57" s="475"/>
      <c r="T57" s="475"/>
      <c r="U57" s="475"/>
      <c r="V57" s="475"/>
      <c r="W57" s="475"/>
      <c r="X57" s="475"/>
      <c r="Y57" s="475"/>
      <c r="Z57" s="475"/>
      <c r="AA57" s="475"/>
      <c r="AB57" s="475"/>
      <c r="AC57" s="475"/>
      <c r="AD57" s="475"/>
      <c r="AE57" s="475"/>
      <c r="AF57" s="475"/>
      <c r="AG57" s="475"/>
      <c r="AH57" s="475"/>
      <c r="AI57" s="477"/>
      <c r="AJ57" s="477"/>
      <c r="AK57" s="477"/>
      <c r="AL57" s="477"/>
      <c r="AM57" s="477"/>
      <c r="AN57" s="477"/>
      <c r="AO57" s="477"/>
      <c r="AP57" s="477"/>
      <c r="AQ57" s="477"/>
      <c r="AR57" s="477"/>
      <c r="AS57" s="477"/>
      <c r="AT57" s="477"/>
      <c r="AU57" s="477"/>
      <c r="AV57" s="477"/>
      <c r="AW57" s="477"/>
      <c r="AX57" s="477"/>
    </row>
    <row r="58" spans="1:50" x14ac:dyDescent="0.2">
      <c r="A58" s="206"/>
      <c r="B58" s="475"/>
      <c r="C58" s="475"/>
      <c r="D58" s="475"/>
      <c r="E58" s="475"/>
      <c r="F58" s="475"/>
      <c r="G58" s="475"/>
      <c r="H58" s="475"/>
      <c r="I58" s="475"/>
      <c r="J58" s="475"/>
      <c r="K58" s="475"/>
      <c r="L58" s="475"/>
      <c r="M58" s="475"/>
      <c r="N58" s="475"/>
      <c r="O58" s="475"/>
      <c r="P58" s="475"/>
      <c r="Q58" s="475"/>
      <c r="R58" s="475"/>
      <c r="S58" s="475"/>
      <c r="T58" s="475"/>
      <c r="U58" s="475"/>
      <c r="V58" s="475"/>
      <c r="W58" s="475"/>
      <c r="X58" s="475"/>
      <c r="Y58" s="475"/>
      <c r="Z58" s="475"/>
      <c r="AA58" s="475"/>
      <c r="AB58" s="475"/>
      <c r="AC58" s="475"/>
      <c r="AD58" s="475"/>
      <c r="AE58" s="475"/>
      <c r="AF58" s="475"/>
      <c r="AG58" s="475"/>
      <c r="AH58" s="475"/>
      <c r="AI58" s="477"/>
      <c r="AJ58" s="477"/>
      <c r="AK58" s="477"/>
      <c r="AL58" s="477"/>
      <c r="AM58" s="477"/>
      <c r="AN58" s="477"/>
      <c r="AO58" s="477"/>
      <c r="AP58" s="477"/>
      <c r="AQ58" s="477"/>
      <c r="AR58" s="477"/>
      <c r="AS58" s="477"/>
      <c r="AT58" s="477"/>
      <c r="AU58" s="477"/>
      <c r="AV58" s="477"/>
      <c r="AW58" s="477"/>
      <c r="AX58" s="477"/>
    </row>
    <row r="59" spans="1:50" x14ac:dyDescent="0.2">
      <c r="A59" s="206"/>
      <c r="B59" s="475"/>
      <c r="C59" s="475"/>
      <c r="D59" s="475"/>
      <c r="E59" s="475"/>
      <c r="F59" s="475"/>
      <c r="G59" s="475"/>
      <c r="H59" s="475"/>
      <c r="I59" s="475"/>
      <c r="J59" s="475"/>
      <c r="K59" s="475"/>
      <c r="L59" s="475"/>
      <c r="M59" s="475"/>
      <c r="N59" s="475"/>
      <c r="O59" s="475"/>
      <c r="P59" s="475"/>
      <c r="Q59" s="475"/>
      <c r="R59" s="475"/>
      <c r="S59" s="475"/>
      <c r="T59" s="475"/>
      <c r="U59" s="475"/>
      <c r="V59" s="475"/>
      <c r="W59" s="475"/>
      <c r="X59" s="475"/>
      <c r="Y59" s="475"/>
      <c r="Z59" s="475"/>
      <c r="AA59" s="475"/>
      <c r="AB59" s="475"/>
      <c r="AC59" s="475"/>
      <c r="AD59" s="475"/>
      <c r="AE59" s="475"/>
      <c r="AF59" s="475"/>
      <c r="AG59" s="475"/>
      <c r="AH59" s="475"/>
      <c r="AI59" s="477"/>
      <c r="AJ59" s="477"/>
      <c r="AK59" s="477"/>
      <c r="AL59" s="477"/>
      <c r="AM59" s="477"/>
      <c r="AN59" s="477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</row>
    <row r="60" spans="1:50" x14ac:dyDescent="0.2">
      <c r="A60" s="206"/>
      <c r="B60" s="475"/>
      <c r="C60" s="475"/>
      <c r="D60" s="475"/>
      <c r="E60" s="475"/>
      <c r="F60" s="475"/>
      <c r="G60" s="475"/>
      <c r="H60" s="475"/>
      <c r="I60" s="475"/>
      <c r="J60" s="475"/>
      <c r="K60" s="475"/>
      <c r="L60" s="475"/>
      <c r="M60" s="475"/>
      <c r="N60" s="475"/>
      <c r="O60" s="475"/>
      <c r="P60" s="475"/>
      <c r="Q60" s="475"/>
      <c r="R60" s="475"/>
      <c r="S60" s="475"/>
      <c r="T60" s="475"/>
      <c r="U60" s="475"/>
      <c r="V60" s="475"/>
      <c r="W60" s="475"/>
      <c r="X60" s="475"/>
      <c r="Y60" s="475"/>
      <c r="Z60" s="475"/>
      <c r="AA60" s="475"/>
      <c r="AB60" s="475"/>
      <c r="AC60" s="475"/>
      <c r="AD60" s="475"/>
      <c r="AE60" s="475"/>
      <c r="AF60" s="475"/>
      <c r="AG60" s="475"/>
      <c r="AH60" s="475"/>
      <c r="AI60" s="477"/>
      <c r="AJ60" s="477"/>
      <c r="AK60" s="477"/>
      <c r="AL60" s="477"/>
      <c r="AM60" s="477"/>
      <c r="AN60" s="477"/>
      <c r="AO60" s="477"/>
      <c r="AP60" s="477"/>
      <c r="AQ60" s="477"/>
      <c r="AR60" s="477"/>
      <c r="AS60" s="477"/>
      <c r="AT60" s="477"/>
      <c r="AU60" s="477"/>
      <c r="AV60" s="477"/>
      <c r="AW60" s="477"/>
      <c r="AX60" s="477"/>
    </row>
    <row r="61" spans="1:50" x14ac:dyDescent="0.2">
      <c r="A61" s="206"/>
      <c r="B61" s="475"/>
      <c r="C61" s="475"/>
      <c r="D61" s="475"/>
      <c r="E61" s="475"/>
      <c r="F61" s="475"/>
      <c r="G61" s="475"/>
      <c r="H61" s="475"/>
      <c r="I61" s="475"/>
      <c r="J61" s="475"/>
      <c r="K61" s="475"/>
      <c r="L61" s="475"/>
      <c r="M61" s="475"/>
      <c r="N61" s="475"/>
      <c r="O61" s="475"/>
      <c r="P61" s="475"/>
      <c r="Q61" s="475"/>
      <c r="R61" s="475"/>
      <c r="S61" s="475"/>
      <c r="T61" s="475"/>
      <c r="U61" s="475"/>
      <c r="V61" s="475"/>
      <c r="W61" s="475"/>
      <c r="X61" s="475"/>
      <c r="Y61" s="475"/>
      <c r="Z61" s="475"/>
      <c r="AA61" s="475"/>
      <c r="AB61" s="475"/>
      <c r="AC61" s="475"/>
      <c r="AD61" s="475"/>
      <c r="AE61" s="475"/>
      <c r="AF61" s="475"/>
      <c r="AG61" s="475"/>
      <c r="AH61" s="475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  <c r="AX61" s="477"/>
    </row>
    <row r="62" spans="1:50" x14ac:dyDescent="0.2">
      <c r="A62" s="206"/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5"/>
      <c r="AB62" s="475"/>
      <c r="AC62" s="475"/>
      <c r="AD62" s="475"/>
      <c r="AE62" s="475"/>
      <c r="AF62" s="475"/>
      <c r="AG62" s="475"/>
      <c r="AH62" s="475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  <c r="AX62" s="477"/>
    </row>
    <row r="63" spans="1:50" x14ac:dyDescent="0.2">
      <c r="A63" s="206"/>
      <c r="B63" s="475"/>
      <c r="C63" s="475"/>
      <c r="D63" s="475"/>
      <c r="E63" s="475"/>
      <c r="F63" s="475"/>
      <c r="G63" s="475"/>
      <c r="H63" s="475"/>
      <c r="I63" s="475"/>
      <c r="J63" s="475"/>
      <c r="K63" s="475"/>
      <c r="L63" s="475"/>
      <c r="M63" s="475"/>
      <c r="N63" s="475"/>
      <c r="O63" s="475"/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5"/>
      <c r="AB63" s="475"/>
      <c r="AC63" s="475"/>
      <c r="AD63" s="475"/>
      <c r="AE63" s="475"/>
      <c r="AF63" s="475"/>
      <c r="AG63" s="475"/>
      <c r="AH63" s="475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  <c r="AX63" s="477"/>
    </row>
    <row r="64" spans="1:50" x14ac:dyDescent="0.2">
      <c r="A64" s="206"/>
      <c r="B64" s="475"/>
      <c r="C64" s="475"/>
      <c r="D64" s="475"/>
      <c r="E64" s="475"/>
      <c r="F64" s="475"/>
      <c r="G64" s="475"/>
      <c r="H64" s="475"/>
      <c r="I64" s="475"/>
      <c r="J64" s="475"/>
      <c r="K64" s="475"/>
      <c r="L64" s="475"/>
      <c r="M64" s="475"/>
      <c r="N64" s="475"/>
      <c r="O64" s="475"/>
      <c r="P64" s="475"/>
      <c r="Q64" s="475"/>
      <c r="R64" s="475"/>
      <c r="S64" s="475"/>
      <c r="T64" s="475"/>
      <c r="U64" s="475"/>
      <c r="V64" s="475"/>
      <c r="W64" s="475"/>
      <c r="X64" s="475"/>
      <c r="Y64" s="475"/>
      <c r="Z64" s="475"/>
      <c r="AA64" s="475"/>
      <c r="AB64" s="475"/>
      <c r="AC64" s="475"/>
      <c r="AD64" s="475"/>
      <c r="AE64" s="475"/>
      <c r="AF64" s="475"/>
      <c r="AG64" s="475"/>
      <c r="AH64" s="475"/>
      <c r="AI64" s="477"/>
      <c r="AJ64" s="477"/>
      <c r="AK64" s="477"/>
      <c r="AL64" s="477"/>
      <c r="AM64" s="477"/>
      <c r="AN64" s="477"/>
      <c r="AO64" s="477"/>
      <c r="AP64" s="477"/>
      <c r="AQ64" s="477"/>
      <c r="AR64" s="477"/>
      <c r="AS64" s="477"/>
      <c r="AT64" s="477"/>
      <c r="AU64" s="477"/>
      <c r="AV64" s="477"/>
      <c r="AW64" s="477"/>
      <c r="AX64" s="477"/>
    </row>
    <row r="65" spans="1:50" x14ac:dyDescent="0.2">
      <c r="A65" s="206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5"/>
      <c r="AD65" s="475"/>
      <c r="AE65" s="475"/>
      <c r="AF65" s="475"/>
      <c r="AG65" s="475"/>
      <c r="AH65" s="475"/>
      <c r="AI65" s="477"/>
      <c r="AJ65" s="477"/>
      <c r="AK65" s="477"/>
      <c r="AL65" s="477"/>
      <c r="AM65" s="477"/>
      <c r="AN65" s="477"/>
      <c r="AO65" s="477"/>
      <c r="AP65" s="477"/>
      <c r="AQ65" s="477"/>
      <c r="AR65" s="477"/>
      <c r="AS65" s="477"/>
      <c r="AT65" s="477"/>
      <c r="AU65" s="477"/>
      <c r="AV65" s="477"/>
      <c r="AW65" s="477"/>
      <c r="AX65" s="477"/>
    </row>
    <row r="66" spans="1:50" x14ac:dyDescent="0.2">
      <c r="A66" s="206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475"/>
      <c r="N66" s="475"/>
      <c r="O66" s="475"/>
      <c r="P66" s="475"/>
      <c r="Q66" s="475"/>
      <c r="R66" s="475"/>
      <c r="S66" s="475"/>
      <c r="T66" s="475"/>
      <c r="U66" s="475"/>
      <c r="V66" s="475"/>
      <c r="W66" s="475"/>
      <c r="X66" s="475"/>
      <c r="Y66" s="475"/>
      <c r="Z66" s="475"/>
      <c r="AA66" s="475"/>
      <c r="AB66" s="475"/>
      <c r="AC66" s="475"/>
      <c r="AD66" s="475"/>
      <c r="AE66" s="475"/>
      <c r="AF66" s="475"/>
      <c r="AG66" s="475"/>
      <c r="AH66" s="475"/>
      <c r="AI66" s="477"/>
      <c r="AJ66" s="477"/>
      <c r="AK66" s="477"/>
      <c r="AL66" s="477"/>
      <c r="AM66" s="477"/>
      <c r="AN66" s="477"/>
      <c r="AO66" s="477"/>
      <c r="AP66" s="477"/>
      <c r="AQ66" s="477"/>
      <c r="AR66" s="477"/>
      <c r="AS66" s="477"/>
      <c r="AT66" s="477"/>
      <c r="AU66" s="477"/>
      <c r="AV66" s="477"/>
      <c r="AW66" s="477"/>
      <c r="AX66" s="477"/>
    </row>
    <row r="67" spans="1:50" x14ac:dyDescent="0.2">
      <c r="A67" s="206"/>
      <c r="B67" s="475"/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5"/>
      <c r="R67" s="475"/>
      <c r="S67" s="475"/>
      <c r="T67" s="475"/>
      <c r="U67" s="475"/>
      <c r="V67" s="475"/>
      <c r="W67" s="475"/>
      <c r="X67" s="475"/>
      <c r="Y67" s="475"/>
      <c r="Z67" s="475"/>
      <c r="AA67" s="475"/>
      <c r="AB67" s="475"/>
      <c r="AC67" s="475"/>
      <c r="AD67" s="475"/>
      <c r="AE67" s="475"/>
      <c r="AF67" s="475"/>
      <c r="AG67" s="475"/>
      <c r="AH67" s="475"/>
      <c r="AI67" s="477"/>
      <c r="AJ67" s="477"/>
      <c r="AK67" s="477"/>
      <c r="AL67" s="477"/>
      <c r="AM67" s="477"/>
      <c r="AN67" s="477"/>
      <c r="AO67" s="477"/>
      <c r="AP67" s="477"/>
      <c r="AQ67" s="477"/>
      <c r="AR67" s="477"/>
      <c r="AS67" s="477"/>
      <c r="AT67" s="477"/>
      <c r="AU67" s="477"/>
      <c r="AV67" s="477"/>
      <c r="AW67" s="477"/>
      <c r="AX67" s="477"/>
    </row>
    <row r="68" spans="1:50" x14ac:dyDescent="0.2">
      <c r="A68" s="206"/>
      <c r="B68" s="475"/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5"/>
      <c r="AD68" s="475"/>
      <c r="AE68" s="475"/>
      <c r="AF68" s="475"/>
      <c r="AG68" s="475"/>
      <c r="AH68" s="475"/>
    </row>
    <row r="69" spans="1:50" x14ac:dyDescent="0.2">
      <c r="A69" s="206"/>
      <c r="B69" s="475"/>
      <c r="C69" s="475"/>
      <c r="D69" s="475"/>
      <c r="E69" s="475"/>
      <c r="F69" s="475"/>
      <c r="G69" s="475"/>
      <c r="H69" s="475"/>
      <c r="I69" s="475"/>
      <c r="J69" s="475"/>
      <c r="K69" s="475"/>
      <c r="L69" s="475"/>
      <c r="M69" s="475"/>
      <c r="N69" s="475"/>
      <c r="O69" s="475"/>
      <c r="P69" s="475"/>
      <c r="Q69" s="475"/>
      <c r="R69" s="475"/>
      <c r="S69" s="475"/>
      <c r="T69" s="475"/>
      <c r="U69" s="475"/>
      <c r="V69" s="475"/>
      <c r="W69" s="475"/>
      <c r="X69" s="475"/>
      <c r="Y69" s="475"/>
      <c r="Z69" s="475"/>
      <c r="AA69" s="475"/>
      <c r="AB69" s="475"/>
      <c r="AC69" s="475"/>
      <c r="AD69" s="475"/>
      <c r="AE69" s="475"/>
      <c r="AF69" s="475"/>
      <c r="AG69" s="475"/>
      <c r="AH69" s="475"/>
    </row>
    <row r="70" spans="1:50" x14ac:dyDescent="0.2">
      <c r="A70" s="206"/>
      <c r="B70" s="475"/>
      <c r="C70" s="475"/>
      <c r="D70" s="475"/>
      <c r="E70" s="475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  <c r="AA70" s="475"/>
      <c r="AB70" s="475"/>
      <c r="AC70" s="475"/>
      <c r="AD70" s="475"/>
      <c r="AE70" s="475"/>
      <c r="AF70" s="475"/>
      <c r="AG70" s="475"/>
      <c r="AH70" s="475"/>
    </row>
    <row r="71" spans="1:50" x14ac:dyDescent="0.2">
      <c r="A71" s="206"/>
      <c r="B71" s="475"/>
      <c r="C71" s="475"/>
      <c r="D71" s="475"/>
      <c r="E71" s="475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  <c r="AA71" s="475"/>
      <c r="AB71" s="475"/>
      <c r="AC71" s="475"/>
      <c r="AD71" s="475"/>
      <c r="AE71" s="475"/>
      <c r="AF71" s="475"/>
      <c r="AG71" s="475"/>
      <c r="AH71" s="475"/>
    </row>
    <row r="72" spans="1:50" x14ac:dyDescent="0.2">
      <c r="A72" s="471"/>
      <c r="B72" s="475"/>
      <c r="C72" s="475"/>
      <c r="D72" s="475"/>
      <c r="E72" s="475"/>
      <c r="F72" s="475"/>
      <c r="G72" s="475"/>
      <c r="H72" s="475"/>
      <c r="I72" s="475"/>
      <c r="J72" s="475"/>
      <c r="K72" s="475"/>
      <c r="L72" s="475"/>
      <c r="M72" s="475"/>
      <c r="N72" s="475"/>
      <c r="O72" s="475"/>
      <c r="P72" s="475"/>
      <c r="Q72" s="475"/>
      <c r="R72" s="475"/>
      <c r="S72" s="475"/>
      <c r="T72" s="475"/>
      <c r="U72" s="475"/>
      <c r="V72" s="475"/>
      <c r="W72" s="475"/>
      <c r="X72" s="475"/>
      <c r="Y72" s="475"/>
      <c r="Z72" s="475"/>
      <c r="AA72" s="475"/>
      <c r="AB72" s="475"/>
      <c r="AC72" s="475"/>
      <c r="AD72" s="475"/>
      <c r="AE72" s="475"/>
      <c r="AF72" s="475"/>
      <c r="AG72" s="475"/>
      <c r="AH72" s="475"/>
    </row>
    <row r="73" spans="1:50" x14ac:dyDescent="0.2">
      <c r="A73" s="471"/>
      <c r="B73" s="475"/>
      <c r="C73" s="475"/>
      <c r="D73" s="475"/>
      <c r="E73" s="475"/>
      <c r="F73" s="475"/>
      <c r="G73" s="475"/>
      <c r="H73" s="475"/>
      <c r="I73" s="475"/>
      <c r="J73" s="475"/>
      <c r="K73" s="475"/>
      <c r="L73" s="475"/>
      <c r="M73" s="475"/>
      <c r="N73" s="475"/>
      <c r="O73" s="475"/>
      <c r="P73" s="475"/>
      <c r="Q73" s="475"/>
      <c r="R73" s="475"/>
      <c r="S73" s="475"/>
      <c r="T73" s="475"/>
      <c r="U73" s="475"/>
      <c r="V73" s="475"/>
      <c r="W73" s="475"/>
      <c r="X73" s="475"/>
      <c r="Y73" s="475"/>
      <c r="Z73" s="475"/>
      <c r="AA73" s="475"/>
      <c r="AB73" s="475"/>
      <c r="AC73" s="475"/>
      <c r="AD73" s="475"/>
      <c r="AE73" s="475"/>
      <c r="AF73" s="475"/>
      <c r="AG73" s="475"/>
      <c r="AH73" s="475"/>
    </row>
    <row r="74" spans="1:50" x14ac:dyDescent="0.2">
      <c r="A74" s="471"/>
      <c r="B74" s="475"/>
      <c r="C74" s="475"/>
      <c r="D74" s="475"/>
      <c r="E74" s="475"/>
      <c r="F74" s="475"/>
      <c r="G74" s="475"/>
      <c r="H74" s="475"/>
      <c r="I74" s="475"/>
      <c r="J74" s="475"/>
      <c r="K74" s="475"/>
      <c r="L74" s="475"/>
      <c r="M74" s="475"/>
      <c r="N74" s="475"/>
      <c r="O74" s="475"/>
      <c r="P74" s="475"/>
      <c r="Q74" s="475"/>
      <c r="R74" s="475"/>
      <c r="S74" s="475"/>
      <c r="T74" s="475"/>
      <c r="U74" s="475"/>
      <c r="V74" s="475"/>
      <c r="W74" s="475"/>
      <c r="X74" s="475"/>
      <c r="Y74" s="475"/>
      <c r="Z74" s="475"/>
      <c r="AA74" s="475"/>
      <c r="AB74" s="475"/>
      <c r="AC74" s="475"/>
      <c r="AD74" s="475"/>
      <c r="AE74" s="475"/>
      <c r="AF74" s="475"/>
      <c r="AG74" s="475"/>
      <c r="AH74" s="475"/>
    </row>
    <row r="75" spans="1:50" x14ac:dyDescent="0.2">
      <c r="A75" s="471"/>
      <c r="B75" s="475"/>
      <c r="C75" s="475"/>
      <c r="D75" s="475"/>
      <c r="E75" s="475"/>
      <c r="F75" s="475"/>
      <c r="G75" s="475"/>
      <c r="H75" s="475"/>
      <c r="I75" s="475"/>
      <c r="J75" s="475"/>
      <c r="K75" s="475"/>
      <c r="L75" s="475"/>
      <c r="M75" s="475"/>
      <c r="N75" s="475"/>
      <c r="O75" s="475"/>
      <c r="P75" s="475"/>
      <c r="Q75" s="475"/>
      <c r="R75" s="475"/>
      <c r="S75" s="475"/>
      <c r="T75" s="475"/>
      <c r="U75" s="475"/>
      <c r="V75" s="475"/>
      <c r="W75" s="475"/>
      <c r="X75" s="475"/>
      <c r="Y75" s="475"/>
      <c r="Z75" s="475"/>
      <c r="AA75" s="475"/>
      <c r="AB75" s="475"/>
      <c r="AC75" s="475"/>
      <c r="AD75" s="475"/>
      <c r="AE75" s="475"/>
      <c r="AF75" s="475"/>
      <c r="AG75" s="475"/>
      <c r="AH75" s="475"/>
    </row>
    <row r="76" spans="1:50" x14ac:dyDescent="0.2">
      <c r="A76" s="471"/>
      <c r="B76" s="475"/>
      <c r="C76" s="475"/>
      <c r="D76" s="475"/>
      <c r="E76" s="475"/>
      <c r="F76" s="475"/>
      <c r="G76" s="475"/>
      <c r="H76" s="475"/>
      <c r="I76" s="475"/>
      <c r="J76" s="475"/>
      <c r="K76" s="475"/>
      <c r="L76" s="475"/>
      <c r="M76" s="475"/>
      <c r="N76" s="475"/>
      <c r="O76" s="475"/>
      <c r="P76" s="475"/>
      <c r="Q76" s="475"/>
      <c r="R76" s="475"/>
      <c r="S76" s="475"/>
      <c r="T76" s="475"/>
      <c r="U76" s="475"/>
      <c r="V76" s="475"/>
      <c r="W76" s="475"/>
      <c r="X76" s="475"/>
      <c r="Y76" s="475"/>
      <c r="Z76" s="475"/>
      <c r="AA76" s="475"/>
      <c r="AB76" s="475"/>
      <c r="AC76" s="475"/>
      <c r="AD76" s="475"/>
      <c r="AE76" s="475"/>
      <c r="AF76" s="475"/>
      <c r="AG76" s="475"/>
      <c r="AH76" s="475"/>
    </row>
    <row r="77" spans="1:50" x14ac:dyDescent="0.2">
      <c r="A77" s="471"/>
      <c r="B77" s="475"/>
      <c r="C77" s="475"/>
      <c r="D77" s="475"/>
      <c r="E77" s="475"/>
      <c r="F77" s="475"/>
      <c r="G77" s="475"/>
      <c r="H77" s="475"/>
      <c r="I77" s="475"/>
      <c r="J77" s="475"/>
      <c r="K77" s="475"/>
      <c r="L77" s="475"/>
      <c r="M77" s="475"/>
      <c r="N77" s="475"/>
      <c r="O77" s="475"/>
      <c r="P77" s="475"/>
      <c r="Q77" s="475"/>
      <c r="R77" s="475"/>
      <c r="S77" s="475"/>
      <c r="T77" s="475"/>
      <c r="U77" s="475"/>
      <c r="V77" s="475"/>
      <c r="W77" s="475"/>
      <c r="X77" s="475"/>
      <c r="Y77" s="475"/>
      <c r="Z77" s="475"/>
      <c r="AA77" s="475"/>
      <c r="AB77" s="475"/>
      <c r="AC77" s="475"/>
      <c r="AD77" s="475"/>
      <c r="AE77" s="475"/>
      <c r="AF77" s="475"/>
      <c r="AG77" s="475"/>
      <c r="AH77" s="475"/>
    </row>
    <row r="78" spans="1:50" x14ac:dyDescent="0.2">
      <c r="A78" s="471"/>
      <c r="B78" s="475"/>
      <c r="C78" s="475"/>
      <c r="D78" s="475"/>
      <c r="E78" s="475"/>
      <c r="F78" s="475"/>
      <c r="G78" s="475"/>
      <c r="H78" s="475"/>
      <c r="I78" s="475"/>
      <c r="J78" s="475"/>
      <c r="K78" s="475"/>
      <c r="L78" s="475"/>
      <c r="M78" s="475"/>
      <c r="N78" s="475"/>
      <c r="O78" s="475"/>
      <c r="P78" s="475"/>
      <c r="Q78" s="475"/>
      <c r="R78" s="475"/>
      <c r="S78" s="475"/>
      <c r="T78" s="475"/>
      <c r="U78" s="475"/>
      <c r="V78" s="475"/>
      <c r="W78" s="475"/>
      <c r="X78" s="475"/>
      <c r="Y78" s="475"/>
      <c r="Z78" s="475"/>
      <c r="AA78" s="475"/>
      <c r="AB78" s="475"/>
      <c r="AC78" s="475"/>
      <c r="AD78" s="475"/>
      <c r="AE78" s="475"/>
      <c r="AF78" s="475"/>
      <c r="AG78" s="475"/>
      <c r="AH78" s="475"/>
    </row>
    <row r="79" spans="1:50" x14ac:dyDescent="0.2">
      <c r="A79" s="471"/>
      <c r="B79" s="475"/>
      <c r="C79" s="475"/>
      <c r="D79" s="475"/>
      <c r="E79" s="475"/>
      <c r="F79" s="475"/>
      <c r="G79" s="475"/>
      <c r="H79" s="475"/>
      <c r="I79" s="475"/>
      <c r="J79" s="475"/>
      <c r="K79" s="475"/>
      <c r="L79" s="475"/>
      <c r="M79" s="475"/>
      <c r="N79" s="475"/>
      <c r="O79" s="475"/>
      <c r="P79" s="475"/>
      <c r="Q79" s="475"/>
      <c r="R79" s="475"/>
      <c r="S79" s="475"/>
      <c r="T79" s="475"/>
      <c r="U79" s="475"/>
      <c r="V79" s="475"/>
      <c r="W79" s="475"/>
      <c r="X79" s="475"/>
      <c r="Y79" s="475"/>
      <c r="Z79" s="475"/>
      <c r="AA79" s="475"/>
      <c r="AB79" s="475"/>
      <c r="AC79" s="475"/>
      <c r="AD79" s="475"/>
      <c r="AE79" s="475"/>
      <c r="AF79" s="475"/>
      <c r="AG79" s="475"/>
      <c r="AH79" s="475"/>
    </row>
    <row r="80" spans="1:50" x14ac:dyDescent="0.2">
      <c r="A80" s="471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475"/>
      <c r="N80" s="475"/>
      <c r="O80" s="475"/>
      <c r="P80" s="475"/>
      <c r="Q80" s="475"/>
      <c r="R80" s="475"/>
      <c r="S80" s="475"/>
      <c r="T80" s="475"/>
      <c r="U80" s="475"/>
      <c r="V80" s="475"/>
      <c r="W80" s="475"/>
      <c r="X80" s="475"/>
      <c r="Y80" s="475"/>
      <c r="Z80" s="475"/>
      <c r="AA80" s="475"/>
      <c r="AB80" s="475"/>
      <c r="AC80" s="475"/>
      <c r="AD80" s="475"/>
      <c r="AE80" s="475"/>
      <c r="AF80" s="475"/>
      <c r="AG80" s="475"/>
      <c r="AH80" s="475"/>
    </row>
    <row r="81" spans="1:34" x14ac:dyDescent="0.2">
      <c r="A81" s="471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475"/>
      <c r="N81" s="475"/>
      <c r="O81" s="475"/>
      <c r="P81" s="475"/>
      <c r="Q81" s="475"/>
      <c r="R81" s="475"/>
      <c r="S81" s="475"/>
      <c r="T81" s="475"/>
      <c r="U81" s="475"/>
      <c r="V81" s="475"/>
      <c r="W81" s="475"/>
      <c r="X81" s="475"/>
      <c r="Y81" s="475"/>
      <c r="Z81" s="475"/>
      <c r="AA81" s="475"/>
      <c r="AB81" s="475"/>
      <c r="AC81" s="475"/>
      <c r="AD81" s="475"/>
      <c r="AE81" s="475"/>
      <c r="AF81" s="475"/>
      <c r="AG81" s="475"/>
      <c r="AH81" s="475"/>
    </row>
    <row r="82" spans="1:34" x14ac:dyDescent="0.2">
      <c r="A82" s="471"/>
      <c r="B82" s="475"/>
      <c r="C82" s="475"/>
      <c r="D82" s="475"/>
      <c r="E82" s="475"/>
      <c r="F82" s="475"/>
      <c r="G82" s="475"/>
      <c r="H82" s="475"/>
      <c r="I82" s="475"/>
      <c r="J82" s="475"/>
      <c r="K82" s="475"/>
      <c r="L82" s="475"/>
      <c r="M82" s="475"/>
      <c r="N82" s="475"/>
      <c r="O82" s="475"/>
      <c r="P82" s="475"/>
      <c r="Q82" s="475"/>
      <c r="R82" s="475"/>
      <c r="S82" s="475"/>
      <c r="T82" s="475"/>
      <c r="U82" s="475"/>
      <c r="V82" s="475"/>
      <c r="W82" s="475"/>
      <c r="X82" s="475"/>
      <c r="Y82" s="475"/>
      <c r="Z82" s="475"/>
      <c r="AA82" s="475"/>
      <c r="AB82" s="475"/>
      <c r="AC82" s="475"/>
      <c r="AD82" s="475"/>
      <c r="AE82" s="475"/>
      <c r="AF82" s="475"/>
      <c r="AG82" s="475"/>
      <c r="AH82" s="475"/>
    </row>
    <row r="83" spans="1:34" x14ac:dyDescent="0.2">
      <c r="A83" s="471"/>
      <c r="B83" s="475"/>
      <c r="C83" s="475"/>
      <c r="D83" s="475"/>
      <c r="E83" s="475"/>
      <c r="F83" s="475"/>
      <c r="G83" s="475"/>
      <c r="H83" s="475"/>
      <c r="I83" s="475"/>
      <c r="J83" s="475"/>
      <c r="K83" s="475"/>
      <c r="L83" s="475"/>
      <c r="M83" s="475"/>
      <c r="N83" s="475"/>
      <c r="O83" s="475"/>
      <c r="P83" s="475"/>
      <c r="Q83" s="475"/>
      <c r="R83" s="475"/>
      <c r="S83" s="475"/>
      <c r="T83" s="475"/>
      <c r="U83" s="475"/>
      <c r="V83" s="475"/>
      <c r="W83" s="475"/>
      <c r="X83" s="475"/>
      <c r="Y83" s="475"/>
      <c r="Z83" s="475"/>
      <c r="AA83" s="475"/>
      <c r="AB83" s="475"/>
      <c r="AC83" s="475"/>
      <c r="AD83" s="475"/>
      <c r="AE83" s="475"/>
      <c r="AF83" s="475"/>
      <c r="AG83" s="475"/>
      <c r="AH83" s="475"/>
    </row>
    <row r="84" spans="1:34" x14ac:dyDescent="0.2">
      <c r="A84" s="471"/>
      <c r="B84" s="475"/>
      <c r="C84" s="475"/>
      <c r="D84" s="475"/>
      <c r="E84" s="475"/>
      <c r="F84" s="475"/>
      <c r="G84" s="475"/>
      <c r="H84" s="475"/>
      <c r="I84" s="475"/>
      <c r="J84" s="475"/>
      <c r="K84" s="475"/>
      <c r="L84" s="475"/>
      <c r="M84" s="475"/>
      <c r="N84" s="475"/>
      <c r="O84" s="475"/>
      <c r="P84" s="475"/>
      <c r="Q84" s="475"/>
      <c r="R84" s="475"/>
      <c r="S84" s="475"/>
      <c r="T84" s="475"/>
      <c r="U84" s="475"/>
      <c r="V84" s="475"/>
      <c r="W84" s="475"/>
      <c r="X84" s="475"/>
      <c r="Y84" s="475"/>
      <c r="Z84" s="475"/>
      <c r="AA84" s="475"/>
      <c r="AB84" s="475"/>
      <c r="AC84" s="475"/>
      <c r="AD84" s="475"/>
      <c r="AE84" s="475"/>
      <c r="AF84" s="475"/>
      <c r="AG84" s="475"/>
      <c r="AH84" s="475"/>
    </row>
    <row r="85" spans="1:34" x14ac:dyDescent="0.2">
      <c r="A85" s="471"/>
      <c r="B85" s="475"/>
      <c r="C85" s="475"/>
      <c r="D85" s="475"/>
      <c r="E85" s="475"/>
      <c r="F85" s="475"/>
      <c r="G85" s="475"/>
      <c r="H85" s="475"/>
      <c r="I85" s="475"/>
      <c r="J85" s="475"/>
      <c r="K85" s="475"/>
      <c r="L85" s="475"/>
      <c r="M85" s="475"/>
      <c r="N85" s="475"/>
      <c r="O85" s="475"/>
      <c r="P85" s="475"/>
      <c r="Q85" s="475"/>
      <c r="R85" s="475"/>
      <c r="S85" s="475"/>
      <c r="T85" s="475"/>
      <c r="U85" s="475"/>
      <c r="V85" s="475"/>
      <c r="W85" s="475"/>
      <c r="X85" s="475"/>
      <c r="Y85" s="475"/>
      <c r="Z85" s="475"/>
      <c r="AA85" s="475"/>
      <c r="AB85" s="475"/>
      <c r="AC85" s="475"/>
      <c r="AD85" s="475"/>
      <c r="AE85" s="475"/>
      <c r="AF85" s="475"/>
      <c r="AG85" s="475"/>
      <c r="AH85" s="475"/>
    </row>
    <row r="86" spans="1:34" x14ac:dyDescent="0.2">
      <c r="A86" s="471"/>
      <c r="B86" s="475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5"/>
      <c r="U86" s="475"/>
      <c r="V86" s="475"/>
      <c r="W86" s="475"/>
      <c r="X86" s="475"/>
      <c r="Y86" s="475"/>
      <c r="Z86" s="475"/>
      <c r="AA86" s="475"/>
      <c r="AB86" s="475"/>
      <c r="AC86" s="475"/>
      <c r="AD86" s="475"/>
      <c r="AE86" s="475"/>
      <c r="AF86" s="475"/>
      <c r="AG86" s="475"/>
      <c r="AH86" s="475"/>
    </row>
    <row r="87" spans="1:34" x14ac:dyDescent="0.2">
      <c r="A87" s="471"/>
      <c r="B87" s="475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5"/>
      <c r="U87" s="475"/>
      <c r="V87" s="475"/>
      <c r="W87" s="475"/>
      <c r="X87" s="475"/>
      <c r="Y87" s="475"/>
      <c r="Z87" s="475"/>
      <c r="AA87" s="475"/>
      <c r="AB87" s="475"/>
      <c r="AC87" s="475"/>
      <c r="AD87" s="475"/>
      <c r="AE87" s="475"/>
      <c r="AF87" s="475"/>
      <c r="AG87" s="475"/>
      <c r="AH87" s="475"/>
    </row>
    <row r="88" spans="1:34" x14ac:dyDescent="0.2">
      <c r="A88" s="471"/>
      <c r="B88" s="475"/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475"/>
      <c r="AG88" s="475"/>
      <c r="AH88" s="475"/>
    </row>
    <row r="89" spans="1:34" x14ac:dyDescent="0.2">
      <c r="A89" s="471"/>
      <c r="B89" s="475"/>
      <c r="C89" s="475"/>
      <c r="D89" s="475"/>
      <c r="E89" s="475"/>
      <c r="F89" s="475"/>
      <c r="G89" s="475"/>
      <c r="H89" s="475"/>
      <c r="I89" s="475"/>
      <c r="J89" s="475"/>
      <c r="K89" s="475"/>
      <c r="L89" s="475"/>
      <c r="M89" s="475"/>
      <c r="N89" s="475"/>
      <c r="O89" s="475"/>
      <c r="P89" s="475"/>
      <c r="Q89" s="475"/>
      <c r="R89" s="475"/>
      <c r="S89" s="475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475"/>
      <c r="AG89" s="475"/>
      <c r="AH89" s="475"/>
    </row>
    <row r="90" spans="1:34" x14ac:dyDescent="0.2">
      <c r="A90" s="471"/>
      <c r="B90" s="342"/>
      <c r="C90" s="342"/>
      <c r="D90" s="342"/>
      <c r="E90" s="342"/>
      <c r="F90" s="342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</row>
    <row r="91" spans="1:34" x14ac:dyDescent="0.2">
      <c r="A91" s="47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</row>
    <row r="92" spans="1:34" x14ac:dyDescent="0.2">
      <c r="A92" s="471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</row>
    <row r="93" spans="1:34" x14ac:dyDescent="0.2">
      <c r="A93" s="47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</row>
    <row r="94" spans="1:34" x14ac:dyDescent="0.2">
      <c r="A94" s="471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</row>
    <row r="95" spans="1:34" x14ac:dyDescent="0.2">
      <c r="A95" s="471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</row>
    <row r="96" spans="1:34" x14ac:dyDescent="0.2">
      <c r="A96" s="471"/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</row>
    <row r="97" spans="1:32" x14ac:dyDescent="0.2">
      <c r="A97" s="471"/>
      <c r="B97" s="34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</row>
    <row r="98" spans="1:32" x14ac:dyDescent="0.2">
      <c r="A98" s="471"/>
      <c r="B98" s="34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</row>
    <row r="99" spans="1:32" x14ac:dyDescent="0.2">
      <c r="A99" s="471"/>
      <c r="B99" s="34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</row>
    <row r="100" spans="1:32" x14ac:dyDescent="0.2">
      <c r="A100" s="47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</row>
    <row r="101" spans="1:32" x14ac:dyDescent="0.2">
      <c r="A101" s="47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</row>
    <row r="102" spans="1:32" x14ac:dyDescent="0.2">
      <c r="A102" s="471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</row>
    <row r="103" spans="1:32" x14ac:dyDescent="0.2">
      <c r="A103" s="47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</row>
    <row r="104" spans="1:32" x14ac:dyDescent="0.2">
      <c r="A104" s="471"/>
      <c r="B104" s="472"/>
      <c r="C104" s="463"/>
    </row>
    <row r="105" spans="1:32" x14ac:dyDescent="0.2">
      <c r="A105" s="471"/>
      <c r="B105" s="472"/>
      <c r="C105" s="463"/>
    </row>
    <row r="106" spans="1:32" x14ac:dyDescent="0.2">
      <c r="A106" s="471"/>
      <c r="B106" s="472"/>
      <c r="C106" s="463"/>
    </row>
    <row r="107" spans="1:32" x14ac:dyDescent="0.2">
      <c r="A107" s="471"/>
      <c r="B107" s="472"/>
      <c r="C107" s="463"/>
    </row>
    <row r="108" spans="1:32" x14ac:dyDescent="0.2">
      <c r="A108" s="471"/>
      <c r="B108" s="472"/>
      <c r="C108" s="463"/>
    </row>
    <row r="109" spans="1:32" x14ac:dyDescent="0.2">
      <c r="A109" s="471"/>
      <c r="B109" s="472"/>
      <c r="C109" s="463"/>
    </row>
    <row r="110" spans="1:32" x14ac:dyDescent="0.2">
      <c r="A110" s="471"/>
      <c r="B110" s="472"/>
      <c r="C110" s="463"/>
    </row>
    <row r="111" spans="1:32" x14ac:dyDescent="0.2">
      <c r="A111" s="471"/>
      <c r="B111" s="472"/>
      <c r="C111" s="463"/>
    </row>
    <row r="112" spans="1:32" x14ac:dyDescent="0.2">
      <c r="A112" s="471"/>
      <c r="B112" s="472"/>
      <c r="C112" s="463"/>
    </row>
    <row r="113" spans="1:3" x14ac:dyDescent="0.2">
      <c r="A113" s="471"/>
      <c r="B113" s="472"/>
      <c r="C113" s="463"/>
    </row>
    <row r="114" spans="1:3" x14ac:dyDescent="0.2">
      <c r="A114" s="471"/>
      <c r="B114" s="472"/>
      <c r="C114" s="463"/>
    </row>
    <row r="115" spans="1:3" x14ac:dyDescent="0.2">
      <c r="A115" s="471"/>
      <c r="B115" s="472"/>
      <c r="C115" s="463"/>
    </row>
    <row r="116" spans="1:3" x14ac:dyDescent="0.2">
      <c r="A116" s="471"/>
      <c r="B116" s="472"/>
      <c r="C116" s="463"/>
    </row>
    <row r="117" spans="1:3" x14ac:dyDescent="0.2">
      <c r="A117" s="471"/>
      <c r="B117" s="472"/>
      <c r="C117" s="463"/>
    </row>
    <row r="118" spans="1:3" x14ac:dyDescent="0.2">
      <c r="A118" s="471"/>
      <c r="B118" s="472"/>
      <c r="C118" s="463"/>
    </row>
    <row r="119" spans="1:3" x14ac:dyDescent="0.2">
      <c r="A119" s="471"/>
      <c r="B119" s="472"/>
      <c r="C119" s="463"/>
    </row>
    <row r="120" spans="1:3" x14ac:dyDescent="0.2">
      <c r="A120" s="471"/>
      <c r="B120" s="472"/>
      <c r="C120" s="463"/>
    </row>
    <row r="121" spans="1:3" x14ac:dyDescent="0.2">
      <c r="A121" s="471"/>
      <c r="B121" s="472"/>
      <c r="C121" s="463"/>
    </row>
    <row r="122" spans="1:3" x14ac:dyDescent="0.2">
      <c r="A122" s="471"/>
      <c r="B122" s="472"/>
      <c r="C122" s="463"/>
    </row>
    <row r="123" spans="1:3" x14ac:dyDescent="0.2">
      <c r="A123" s="471"/>
      <c r="B123" s="472"/>
      <c r="C123" s="463"/>
    </row>
    <row r="124" spans="1:3" x14ac:dyDescent="0.2">
      <c r="A124" s="471"/>
      <c r="B124" s="472"/>
      <c r="C124" s="463"/>
    </row>
    <row r="125" spans="1:3" x14ac:dyDescent="0.2">
      <c r="A125" s="471"/>
      <c r="B125" s="472"/>
      <c r="C125" s="463"/>
    </row>
    <row r="126" spans="1:3" x14ac:dyDescent="0.2">
      <c r="A126" s="471"/>
      <c r="B126" s="472"/>
      <c r="C126" s="463"/>
    </row>
    <row r="127" spans="1:3" x14ac:dyDescent="0.2">
      <c r="A127" s="471"/>
      <c r="B127" s="472"/>
      <c r="C127" s="463"/>
    </row>
    <row r="128" spans="1:3" x14ac:dyDescent="0.2">
      <c r="A128" s="471"/>
      <c r="B128" s="472"/>
      <c r="C128" s="463"/>
    </row>
    <row r="129" spans="1:3" x14ac:dyDescent="0.2">
      <c r="A129" s="471"/>
      <c r="B129" s="472"/>
      <c r="C129" s="463"/>
    </row>
    <row r="130" spans="1:3" x14ac:dyDescent="0.2">
      <c r="A130" s="471"/>
      <c r="B130" s="472"/>
      <c r="C130" s="463"/>
    </row>
    <row r="131" spans="1:3" x14ac:dyDescent="0.2">
      <c r="A131" s="471"/>
      <c r="B131" s="472"/>
      <c r="C131" s="463"/>
    </row>
    <row r="132" spans="1:3" x14ac:dyDescent="0.2">
      <c r="A132" s="471"/>
      <c r="B132" s="472"/>
      <c r="C132" s="463"/>
    </row>
    <row r="133" spans="1:3" x14ac:dyDescent="0.2">
      <c r="A133" s="471"/>
      <c r="B133" s="472"/>
      <c r="C133" s="463"/>
    </row>
    <row r="134" spans="1:3" x14ac:dyDescent="0.2">
      <c r="A134" s="471"/>
      <c r="B134" s="472"/>
      <c r="C134" s="463"/>
    </row>
    <row r="135" spans="1:3" x14ac:dyDescent="0.2">
      <c r="A135" s="471"/>
      <c r="B135" s="472"/>
      <c r="C135" s="463"/>
    </row>
    <row r="136" spans="1:3" x14ac:dyDescent="0.2">
      <c r="A136" s="471"/>
      <c r="B136" s="472"/>
      <c r="C136" s="463"/>
    </row>
    <row r="137" spans="1:3" x14ac:dyDescent="0.2">
      <c r="A137" s="471"/>
      <c r="B137" s="472"/>
      <c r="C137" s="463"/>
    </row>
    <row r="138" spans="1:3" x14ac:dyDescent="0.2">
      <c r="A138" s="471"/>
      <c r="B138" s="472"/>
      <c r="C138" s="463"/>
    </row>
    <row r="139" spans="1:3" x14ac:dyDescent="0.2">
      <c r="A139" s="471"/>
      <c r="B139" s="472"/>
      <c r="C139" s="463"/>
    </row>
    <row r="140" spans="1:3" x14ac:dyDescent="0.2">
      <c r="A140" s="471"/>
      <c r="B140" s="472"/>
      <c r="C140" s="463"/>
    </row>
    <row r="141" spans="1:3" x14ac:dyDescent="0.2">
      <c r="A141" s="471"/>
      <c r="B141" s="472"/>
      <c r="C141" s="463"/>
    </row>
    <row r="142" spans="1:3" x14ac:dyDescent="0.2">
      <c r="A142" s="471"/>
      <c r="B142" s="472"/>
      <c r="C142" s="463"/>
    </row>
    <row r="143" spans="1:3" x14ac:dyDescent="0.2">
      <c r="A143" s="471"/>
      <c r="B143" s="472"/>
      <c r="C143" s="463"/>
    </row>
    <row r="144" spans="1:3" x14ac:dyDescent="0.2">
      <c r="A144" s="471"/>
      <c r="B144" s="472"/>
      <c r="C144" s="463"/>
    </row>
    <row r="145" spans="1:3" x14ac:dyDescent="0.2">
      <c r="A145" s="471"/>
      <c r="B145" s="472"/>
      <c r="C145" s="463"/>
    </row>
    <row r="146" spans="1:3" x14ac:dyDescent="0.2">
      <c r="A146" s="471"/>
      <c r="B146" s="472"/>
      <c r="C146" s="463"/>
    </row>
    <row r="147" spans="1:3" x14ac:dyDescent="0.2">
      <c r="A147" s="471"/>
      <c r="B147" s="472"/>
      <c r="C147" s="463"/>
    </row>
    <row r="148" spans="1:3" x14ac:dyDescent="0.2">
      <c r="A148" s="471"/>
      <c r="B148" s="472"/>
      <c r="C148" s="463"/>
    </row>
    <row r="149" spans="1:3" x14ac:dyDescent="0.2">
      <c r="A149" s="471"/>
      <c r="B149" s="472"/>
      <c r="C149" s="463"/>
    </row>
    <row r="150" spans="1:3" x14ac:dyDescent="0.2">
      <c r="A150" s="471"/>
      <c r="B150" s="472"/>
      <c r="C150" s="463"/>
    </row>
    <row r="151" spans="1:3" x14ac:dyDescent="0.2">
      <c r="A151" s="471"/>
      <c r="B151" s="472"/>
      <c r="C151" s="463"/>
    </row>
    <row r="152" spans="1:3" x14ac:dyDescent="0.2">
      <c r="A152" s="471"/>
      <c r="B152" s="472"/>
      <c r="C152" s="463"/>
    </row>
    <row r="153" spans="1:3" x14ac:dyDescent="0.2">
      <c r="A153" s="471"/>
      <c r="B153" s="472"/>
      <c r="C153" s="463"/>
    </row>
    <row r="154" spans="1:3" x14ac:dyDescent="0.2">
      <c r="A154" s="471"/>
      <c r="B154" s="472"/>
      <c r="C154" s="463"/>
    </row>
    <row r="155" spans="1:3" x14ac:dyDescent="0.2">
      <c r="A155" s="471"/>
      <c r="B155" s="472"/>
      <c r="C155" s="463"/>
    </row>
    <row r="156" spans="1:3" x14ac:dyDescent="0.2">
      <c r="A156" s="471"/>
      <c r="B156" s="472"/>
      <c r="C156" s="463"/>
    </row>
    <row r="157" spans="1:3" x14ac:dyDescent="0.2">
      <c r="A157" s="471"/>
      <c r="B157" s="472"/>
      <c r="C157" s="463"/>
    </row>
    <row r="158" spans="1:3" x14ac:dyDescent="0.2">
      <c r="A158" s="471"/>
      <c r="B158" s="472"/>
      <c r="C158" s="463"/>
    </row>
    <row r="159" spans="1:3" x14ac:dyDescent="0.2">
      <c r="A159" s="471"/>
      <c r="B159" s="472"/>
      <c r="C159" s="463"/>
    </row>
    <row r="160" spans="1:3" x14ac:dyDescent="0.2">
      <c r="A160" s="471"/>
      <c r="B160" s="472"/>
      <c r="C160" s="463"/>
    </row>
    <row r="161" spans="1:3" x14ac:dyDescent="0.2">
      <c r="A161" s="471"/>
      <c r="B161" s="472"/>
      <c r="C161" s="463"/>
    </row>
    <row r="162" spans="1:3" x14ac:dyDescent="0.2">
      <c r="A162" s="471"/>
      <c r="B162" s="472"/>
      <c r="C162" s="463"/>
    </row>
    <row r="163" spans="1:3" x14ac:dyDescent="0.2">
      <c r="A163" s="471"/>
      <c r="B163" s="472"/>
      <c r="C163" s="463"/>
    </row>
    <row r="164" spans="1:3" x14ac:dyDescent="0.2">
      <c r="A164" s="471"/>
      <c r="B164" s="472"/>
      <c r="C164" s="463"/>
    </row>
    <row r="165" spans="1:3" x14ac:dyDescent="0.2">
      <c r="A165" s="471"/>
      <c r="B165" s="472"/>
      <c r="C165" s="463"/>
    </row>
    <row r="166" spans="1:3" x14ac:dyDescent="0.2">
      <c r="A166" s="471"/>
      <c r="B166" s="472"/>
      <c r="C166" s="463"/>
    </row>
    <row r="167" spans="1:3" x14ac:dyDescent="0.2">
      <c r="A167" s="471"/>
      <c r="B167" s="472"/>
      <c r="C167" s="463"/>
    </row>
    <row r="168" spans="1:3" x14ac:dyDescent="0.2">
      <c r="A168" s="471"/>
      <c r="B168" s="472"/>
      <c r="C168" s="463"/>
    </row>
    <row r="169" spans="1:3" x14ac:dyDescent="0.2">
      <c r="A169" s="471"/>
      <c r="B169" s="472"/>
      <c r="C169" s="463"/>
    </row>
    <row r="170" spans="1:3" x14ac:dyDescent="0.2">
      <c r="A170" s="471"/>
      <c r="B170" s="472"/>
      <c r="C170" s="463"/>
    </row>
    <row r="171" spans="1:3" x14ac:dyDescent="0.2">
      <c r="A171" s="471"/>
      <c r="B171" s="472"/>
      <c r="C171" s="463"/>
    </row>
    <row r="172" spans="1:3" x14ac:dyDescent="0.2">
      <c r="A172" s="471"/>
      <c r="B172" s="472"/>
      <c r="C172" s="463"/>
    </row>
    <row r="173" spans="1:3" x14ac:dyDescent="0.2">
      <c r="A173" s="471"/>
      <c r="B173" s="472"/>
      <c r="C173" s="463"/>
    </row>
    <row r="174" spans="1:3" x14ac:dyDescent="0.2">
      <c r="A174" s="471"/>
      <c r="B174" s="472"/>
      <c r="C174" s="463"/>
    </row>
    <row r="175" spans="1:3" x14ac:dyDescent="0.2">
      <c r="A175" s="471"/>
      <c r="B175" s="472"/>
      <c r="C175" s="463"/>
    </row>
    <row r="176" spans="1:3" x14ac:dyDescent="0.2">
      <c r="A176" s="471"/>
      <c r="B176" s="472"/>
      <c r="C176" s="463"/>
    </row>
    <row r="177" spans="1:3" x14ac:dyDescent="0.2">
      <c r="A177" s="471"/>
      <c r="B177" s="472"/>
      <c r="C177" s="463"/>
    </row>
    <row r="178" spans="1:3" x14ac:dyDescent="0.2">
      <c r="A178" s="471"/>
      <c r="B178" s="472"/>
      <c r="C178" s="463"/>
    </row>
    <row r="179" spans="1:3" x14ac:dyDescent="0.2">
      <c r="A179" s="471"/>
      <c r="B179" s="472"/>
      <c r="C179" s="463"/>
    </row>
    <row r="180" spans="1:3" x14ac:dyDescent="0.2">
      <c r="A180" s="471"/>
      <c r="B180" s="472"/>
      <c r="C180" s="463"/>
    </row>
    <row r="181" spans="1:3" x14ac:dyDescent="0.2">
      <c r="A181" s="471"/>
      <c r="B181" s="472"/>
      <c r="C181" s="463"/>
    </row>
    <row r="182" spans="1:3" x14ac:dyDescent="0.2">
      <c r="A182" s="471"/>
      <c r="B182" s="472"/>
      <c r="C182" s="463"/>
    </row>
    <row r="183" spans="1:3" x14ac:dyDescent="0.2">
      <c r="A183" s="471"/>
      <c r="B183" s="472"/>
      <c r="C183" s="463"/>
    </row>
    <row r="184" spans="1:3" x14ac:dyDescent="0.2">
      <c r="A184" s="471"/>
      <c r="B184" s="472"/>
      <c r="C184" s="463"/>
    </row>
    <row r="185" spans="1:3" x14ac:dyDescent="0.2">
      <c r="A185" s="471"/>
      <c r="B185" s="472"/>
      <c r="C185" s="463"/>
    </row>
    <row r="186" spans="1:3" x14ac:dyDescent="0.2">
      <c r="A186" s="471"/>
      <c r="B186" s="472"/>
      <c r="C186" s="463"/>
    </row>
    <row r="187" spans="1:3" x14ac:dyDescent="0.2">
      <c r="A187" s="471"/>
      <c r="B187" s="472"/>
      <c r="C187" s="463"/>
    </row>
    <row r="188" spans="1:3" x14ac:dyDescent="0.2">
      <c r="A188" s="471"/>
      <c r="B188" s="472"/>
      <c r="C188" s="463"/>
    </row>
    <row r="189" spans="1:3" x14ac:dyDescent="0.2">
      <c r="A189" s="471"/>
      <c r="B189" s="472"/>
      <c r="C189" s="463"/>
    </row>
    <row r="190" spans="1:3" x14ac:dyDescent="0.2">
      <c r="A190" s="471"/>
      <c r="B190" s="472"/>
      <c r="C190" s="463"/>
    </row>
    <row r="191" spans="1:3" x14ac:dyDescent="0.2">
      <c r="A191" s="471"/>
      <c r="B191" s="472"/>
      <c r="C191" s="463"/>
    </row>
    <row r="192" spans="1:3" x14ac:dyDescent="0.2">
      <c r="A192" s="471"/>
      <c r="B192" s="472"/>
      <c r="C192" s="463"/>
    </row>
    <row r="193" spans="1:3" x14ac:dyDescent="0.2">
      <c r="A193" s="471"/>
      <c r="B193" s="472"/>
      <c r="C193" s="463"/>
    </row>
    <row r="194" spans="1:3" x14ac:dyDescent="0.2">
      <c r="A194" s="471"/>
      <c r="B194" s="472"/>
      <c r="C194" s="463"/>
    </row>
    <row r="195" spans="1:3" x14ac:dyDescent="0.2">
      <c r="A195" s="471"/>
      <c r="B195" s="472"/>
      <c r="C195" s="463"/>
    </row>
    <row r="196" spans="1:3" x14ac:dyDescent="0.2">
      <c r="A196" s="471"/>
      <c r="B196" s="472"/>
      <c r="C196" s="463"/>
    </row>
    <row r="197" spans="1:3" x14ac:dyDescent="0.2">
      <c r="A197" s="471"/>
      <c r="B197" s="472"/>
      <c r="C197" s="463"/>
    </row>
    <row r="198" spans="1:3" x14ac:dyDescent="0.2">
      <c r="A198" s="471"/>
      <c r="B198" s="472"/>
      <c r="C198" s="463"/>
    </row>
    <row r="199" spans="1:3" x14ac:dyDescent="0.2">
      <c r="A199" s="471"/>
      <c r="B199" s="472"/>
      <c r="C199" s="463"/>
    </row>
    <row r="200" spans="1:3" x14ac:dyDescent="0.2">
      <c r="A200" s="471"/>
      <c r="B200" s="472"/>
      <c r="C200" s="463"/>
    </row>
    <row r="201" spans="1:3" x14ac:dyDescent="0.2">
      <c r="A201" s="471"/>
      <c r="B201" s="472"/>
      <c r="C201" s="463"/>
    </row>
    <row r="202" spans="1:3" x14ac:dyDescent="0.2">
      <c r="A202" s="471"/>
      <c r="B202" s="472"/>
      <c r="C202" s="463"/>
    </row>
    <row r="203" spans="1:3" x14ac:dyDescent="0.2">
      <c r="A203" s="471"/>
      <c r="B203" s="472"/>
      <c r="C203" s="463"/>
    </row>
    <row r="204" spans="1:3" x14ac:dyDescent="0.2">
      <c r="A204" s="471"/>
      <c r="B204" s="472"/>
      <c r="C204" s="463"/>
    </row>
    <row r="205" spans="1:3" x14ac:dyDescent="0.2">
      <c r="A205" s="471"/>
      <c r="B205" s="472"/>
      <c r="C205" s="463"/>
    </row>
    <row r="206" spans="1:3" x14ac:dyDescent="0.2">
      <c r="A206" s="471"/>
      <c r="B206" s="472"/>
      <c r="C206" s="463"/>
    </row>
    <row r="207" spans="1:3" x14ac:dyDescent="0.2">
      <c r="A207" s="471"/>
      <c r="B207" s="472"/>
      <c r="C207" s="463"/>
    </row>
    <row r="208" spans="1:3" x14ac:dyDescent="0.2">
      <c r="A208" s="471"/>
      <c r="B208" s="472"/>
      <c r="C208" s="463"/>
    </row>
    <row r="209" spans="1:3" x14ac:dyDescent="0.2">
      <c r="A209" s="471"/>
      <c r="B209" s="472"/>
      <c r="C209" s="463"/>
    </row>
    <row r="210" spans="1:3" x14ac:dyDescent="0.2">
      <c r="A210" s="471"/>
      <c r="B210" s="472"/>
      <c r="C210" s="463"/>
    </row>
    <row r="211" spans="1:3" x14ac:dyDescent="0.2">
      <c r="A211" s="471"/>
      <c r="B211" s="472"/>
      <c r="C211" s="463"/>
    </row>
    <row r="212" spans="1:3" x14ac:dyDescent="0.2">
      <c r="A212" s="471"/>
      <c r="B212" s="472"/>
      <c r="C212" s="463"/>
    </row>
    <row r="213" spans="1:3" x14ac:dyDescent="0.2">
      <c r="A213" s="471"/>
      <c r="B213" s="472"/>
      <c r="C213" s="463"/>
    </row>
    <row r="214" spans="1:3" x14ac:dyDescent="0.2">
      <c r="A214" s="471"/>
      <c r="B214" s="472"/>
      <c r="C214" s="463"/>
    </row>
    <row r="215" spans="1:3" x14ac:dyDescent="0.2">
      <c r="A215" s="471"/>
      <c r="B215" s="472"/>
      <c r="C215" s="463"/>
    </row>
    <row r="216" spans="1:3" x14ac:dyDescent="0.2">
      <c r="A216" s="471"/>
      <c r="B216" s="472"/>
      <c r="C216" s="463"/>
    </row>
    <row r="217" spans="1:3" x14ac:dyDescent="0.2">
      <c r="A217" s="471"/>
      <c r="B217" s="472"/>
      <c r="C217" s="463"/>
    </row>
    <row r="218" spans="1:3" x14ac:dyDescent="0.2">
      <c r="A218" s="471"/>
      <c r="B218" s="472"/>
      <c r="C218" s="463"/>
    </row>
    <row r="219" spans="1:3" x14ac:dyDescent="0.2">
      <c r="A219" s="471"/>
      <c r="B219" s="472"/>
      <c r="C219" s="463"/>
    </row>
    <row r="220" spans="1:3" x14ac:dyDescent="0.2">
      <c r="A220" s="471"/>
      <c r="B220" s="472"/>
      <c r="C220" s="463"/>
    </row>
    <row r="221" spans="1:3" x14ac:dyDescent="0.2">
      <c r="A221" s="471"/>
      <c r="B221" s="472"/>
      <c r="C221" s="463"/>
    </row>
    <row r="222" spans="1:3" x14ac:dyDescent="0.2">
      <c r="A222" s="471"/>
      <c r="B222" s="472"/>
      <c r="C222" s="463"/>
    </row>
    <row r="223" spans="1:3" x14ac:dyDescent="0.2">
      <c r="A223" s="471"/>
      <c r="B223" s="472"/>
      <c r="C223" s="463"/>
    </row>
    <row r="224" spans="1:3" x14ac:dyDescent="0.2">
      <c r="A224" s="471"/>
      <c r="B224" s="472"/>
      <c r="C224" s="463"/>
    </row>
    <row r="225" spans="1:3" x14ac:dyDescent="0.2">
      <c r="A225" s="471"/>
      <c r="B225" s="472"/>
      <c r="C225" s="463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">
      <c r="A38" s="26"/>
      <c r="B38" s="31"/>
      <c r="C38" s="14"/>
      <c r="D38" s="337">
        <f>+summary!H5</f>
        <v>2.04</v>
      </c>
    </row>
    <row r="39" spans="1:4" x14ac:dyDescent="0.2">
      <c r="D39" s="138">
        <f>+D38*D37</f>
        <v>7719.3600000000006</v>
      </c>
    </row>
    <row r="40" spans="1:4" x14ac:dyDescent="0.2">
      <c r="A40" s="57">
        <v>37225</v>
      </c>
      <c r="C40" s="15"/>
      <c r="D40" s="567">
        <v>57061.55</v>
      </c>
    </row>
    <row r="41" spans="1:4" x14ac:dyDescent="0.2">
      <c r="A41" s="57">
        <v>37235</v>
      </c>
      <c r="C41" s="48"/>
      <c r="D41" s="138">
        <f>+D40+D39</f>
        <v>64780.91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57">
        <v>42218</v>
      </c>
    </row>
    <row r="46" spans="1:4" x14ac:dyDescent="0.2">
      <c r="A46" s="49">
        <f>+A41</f>
        <v>37235</v>
      </c>
      <c r="B46" s="32"/>
      <c r="C46" s="32"/>
      <c r="D46" s="363">
        <f>+D37</f>
        <v>3784</v>
      </c>
    </row>
    <row r="47" spans="1:4" x14ac:dyDescent="0.2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19665.599999999999</v>
      </c>
    </row>
    <row r="40" spans="1:4" x14ac:dyDescent="0.2">
      <c r="A40" s="57">
        <v>37225</v>
      </c>
      <c r="C40" s="15"/>
      <c r="D40" s="566">
        <v>35912.71</v>
      </c>
    </row>
    <row r="41" spans="1:4" x14ac:dyDescent="0.2">
      <c r="A41" s="57">
        <v>37236</v>
      </c>
      <c r="C41" s="48"/>
      <c r="D41" s="138">
        <f>+D40+D39</f>
        <v>55578.31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17122</v>
      </c>
    </row>
    <row r="47" spans="1:4" x14ac:dyDescent="0.2">
      <c r="A47" s="49">
        <f>+A41</f>
        <v>37236</v>
      </c>
      <c r="B47" s="32"/>
      <c r="C47" s="32"/>
      <c r="D47" s="363">
        <f>+D37</f>
        <v>9640</v>
      </c>
    </row>
    <row r="48" spans="1:4" x14ac:dyDescent="0.2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9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9" t="s">
        <v>181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0" t="s">
        <v>20</v>
      </c>
      <c r="J14" s="430" t="s">
        <v>21</v>
      </c>
      <c r="K14" s="431" t="s">
        <v>50</v>
      </c>
      <c r="L14" s="429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9">
        <v>8.2100000000000009</v>
      </c>
      <c r="M16" s="434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9">
        <v>5.62</v>
      </c>
      <c r="M17" s="434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9">
        <v>4.9800000000000004</v>
      </c>
      <c r="M18" s="434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9">
        <v>4.87</v>
      </c>
      <c r="M19" s="434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9">
        <v>3.82</v>
      </c>
      <c r="M20" s="434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9">
        <v>3.2</v>
      </c>
      <c r="M21" s="434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9">
        <v>2.77</v>
      </c>
      <c r="M22" s="435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2"/>
      <c r="M23" s="433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-17136</v>
      </c>
      <c r="C37" s="11">
        <f>SUM(C6:C36)</f>
        <v>-17468</v>
      </c>
      <c r="D37" s="25">
        <f>SUM(D6:D36)</f>
        <v>-332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-670.64</v>
      </c>
    </row>
    <row r="40" spans="1:4" x14ac:dyDescent="0.2">
      <c r="A40" s="57">
        <v>37225</v>
      </c>
      <c r="C40" s="15"/>
      <c r="D40" s="567">
        <v>-345354</v>
      </c>
    </row>
    <row r="41" spans="1:4" x14ac:dyDescent="0.2">
      <c r="A41" s="57">
        <v>37236</v>
      </c>
      <c r="C41" s="48"/>
      <c r="D41" s="138">
        <f>+D40+D39</f>
        <v>-346024.64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57">
        <v>-39976</v>
      </c>
    </row>
    <row r="49" spans="1:4" x14ac:dyDescent="0.2">
      <c r="A49" s="49">
        <f>+A41</f>
        <v>37236</v>
      </c>
      <c r="B49" s="32"/>
      <c r="C49" s="32"/>
      <c r="D49" s="363">
        <f>+D37</f>
        <v>-332</v>
      </c>
    </row>
    <row r="50" spans="1:4" x14ac:dyDescent="0.2">
      <c r="A50" s="32"/>
      <c r="B50" s="32"/>
      <c r="C50" s="32"/>
      <c r="D50" s="14">
        <f>+D49+D48</f>
        <v>-40308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9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15145.960000000001</v>
      </c>
    </row>
    <row r="40" spans="1:4" x14ac:dyDescent="0.2">
      <c r="A40" s="57">
        <v>37225</v>
      </c>
      <c r="C40" s="15"/>
      <c r="D40" s="567">
        <v>51396</v>
      </c>
    </row>
    <row r="41" spans="1:4" x14ac:dyDescent="0.2">
      <c r="A41" s="57">
        <v>37235</v>
      </c>
      <c r="C41" s="48"/>
      <c r="D41" s="138">
        <f>+D40+D39</f>
        <v>66541.960000000006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28886</v>
      </c>
    </row>
    <row r="47" spans="1:4" x14ac:dyDescent="0.2">
      <c r="A47" s="49">
        <f>+A41</f>
        <v>37235</v>
      </c>
      <c r="B47" s="32"/>
      <c r="C47" s="32"/>
      <c r="D47" s="363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4"/>
      <c r="C5" s="90">
        <v>-1260</v>
      </c>
      <c r="D5" s="90">
        <f>+C5-B5</f>
        <v>-1260</v>
      </c>
      <c r="E5" s="282"/>
      <c r="F5" s="280"/>
    </row>
    <row r="6" spans="1:13" x14ac:dyDescent="0.2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5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-5245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">
      <c r="A14" s="87"/>
      <c r="B14" s="88"/>
      <c r="C14" s="88"/>
      <c r="D14" s="96">
        <f>+D13*D12</f>
        <v>-10594.9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64">
        <v>-510924.54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37235</v>
      </c>
      <c r="B18" s="88"/>
      <c r="C18" s="88"/>
      <c r="D18" s="329">
        <f>+D16+D14</f>
        <v>-521519.44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57">
        <v>-24926</v>
      </c>
    </row>
    <row r="23" spans="1:7" x14ac:dyDescent="0.2">
      <c r="A23" s="49">
        <f>+A18</f>
        <v>37235</v>
      </c>
      <c r="B23" s="32"/>
      <c r="C23" s="32"/>
      <c r="D23" s="363">
        <f>+D12</f>
        <v>-5245</v>
      </c>
    </row>
    <row r="24" spans="1:7" x14ac:dyDescent="0.2">
      <c r="A24" s="32"/>
      <c r="B24" s="32"/>
      <c r="C24" s="32"/>
      <c r="D24" s="14">
        <f>+D23+D22</f>
        <v>-30171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C40" sqref="C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6" x14ac:dyDescent="0.2">
      <c r="A38" s="26"/>
      <c r="C38" s="14"/>
      <c r="D38" s="350"/>
    </row>
    <row r="39" spans="1:6" x14ac:dyDescent="0.2">
      <c r="D39" s="138"/>
    </row>
    <row r="40" spans="1:6" x14ac:dyDescent="0.2">
      <c r="A40" s="57">
        <v>37225</v>
      </c>
      <c r="C40" s="15"/>
      <c r="D40" s="505">
        <f>-23051+9445</f>
        <v>-13606</v>
      </c>
    </row>
    <row r="41" spans="1:6" x14ac:dyDescent="0.2">
      <c r="A41" s="57">
        <v>37236</v>
      </c>
      <c r="C41" s="48"/>
      <c r="D41" s="25">
        <f>+D40+D37</f>
        <v>-22665</v>
      </c>
      <c r="E41">
        <v>2.12</v>
      </c>
      <c r="F41">
        <f>+E41*D41</f>
        <v>-48049.8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14">
        <v>159102</v>
      </c>
    </row>
    <row r="46" spans="1:6" x14ac:dyDescent="0.2">
      <c r="A46" s="49">
        <f>+A41</f>
        <v>37236</v>
      </c>
      <c r="B46" s="32"/>
      <c r="C46" s="32"/>
      <c r="D46" s="390">
        <f>+D37*'by type_area'!J4</f>
        <v>-18299.18</v>
      </c>
    </row>
    <row r="47" spans="1:6" x14ac:dyDescent="0.2">
      <c r="A47" s="32"/>
      <c r="B47" s="32"/>
      <c r="C47" s="32"/>
      <c r="D47" s="202">
        <f>+D46+D45</f>
        <v>140802.82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39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67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-47898</v>
      </c>
    </row>
    <row r="47" spans="1:4" x14ac:dyDescent="0.2">
      <c r="A47" s="49">
        <f>+A41</f>
        <v>37225</v>
      </c>
      <c r="B47" s="32"/>
      <c r="C47" s="32"/>
      <c r="D47" s="510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sqref="A1:IV655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512" t="s">
        <v>254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>
        <f t="shared" si="0"/>
        <v>65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>SUM(J6:J36)</f>
        <v>-2812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-5680.24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50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56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30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37233</v>
      </c>
      <c r="J43" s="330">
        <f>+J41+J39</f>
        <v>-45709.32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50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57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37233</v>
      </c>
      <c r="B49" s="32"/>
      <c r="C49" s="32"/>
      <c r="D49" s="363">
        <f>+J37</f>
        <v>-2812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-8241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321</v>
      </c>
      <c r="C4" s="4"/>
      <c r="D4" s="38" t="s">
        <v>322</v>
      </c>
      <c r="E4" s="4"/>
      <c r="F4" s="38" t="s">
        <v>323</v>
      </c>
      <c r="G4" s="4"/>
      <c r="H4" s="38" t="s">
        <v>324</v>
      </c>
      <c r="I4" s="4"/>
      <c r="J4" s="38" t="s">
        <v>325</v>
      </c>
      <c r="K4" s="4"/>
      <c r="L4" s="38" t="s">
        <v>326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81">
        <v>-125</v>
      </c>
      <c r="C6" s="11">
        <v>-125</v>
      </c>
      <c r="D6" s="581">
        <v>-1</v>
      </c>
      <c r="E6" s="11">
        <v>-1</v>
      </c>
      <c r="F6" s="581">
        <v>-90</v>
      </c>
      <c r="G6" s="11">
        <v>-90</v>
      </c>
      <c r="H6" s="581">
        <v>-2</v>
      </c>
      <c r="I6" s="11">
        <v>-2</v>
      </c>
      <c r="J6" s="581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81">
        <v>-125</v>
      </c>
      <c r="C7" s="11">
        <v>-125</v>
      </c>
      <c r="D7" s="581">
        <v>-1</v>
      </c>
      <c r="E7" s="11">
        <v>-1</v>
      </c>
      <c r="F7" s="581">
        <v>-90</v>
      </c>
      <c r="G7" s="11">
        <v>-90</v>
      </c>
      <c r="H7" s="581">
        <v>-2</v>
      </c>
      <c r="I7" s="11">
        <v>-2</v>
      </c>
      <c r="J7" s="581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81">
        <v>-125</v>
      </c>
      <c r="C8" s="11">
        <v>-125</v>
      </c>
      <c r="D8" s="581">
        <v>-1</v>
      </c>
      <c r="E8" s="11">
        <v>-1</v>
      </c>
      <c r="F8" s="581">
        <v>-90</v>
      </c>
      <c r="G8" s="11">
        <v>-90</v>
      </c>
      <c r="H8" s="581">
        <v>-2</v>
      </c>
      <c r="I8" s="11">
        <v>-2</v>
      </c>
      <c r="J8" s="581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81">
        <v>-125</v>
      </c>
      <c r="C9" s="11">
        <v>-125</v>
      </c>
      <c r="D9" s="581">
        <v>-1</v>
      </c>
      <c r="E9" s="11">
        <v>-1</v>
      </c>
      <c r="F9" s="581">
        <v>-90</v>
      </c>
      <c r="G9" s="11">
        <v>-90</v>
      </c>
      <c r="H9" s="581">
        <v>-2</v>
      </c>
      <c r="I9" s="11">
        <v>-2</v>
      </c>
      <c r="J9" s="581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81">
        <v>-125</v>
      </c>
      <c r="C10" s="11">
        <v>-125</v>
      </c>
      <c r="D10" s="581">
        <v>-1</v>
      </c>
      <c r="E10" s="11">
        <v>-1</v>
      </c>
      <c r="F10" s="581">
        <v>-90</v>
      </c>
      <c r="G10" s="11">
        <v>-90</v>
      </c>
      <c r="H10" s="581">
        <v>-2</v>
      </c>
      <c r="I10" s="11">
        <v>-2</v>
      </c>
      <c r="J10" s="581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81">
        <v>-125</v>
      </c>
      <c r="C11" s="11">
        <v>-125</v>
      </c>
      <c r="D11" s="581">
        <v>-1</v>
      </c>
      <c r="E11" s="11">
        <v>-1</v>
      </c>
      <c r="F11" s="581">
        <v>-90</v>
      </c>
      <c r="G11" s="11">
        <v>-90</v>
      </c>
      <c r="H11" s="581">
        <v>-2</v>
      </c>
      <c r="I11" s="11">
        <v>-2</v>
      </c>
      <c r="J11" s="581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81">
        <v>-125</v>
      </c>
      <c r="C12" s="11">
        <v>-125</v>
      </c>
      <c r="D12" s="581">
        <v>-1</v>
      </c>
      <c r="E12" s="11">
        <v>-1</v>
      </c>
      <c r="F12" s="581">
        <v>-90</v>
      </c>
      <c r="G12" s="11">
        <v>-90</v>
      </c>
      <c r="H12" s="581">
        <v>-2</v>
      </c>
      <c r="I12" s="11">
        <v>-2</v>
      </c>
      <c r="J12" s="581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81">
        <v>-125</v>
      </c>
      <c r="C13" s="11">
        <v>-125</v>
      </c>
      <c r="D13" s="581">
        <v>-1</v>
      </c>
      <c r="E13" s="11">
        <v>-1</v>
      </c>
      <c r="F13" s="581">
        <v>-90</v>
      </c>
      <c r="G13" s="11">
        <v>-90</v>
      </c>
      <c r="H13" s="581">
        <v>-2</v>
      </c>
      <c r="I13" s="11">
        <v>-2</v>
      </c>
      <c r="J13" s="581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81">
        <v>-125</v>
      </c>
      <c r="C14" s="11">
        <v>-125</v>
      </c>
      <c r="D14" s="581">
        <v>-1</v>
      </c>
      <c r="E14" s="11">
        <v>-1</v>
      </c>
      <c r="F14" s="581">
        <v>-90</v>
      </c>
      <c r="G14" s="11">
        <v>-90</v>
      </c>
      <c r="H14" s="581">
        <v>-2</v>
      </c>
      <c r="I14" s="11">
        <v>-2</v>
      </c>
      <c r="J14" s="581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81">
        <v>-125</v>
      </c>
      <c r="C15" s="11">
        <v>-125</v>
      </c>
      <c r="D15" s="581">
        <v>-1</v>
      </c>
      <c r="E15" s="11">
        <v>-1</v>
      </c>
      <c r="F15" s="581">
        <v>-90</v>
      </c>
      <c r="G15" s="11">
        <v>-90</v>
      </c>
      <c r="H15" s="581">
        <v>-2</v>
      </c>
      <c r="I15" s="11">
        <v>-2</v>
      </c>
      <c r="J15" s="581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 t="shared" si="0"/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f t="shared" si="0"/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-1250</v>
      </c>
      <c r="C37" s="11">
        <f t="shared" ref="C37:N37" si="1">SUM(C6:C36)</f>
        <v>-1250</v>
      </c>
      <c r="D37" s="11">
        <f t="shared" si="1"/>
        <v>-10</v>
      </c>
      <c r="E37" s="11">
        <f t="shared" si="1"/>
        <v>-10</v>
      </c>
      <c r="F37" s="11">
        <f t="shared" si="1"/>
        <v>-900</v>
      </c>
      <c r="G37" s="11">
        <f t="shared" si="1"/>
        <v>-900</v>
      </c>
      <c r="H37" s="11">
        <f t="shared" si="1"/>
        <v>-20</v>
      </c>
      <c r="I37" s="11">
        <f t="shared" si="1"/>
        <v>-20</v>
      </c>
      <c r="J37" s="11">
        <f>SUM(J6:J36)</f>
        <v>-400</v>
      </c>
      <c r="K37" s="11">
        <f>SUM(K6:K36)</f>
        <v>-400</v>
      </c>
      <c r="L37" s="11">
        <f>SUM(L6:L36)</f>
        <v>-4948</v>
      </c>
      <c r="M37" s="11">
        <f>SUM(M6:M36)</f>
        <v>-2600</v>
      </c>
      <c r="N37" s="11">
        <f t="shared" si="1"/>
        <v>2348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4742.96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50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56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30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37235</v>
      </c>
      <c r="N43" s="330">
        <f>+N41+N39</f>
        <v>33110.450000000004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50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57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37235</v>
      </c>
      <c r="B49" s="32"/>
      <c r="C49" s="32"/>
      <c r="D49" s="363">
        <f>+N37</f>
        <v>2348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12553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39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2909.04</v>
      </c>
    </row>
    <row r="40" spans="1:4" x14ac:dyDescent="0.2">
      <c r="A40" s="57">
        <v>37225</v>
      </c>
      <c r="C40" s="15"/>
      <c r="D40" s="567">
        <v>173805.23</v>
      </c>
    </row>
    <row r="41" spans="1:4" x14ac:dyDescent="0.2">
      <c r="A41" s="57">
        <v>37235</v>
      </c>
      <c r="C41" s="48"/>
      <c r="D41" s="138">
        <f>+D40+D39</f>
        <v>176714.27000000002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76238</v>
      </c>
    </row>
    <row r="47" spans="1:4" x14ac:dyDescent="0.2">
      <c r="A47" s="49">
        <f>+A41</f>
        <v>37235</v>
      </c>
      <c r="B47" s="32"/>
      <c r="C47" s="32"/>
      <c r="D47" s="363">
        <f>+D37</f>
        <v>1426</v>
      </c>
    </row>
    <row r="48" spans="1:4" x14ac:dyDescent="0.2">
      <c r="A48" s="32"/>
      <c r="B48" s="32"/>
      <c r="C48" s="32"/>
      <c r="D48" s="14">
        <f>+D47+D46</f>
        <v>77664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J38" sqref="J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4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4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3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3" t="s">
        <v>40</v>
      </c>
      <c r="N4" s="4" t="s">
        <v>20</v>
      </c>
      <c r="O4" s="4" t="s">
        <v>21</v>
      </c>
      <c r="P4" s="421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264</v>
      </c>
      <c r="N5" s="14"/>
      <c r="O5" s="14"/>
      <c r="P5" s="14">
        <v>-34361</v>
      </c>
      <c r="Q5" s="374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3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4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3">
        <v>36892</v>
      </c>
      <c r="N7" s="24">
        <v>18949781</v>
      </c>
      <c r="O7" s="14">
        <v>18975457</v>
      </c>
      <c r="P7" s="14">
        <f t="shared" si="1"/>
        <v>25676</v>
      </c>
      <c r="Q7" s="374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3">
        <v>36923</v>
      </c>
      <c r="N8" s="24">
        <v>15256233</v>
      </c>
      <c r="O8" s="14">
        <v>15290953</v>
      </c>
      <c r="P8" s="14">
        <f t="shared" si="1"/>
        <v>34720</v>
      </c>
      <c r="Q8" s="374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3">
        <v>36951</v>
      </c>
      <c r="N9" s="24">
        <v>17049350</v>
      </c>
      <c r="O9" s="14">
        <v>17089226</v>
      </c>
      <c r="P9" s="14">
        <f t="shared" si="1"/>
        <v>39876</v>
      </c>
      <c r="Q9" s="374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3">
        <v>36982</v>
      </c>
      <c r="N10" s="24">
        <v>17652369</v>
      </c>
      <c r="O10" s="14">
        <v>17743987</v>
      </c>
      <c r="P10" s="14">
        <f t="shared" si="1"/>
        <v>91618</v>
      </c>
      <c r="Q10" s="374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3">
        <v>37012</v>
      </c>
      <c r="N11" s="24">
        <v>16124989</v>
      </c>
      <c r="O11" s="14">
        <v>16282021</v>
      </c>
      <c r="P11" s="14">
        <f t="shared" si="1"/>
        <v>157032</v>
      </c>
      <c r="Q11" s="374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3">
        <v>37043</v>
      </c>
      <c r="N12" s="24">
        <v>15928675</v>
      </c>
      <c r="O12" s="14">
        <v>15936227</v>
      </c>
      <c r="P12" s="14">
        <f t="shared" si="1"/>
        <v>7552</v>
      </c>
      <c r="Q12" s="374">
        <v>2.58</v>
      </c>
      <c r="R12" s="202">
        <f t="shared" si="2"/>
        <v>19484.16</v>
      </c>
      <c r="S12" s="544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3">
        <v>37073</v>
      </c>
      <c r="N13" s="24">
        <v>16669639</v>
      </c>
      <c r="O13" s="14">
        <v>16693576</v>
      </c>
      <c r="P13" s="14">
        <f t="shared" si="1"/>
        <v>23937</v>
      </c>
      <c r="Q13" s="374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3">
        <v>37104</v>
      </c>
      <c r="N14" s="24">
        <v>17850737</v>
      </c>
      <c r="O14" s="14">
        <v>17815859</v>
      </c>
      <c r="P14" s="14">
        <f>+O14-N14</f>
        <v>-34878</v>
      </c>
      <c r="Q14" s="374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3">
        <v>37135</v>
      </c>
      <c r="N15" s="24">
        <v>16552948</v>
      </c>
      <c r="O15" s="14">
        <v>16508018</v>
      </c>
      <c r="P15" s="14">
        <f>+O15-N15</f>
        <v>-44930</v>
      </c>
      <c r="Q15" s="374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3">
        <v>37165</v>
      </c>
      <c r="N16" s="24">
        <v>17924814</v>
      </c>
      <c r="O16" s="14">
        <v>17872479</v>
      </c>
      <c r="P16" s="14">
        <f>+O16-N16</f>
        <v>-52335</v>
      </c>
      <c r="Q16" s="374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3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4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3">
        <v>37229</v>
      </c>
      <c r="N18" s="24"/>
      <c r="O18" s="14"/>
      <c r="P18" s="14">
        <f>+O18-N18</f>
        <v>0</v>
      </c>
      <c r="Q18" s="374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3"/>
      <c r="N21" s="24"/>
      <c r="O21" s="14"/>
      <c r="P21" s="14">
        <f>SUM(P5:P20)</f>
        <v>135708</v>
      </c>
      <c r="Q21" s="374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3"/>
      <c r="N22" s="24"/>
      <c r="O22" s="14"/>
      <c r="P22" s="203">
        <v>1.98</v>
      </c>
      <c r="Q22" s="37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3"/>
      <c r="N23" s="14">
        <v>1378106</v>
      </c>
      <c r="O23" s="14">
        <v>1316146</v>
      </c>
      <c r="P23" s="203">
        <f>+P22*P21</f>
        <v>268701.84000000003</v>
      </c>
      <c r="Q23" s="37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3"/>
      <c r="N24" s="14">
        <v>9216070</v>
      </c>
      <c r="O24" s="14">
        <v>9272400</v>
      </c>
      <c r="P24" s="15"/>
      <c r="Q24" s="37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3"/>
      <c r="N25" s="24">
        <v>3546065</v>
      </c>
      <c r="O25" s="24">
        <v>3512740</v>
      </c>
      <c r="P25" s="110"/>
      <c r="Q25" s="425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5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5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5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5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5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5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4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55">
        <v>135710</v>
      </c>
      <c r="M38" s="32"/>
      <c r="N38" s="24"/>
      <c r="O38" s="32"/>
      <c r="P38" s="15"/>
      <c r="Q38" s="37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4"/>
      <c r="R39" s="110"/>
      <c r="S39" s="19"/>
      <c r="T39" s="104"/>
      <c r="U39" s="16"/>
      <c r="V39" s="15"/>
      <c r="W39" s="13"/>
    </row>
    <row r="40" spans="1:23" x14ac:dyDescent="0.2">
      <c r="A40" s="33">
        <v>37236</v>
      </c>
      <c r="J40" s="51">
        <f>+J38+J35</f>
        <v>116446</v>
      </c>
      <c r="M40" s="32"/>
      <c r="N40" s="24"/>
      <c r="O40" s="32"/>
      <c r="P40" s="15"/>
      <c r="Q40" s="37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4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4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4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50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37236</v>
      </c>
      <c r="B47" s="32"/>
      <c r="C47" s="32"/>
      <c r="D47" s="390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4"/>
      <c r="R48" s="15"/>
      <c r="S48" s="19"/>
      <c r="T48" s="32"/>
    </row>
    <row r="49" spans="1:20" x14ac:dyDescent="0.2">
      <c r="A49" s="139"/>
      <c r="B49" s="119"/>
      <c r="C49" s="140"/>
      <c r="D49" s="39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4"/>
      <c r="R49" s="15"/>
      <c r="S49" s="32"/>
      <c r="T49" s="32"/>
    </row>
    <row r="50" spans="1:20" x14ac:dyDescent="0.2">
      <c r="A50" s="10"/>
      <c r="B50" s="11"/>
      <c r="C50" s="11"/>
      <c r="D50" s="39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5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5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5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5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5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5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5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5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5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5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5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5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5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5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5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5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5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5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5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5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5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5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26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1"/>
      <c r="Q255" s="143"/>
      <c r="R255" s="421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2"/>
      <c r="Q256" s="427"/>
      <c r="R256" s="422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5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5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5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5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5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5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5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5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5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5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5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5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5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5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5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5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5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5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5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5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5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5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5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5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5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5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5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5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5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5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5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5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26"/>
      <c r="S295" s="1"/>
    </row>
    <row r="296" spans="9:21" x14ac:dyDescent="0.2">
      <c r="K296" s="2"/>
      <c r="M296" s="30"/>
      <c r="N296" s="4"/>
      <c r="O296" s="4"/>
      <c r="P296" s="421"/>
      <c r="Q296" s="143"/>
      <c r="R296" s="421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2"/>
      <c r="Q297" s="427"/>
      <c r="R297" s="422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5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5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5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5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5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5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5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5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5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5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5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5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5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5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5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5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5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5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5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5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5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5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5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5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5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5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5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5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5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5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5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5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26"/>
      <c r="S337" s="1"/>
    </row>
    <row r="338" spans="11:21" x14ac:dyDescent="0.2">
      <c r="K338" s="2"/>
      <c r="M338" s="30"/>
      <c r="N338" s="4"/>
      <c r="O338" s="4"/>
      <c r="P338" s="421"/>
      <c r="Q338" s="143"/>
      <c r="R338" s="421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2"/>
      <c r="Q339" s="427"/>
      <c r="R339" s="422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5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5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5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5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5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5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5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5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5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5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5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5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5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5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5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5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5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5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5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5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5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5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5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5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5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5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5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5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5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5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5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5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26"/>
      <c r="S379" s="1"/>
    </row>
    <row r="380" spans="11:21" x14ac:dyDescent="0.2">
      <c r="K380" s="2"/>
      <c r="M380" s="30"/>
      <c r="N380" s="4"/>
      <c r="O380" s="4"/>
      <c r="P380" s="421"/>
      <c r="Q380" s="143"/>
      <c r="R380" s="421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2"/>
      <c r="Q381" s="427"/>
      <c r="R381" s="422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5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5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5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5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5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5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5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5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5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5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5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5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5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5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5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5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5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5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5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5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5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5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5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5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5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5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5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5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5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5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5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5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26"/>
      <c r="S423" s="1"/>
    </row>
    <row r="424" spans="11:21" x14ac:dyDescent="0.2">
      <c r="K424" s="2"/>
      <c r="M424" s="30"/>
      <c r="N424" s="4"/>
      <c r="O424" s="4"/>
      <c r="P424" s="421"/>
      <c r="Q424" s="143"/>
      <c r="R424" s="421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2"/>
      <c r="Q425" s="427"/>
      <c r="R425" s="422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5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5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5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5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5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5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5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5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5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5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5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5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5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5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5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5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5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5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5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5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5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5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5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5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5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5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5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5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5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5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5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5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26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1"/>
      <c r="Q466" s="143"/>
      <c r="R466" s="421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2"/>
      <c r="Q467" s="427"/>
      <c r="R467" s="422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5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5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5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5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5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5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5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5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5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5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5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5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5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5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5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5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5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5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5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5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5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5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5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5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5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5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5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5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5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5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5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5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39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-1007.76</v>
      </c>
    </row>
    <row r="40" spans="1:4" x14ac:dyDescent="0.2">
      <c r="A40" s="57">
        <v>37225</v>
      </c>
      <c r="C40" s="15"/>
      <c r="D40" s="567">
        <v>148916.73000000001</v>
      </c>
    </row>
    <row r="41" spans="1:4" x14ac:dyDescent="0.2">
      <c r="A41" s="57">
        <v>37235</v>
      </c>
      <c r="C41" s="48"/>
      <c r="D41" s="138">
        <f>+D40+D39</f>
        <v>147908.97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28495</v>
      </c>
    </row>
    <row r="47" spans="1:4" x14ac:dyDescent="0.2">
      <c r="A47" s="49">
        <f>+A41</f>
        <v>37235</v>
      </c>
      <c r="B47" s="32"/>
      <c r="C47" s="32"/>
      <c r="D47" s="363">
        <f>+D37</f>
        <v>-494</v>
      </c>
    </row>
    <row r="48" spans="1:4" x14ac:dyDescent="0.2">
      <c r="A48" s="32"/>
      <c r="B48" s="32"/>
      <c r="C48" s="32"/>
      <c r="D48" s="14">
        <f>+D47+D46</f>
        <v>28001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2" t="s">
        <v>226</v>
      </c>
      <c r="C3" s="210"/>
      <c r="D3" s="49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37225</v>
      </c>
      <c r="C40" s="330"/>
      <c r="D40" s="267"/>
      <c r="E40" s="267"/>
      <c r="F40" s="565">
        <f>-7085.01-120842.49</f>
        <v>-127927.5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37235</v>
      </c>
      <c r="C41" s="330"/>
      <c r="D41" s="267"/>
      <c r="E41" s="267"/>
      <c r="F41" s="104">
        <f>+F40+F39</f>
        <v>-120641.36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57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3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2" t="s">
        <v>234</v>
      </c>
      <c r="C3" s="210"/>
      <c r="D3" s="492" t="s">
        <v>236</v>
      </c>
      <c r="E3" s="209"/>
      <c r="F3" s="492" t="s">
        <v>238</v>
      </c>
      <c r="G3" s="209"/>
      <c r="H3" s="492" t="s">
        <v>240</v>
      </c>
      <c r="I3" s="209"/>
      <c r="J3" s="492" t="s">
        <v>242</v>
      </c>
      <c r="K3" s="209"/>
      <c r="L3" s="492" t="s">
        <v>244</v>
      </c>
      <c r="M3" s="209"/>
      <c r="N3" s="49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0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8">
        <v>37225</v>
      </c>
      <c r="E40" s="14"/>
      <c r="O40" s="460"/>
      <c r="P40" s="565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08">
        <v>37235</v>
      </c>
      <c r="E41" s="14"/>
      <c r="O41" s="460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57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3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313</v>
      </c>
      <c r="C3" s="87"/>
      <c r="D3" s="87"/>
    </row>
    <row r="4" spans="1:4" x14ac:dyDescent="0.2">
      <c r="A4" s="3"/>
      <c r="B4" s="339" t="s">
        <v>312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-547.41999999999996</v>
      </c>
    </row>
    <row r="40" spans="1:4" x14ac:dyDescent="0.2">
      <c r="A40" s="57">
        <v>37225</v>
      </c>
      <c r="C40" s="15"/>
      <c r="D40" s="567">
        <v>-482.28</v>
      </c>
    </row>
    <row r="41" spans="1:4" x14ac:dyDescent="0.2">
      <c r="A41" s="57">
        <v>37235</v>
      </c>
      <c r="C41" s="48"/>
      <c r="D41" s="138">
        <f>+D40+D39</f>
        <v>-1029.6999999999998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12777</v>
      </c>
    </row>
    <row r="47" spans="1:4" x14ac:dyDescent="0.2">
      <c r="A47" s="49">
        <f>+A41</f>
        <v>37235</v>
      </c>
      <c r="B47" s="32"/>
      <c r="C47" s="32"/>
      <c r="D47" s="363">
        <f>+D37</f>
        <v>-271</v>
      </c>
    </row>
    <row r="48" spans="1:4" x14ac:dyDescent="0.2">
      <c r="A48" s="32"/>
      <c r="B48" s="32"/>
      <c r="C48" s="32"/>
      <c r="D48" s="14">
        <f>+D47+D46</f>
        <v>12506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">
      <c r="A39" s="26"/>
      <c r="C39" s="14"/>
      <c r="D39" s="106">
        <f>+summary!H3</f>
        <v>1.99</v>
      </c>
    </row>
    <row r="40" spans="1:8" x14ac:dyDescent="0.2">
      <c r="D40" s="138">
        <f>+D39*D38</f>
        <v>28072.93</v>
      </c>
      <c r="H40">
        <v>20</v>
      </c>
    </row>
    <row r="41" spans="1:8" x14ac:dyDescent="0.2">
      <c r="A41" s="57">
        <v>37225</v>
      </c>
      <c r="C41" s="15"/>
      <c r="D41" s="513">
        <v>-23010</v>
      </c>
      <c r="H41">
        <v>530</v>
      </c>
    </row>
    <row r="42" spans="1:8" x14ac:dyDescent="0.2">
      <c r="A42" s="57">
        <v>37235</v>
      </c>
      <c r="D42" s="330">
        <f>+D41+D40</f>
        <v>5062.93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11">
        <v>-10969</v>
      </c>
    </row>
    <row r="48" spans="1:8" x14ac:dyDescent="0.2">
      <c r="A48" s="49">
        <f>+A42</f>
        <v>37235</v>
      </c>
      <c r="B48" s="32"/>
      <c r="C48" s="32"/>
      <c r="D48" s="363">
        <f>+D38</f>
        <v>14107</v>
      </c>
    </row>
    <row r="49" spans="1:4" x14ac:dyDescent="0.2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4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59"/>
      <c r="K39" s="500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59"/>
      <c r="K40" s="359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1"/>
      <c r="I41" s="208"/>
      <c r="J41" s="502"/>
      <c r="K41" s="502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1"/>
      <c r="I42" s="208"/>
      <c r="J42" s="502"/>
      <c r="K42" s="502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03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3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37235</v>
      </c>
      <c r="B48" s="32"/>
      <c r="C48" s="32"/>
      <c r="D48" s="390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79">
        <v>74202</v>
      </c>
    </row>
    <row r="39" spans="1:30" x14ac:dyDescent="0.2">
      <c r="A39" s="12"/>
      <c r="D39" s="51"/>
    </row>
    <row r="40" spans="1:30" x14ac:dyDescent="0.2">
      <c r="A40" s="247">
        <v>37236</v>
      </c>
      <c r="D40" s="51">
        <f>+D38+D35</f>
        <v>82027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31"/>
      <c r="K44"/>
    </row>
    <row r="45" spans="1:30" x14ac:dyDescent="0.2">
      <c r="A45" s="49">
        <f>+A38</f>
        <v>37225</v>
      </c>
      <c r="B45" s="32"/>
      <c r="C45" s="32"/>
      <c r="D45" s="550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37236</v>
      </c>
      <c r="B46" s="32"/>
      <c r="C46" s="32"/>
      <c r="D46" s="390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49">
        <v>170123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5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3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50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37236</v>
      </c>
      <c r="B46" s="32"/>
      <c r="C46" s="32"/>
      <c r="D46" s="532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30">
        <f>+D46+D45</f>
        <v>454153.07</v>
      </c>
      <c r="E47" s="248"/>
      <c r="F47" s="533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5" sqref="E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28"/>
      <c r="L4" s="428"/>
      <c r="M4" s="428"/>
      <c r="N4" s="428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9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0" t="s">
        <v>20</v>
      </c>
      <c r="M6" s="430" t="s">
        <v>21</v>
      </c>
      <c r="N6" s="431" t="s">
        <v>50</v>
      </c>
      <c r="O6" s="429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9">
        <v>8.2100000000000009</v>
      </c>
      <c r="P9" s="434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9">
        <v>5.62</v>
      </c>
      <c r="P10" s="434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9">
        <v>4.9800000000000004</v>
      </c>
      <c r="P11" s="434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9">
        <v>4.87</v>
      </c>
      <c r="P12" s="434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9">
        <v>3.82</v>
      </c>
      <c r="P13" s="434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9">
        <v>3.2</v>
      </c>
      <c r="P14" s="434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9">
        <v>2.77</v>
      </c>
      <c r="P15" s="435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2"/>
      <c r="P16" s="433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-153992</v>
      </c>
      <c r="C35" s="44">
        <f t="shared" si="3"/>
        <v>-12092</v>
      </c>
      <c r="D35" s="11">
        <f t="shared" si="3"/>
        <v>0</v>
      </c>
      <c r="E35" s="44">
        <f t="shared" si="3"/>
        <v>-134514</v>
      </c>
      <c r="F35" s="11">
        <f t="shared" si="3"/>
        <v>0</v>
      </c>
      <c r="G35" s="11">
        <f t="shared" si="3"/>
        <v>0</v>
      </c>
      <c r="H35" s="11">
        <f t="shared" si="3"/>
        <v>7386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14919.72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4">
        <v>37225</v>
      </c>
      <c r="F38" s="531"/>
      <c r="G38" s="270"/>
      <c r="H38" s="535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37236</v>
      </c>
      <c r="F39" s="531"/>
      <c r="G39" s="531"/>
      <c r="H39" s="330">
        <f>+H38+H37</f>
        <v>-106217.28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36"/>
      <c r="F40" s="268"/>
      <c r="G40" s="53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36"/>
      <c r="F41" s="268"/>
      <c r="G41" s="53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37236</v>
      </c>
      <c r="E47" s="510">
        <f>+H35</f>
        <v>7386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123250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37"/>
      <c r="F49" s="129"/>
      <c r="G49" s="129"/>
      <c r="H49" s="129"/>
      <c r="I49" s="53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51">
        <v>64269</v>
      </c>
      <c r="D38" s="331"/>
      <c r="E38" s="554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5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52">
        <v>-1582961.01</v>
      </c>
      <c r="D44" s="207"/>
      <c r="E44" s="553">
        <v>969783.3</v>
      </c>
      <c r="F44" s="47">
        <f>+E44+C44</f>
        <v>-613177.71</v>
      </c>
      <c r="G44" s="250"/>
      <c r="H44" s="39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37235</v>
      </c>
      <c r="B45" s="32"/>
      <c r="C45" s="47">
        <f>+C37*summary!H4</f>
        <v>-208.06</v>
      </c>
      <c r="D45" s="207"/>
      <c r="E45" s="392">
        <f>+E37*summary!H3</f>
        <v>45328.22</v>
      </c>
      <c r="F45" s="47">
        <f>+E45+C45</f>
        <v>45120.160000000003</v>
      </c>
      <c r="G45" s="250"/>
      <c r="H45" s="39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-1583169.07</v>
      </c>
      <c r="D46" s="207"/>
      <c r="E46" s="392">
        <v>925707</v>
      </c>
      <c r="F46" s="47">
        <f>+E46+C46</f>
        <v>-657462.07000000007</v>
      </c>
      <c r="G46" s="250"/>
      <c r="H46" s="39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2"/>
      <c r="D47" s="392"/>
      <c r="E47" s="392"/>
      <c r="F47" s="47"/>
      <c r="G47" s="250"/>
      <c r="H47" s="39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28</vt:i4>
      </vt:variant>
    </vt:vector>
  </HeadingPairs>
  <TitlesOfParts>
    <vt:vector size="72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2001-12-13T17:16:50Z</cp:lastPrinted>
  <dcterms:created xsi:type="dcterms:W3CDTF">2000-03-28T16:52:23Z</dcterms:created>
  <dcterms:modified xsi:type="dcterms:W3CDTF">2023-09-14T17:30:09Z</dcterms:modified>
</cp:coreProperties>
</file>