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E7E479-94EE-4A46-9C39-17C330939A64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F49" i="80"/>
  <c r="B50" i="80"/>
  <c r="C50" i="80"/>
  <c r="D50" i="80"/>
  <c r="E50" i="80"/>
  <c r="F50" i="80"/>
  <c r="B51" i="80"/>
  <c r="C51" i="80"/>
  <c r="D51" i="80"/>
  <c r="E51" i="80"/>
  <c r="B53" i="80"/>
  <c r="C53" i="80"/>
  <c r="D53" i="80"/>
  <c r="E53" i="80"/>
  <c r="G59" i="80"/>
  <c r="H59" i="80"/>
  <c r="G60" i="80"/>
  <c r="G61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F84" i="80"/>
  <c r="B85" i="80"/>
  <c r="C85" i="80"/>
  <c r="D85" i="80"/>
  <c r="E85" i="80"/>
  <c r="F85" i="80"/>
  <c r="B86" i="80"/>
  <c r="C86" i="80"/>
  <c r="D86" i="80"/>
  <c r="E86" i="80"/>
  <c r="B88" i="80"/>
  <c r="C88" i="80"/>
  <c r="D88" i="80"/>
  <c r="E88" i="80"/>
  <c r="B91" i="80"/>
  <c r="B92" i="80"/>
  <c r="A13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F43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B34" i="67"/>
  <c r="C34" i="67"/>
  <c r="D34" i="67"/>
  <c r="E34" i="67"/>
  <c r="F34" i="67"/>
  <c r="R34" i="67"/>
  <c r="F37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N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P27" i="63"/>
  <c r="B28" i="63"/>
  <c r="C28" i="63"/>
  <c r="D28" i="63"/>
  <c r="P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K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D53" i="63"/>
  <c r="B54" i="63"/>
  <c r="C54" i="63"/>
  <c r="D54" i="63"/>
  <c r="B55" i="63"/>
  <c r="C55" i="63"/>
  <c r="B57" i="63"/>
  <c r="C57" i="63"/>
  <c r="B118" i="63"/>
  <c r="B120" i="63"/>
  <c r="B128" i="63"/>
  <c r="B141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<sst xmlns="http://schemas.openxmlformats.org/spreadsheetml/2006/main" count="1038" uniqueCount="335">
  <si>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</si>
  <si>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</si>
  <si>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</si>
  <si>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</si>
  <si>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</si>
  <si>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</si>
  <si>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</si>
  <si>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</si>
  <si>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</si>
  <si>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</si>
  <si>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</si>
  <si>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</si>
  <si>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</si>
  <si>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</si>
  <si>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</si>
  <si>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</si>
  <si>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</si>
  <si>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</si>
  <si>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</si>
  <si>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</si>
  <si>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</si>
  <si>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</si>
  <si>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</si>
  <si>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</si>
  <si>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</si>
  <si>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</si>
  <si>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</si>
  <si>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</si>
  <si>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</si>
  <si>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</si>
  <si>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</si>
  <si>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</si>
  <si>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</si>
  <si>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</si>
  <si>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</si>
  <si>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</si>
  <si>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</si>
  <si>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</si>
  <si>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</si>
  <si>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</si>
  <si>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</si>
  <si>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</si>
  <si>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</si>
  <si>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</si>
  <si>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</si>
  <si>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</si>
  <si>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</si>
  <si>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</si>
  <si>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</si>
  <si>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</si>
  <si>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</si>
  <si>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</si>
  <si>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</si>
  <si>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</si>
  <si>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</si>
  <si>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</si>
  <si>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</si>
  <si>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</si>
  <si>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</si>
  <si>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</si>
  <si>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</si>
  <si>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</si>
  <si>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</si>
  <si>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</si>
  <si>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</si>
  <si>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</si>
  <si>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</si>
  <si>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</si>
  <si>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</si>
  <si>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</si>
  <si>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</si>
  <si>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</si>
  <si>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</si>
  <si>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</si>
  <si>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</si>
  <si>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</si>
  <si>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</si>
  <si>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</si>
  <si>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</si>
  <si>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</si>
  <si>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</si>
  <si>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</si>
  <si>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</si>
  <si>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</si>
  <si>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</si>
  <si>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</si>
  <si>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</si>
  <si>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</si>
  <si>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</si>
  <si>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</si>
  <si>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</si>
  <si>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</si>
  <si>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</si>
  <si>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</si>
  <si>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</si>
  <si>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</si>
  <si>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</si>
  <si>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</si>
  <si>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</si>
  <si>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</si>
  <si>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</si>
  <si>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</si>
  <si>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</si>
  <si>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</si>
  <si>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</si>
  <si>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</si>
  <si>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</si>
  <si>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</si>
  <si>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</si>
  <si>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</si>
  <si>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</si>
  <si>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</si>
  <si>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</si>
  <si>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</si>
  <si>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</si>
  <si>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</si>
  <si>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</si>
  <si>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</si>
  <si>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</si>
  <si>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</si>
  <si>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</si>
  <si>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</si>
  <si>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</si>
  <si>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</si>
  <si>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</si>
  <si>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</si>
  <si>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</si>
  <si>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</si>
  <si>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</si>
  <si>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</si>
  <si>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</si>
  <si>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</si>
  <si>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</si>
  <si>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</si>
  <si>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</si>
  <si>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</si>
  <si>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</si>
  <si>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</si>
  <si>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</si>
  <si>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</si>
  <si>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</si>
  <si>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</si>
  <si>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</si>
  <si>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</si>
  <si>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</si>
  <si>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</si>
  <si>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</si>
  <si>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</si>
  <si>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</si>
  <si>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</si>
  <si>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</si>
  <si>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</si>
  <si>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</si>
  <si>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</si>
  <si>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</si>
  <si>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</si>
  <si>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</si>
  <si>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</si>
  <si>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</si>
  <si>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</si>
  <si>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</si>
  <si>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</si>
  <si>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</si>
  <si>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</si>
  <si>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</si>
  <si>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</si>
  <si>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</si>
  <si>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</si>
  <si>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</si>
  <si>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</si>
  <si>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</si>
  <si>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</si>
  <si>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</si>
  <si>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</si>
  <si>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</si>
  <si>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</si>
  <si>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</si>
  <si>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</si>
  <si>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</si>
  <si>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</si>
  <si>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</si>
  <si>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</si>
  <si>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</si>
  <si>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</si>
  <si>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</si>
  <si>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</si>
  <si>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</si>
  <si>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</si>
  <si>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</si>
  <si>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</si>
  <si>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</si>
  <si>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</si>
  <si>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</si>
  <si>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</si>
  <si>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</si>
  <si>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</si>
  <si>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</si>
  <si>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</si>
  <si>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</si>
  <si>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</si>
  <si>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</si>
  <si>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</si>
  <si>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</si>
  <si>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</si>
  <si>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</si>
  <si>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</si>
  <si>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</si>
  <si>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</si>
  <si>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</si>
  <si>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</si>
  <si>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</si>
  <si>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</si>
  <si>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</si>
  <si>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</si>
  <si>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</si>
  <si>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</si>
  <si>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</si>
  <si>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</si>
  <si>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</si>
  <si>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</si>
  <si>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</si>
  <si>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</si>
  <si>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</si>
  <si>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</si>
  <si>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</si>
  <si>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</si>
  <si>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</si>
  <si>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</si>
  <si>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</si>
  <si>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</si>
  <si>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</si>
  <si>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</si>
  <si>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</si>
  <si>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</si>
  <si>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</si>
  <si>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</si>
  <si>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</si>
  <si>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</si>
  <si>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</si>
  <si>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</si>
  <si>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</si>
  <si>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</si>
  <si>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</si>
  <si>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</si>
  <si>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</si>
  <si>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</si>
  <si>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</si>
  <si>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</si>
  <si>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</si>
  <si>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</si>
  <si>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</si>
  <si>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</si>
  <si>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</si>
  <si>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</si>
  <si>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</si>
  <si>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</si>
  <si>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</si>
  <si>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</si>
  <si>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</si>
  <si>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</si>
  <si>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</si>
  <si>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</si>
  <si>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</si>
  <si>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</si>
  <si>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</si>
  <si>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</si>
  <si>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</si>
  <si>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</si>
  <si>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</si>
  <si>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</si>
  <si>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</si>
  <si>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</si>
  <si>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</si>
  <si>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</si>
  <si>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</si>
  <si>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</si>
  <si>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</si>
  <si>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</si>
  <si>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</si>
  <si>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</si>
  <si>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</si>
  <si>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</si>
  <si>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</si>
  <si>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</si>
  <si>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</si>
  <si>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</si>
  <si>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</si>
  <si>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</si>
  <si>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</si>
  <si>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</si>
  <si>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</si>
  <si>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</si>
  <si>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</si>
  <si>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</si>
  <si>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</si>
  <si>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</si>
  <si>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</si>
  <si>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</si>
  <si>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</si>
  <si>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</si>
  <si>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</si>
  <si>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</si>
  <si>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</si>
  <si>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</si>
  <si>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</si>
  <si>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</si>
  <si>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</si>
  <si>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</si>
  <si>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</si>
  <si>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</si>
  <si>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</si>
  <si>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</si>
  <si>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Crawford points-sent summary to Mike Benton and Sharon Tischer on 12/31</t>
  </si>
  <si>
    <t>Hobbs, Artesia, Colburn, Feldman - Sharon Tischer</t>
  </si>
  <si>
    <t>Waha - Ken Rust, Pecos Diamond - Patric Taher(acctant)  Sandra Jenkins(marketer)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</si>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</sst>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96" fontId="0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0" fontId="22" fillId="0" borderId="0" xfId="0" applyFont="1" applyFill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9" fillId="0" borderId="1" xfId="0" applyNumberFormat="1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2.15</v>
          </cell>
          <cell r="K39">
            <v>2.11</v>
          </cell>
          <cell r="M39">
            <v>2.14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workbookViewId="0">
      <selection activeCell="F14" sqref="F14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6"/>
    </row>
    <row r="2" spans="1:32" ht="12.95" customHeight="1" x14ac:dyDescent="0.2">
      <c r="A2" s="34" t="s">
        <v>140</v>
      </c>
      <c r="D2" s="7"/>
      <c r="F2" s="388" t="s">
        <v>78</v>
      </c>
      <c r="G2" s="391"/>
      <c r="H2" s="32"/>
    </row>
    <row r="3" spans="1:32" ht="12.95" customHeight="1" x14ac:dyDescent="0.2">
      <c r="D3" s="7"/>
      <c r="F3" s="389" t="s">
        <v>29</v>
      </c>
      <c r="G3" s="392">
        <f>+summary!G3</f>
        <v>2.11</v>
      </c>
      <c r="H3" s="407">
        <f ca="1">NOW()</f>
        <v>37278.591974537034</v>
      </c>
    </row>
    <row r="4" spans="1:32" ht="12.95" customHeight="1" x14ac:dyDescent="0.2">
      <c r="A4" s="34" t="s">
        <v>145</v>
      </c>
      <c r="C4" s="34" t="s">
        <v>5</v>
      </c>
      <c r="D4" s="7"/>
      <c r="F4" s="390" t="s">
        <v>30</v>
      </c>
      <c r="G4" s="392">
        <f>+summary!G4</f>
        <v>2.14</v>
      </c>
      <c r="H4" s="32"/>
    </row>
    <row r="5" spans="1:32" ht="12.95" customHeight="1" x14ac:dyDescent="0.2">
      <c r="D5" s="7"/>
      <c r="F5" s="389" t="s">
        <v>117</v>
      </c>
      <c r="G5" s="392">
        <f>+summary!G5</f>
        <v>2.15</v>
      </c>
      <c r="H5" s="32"/>
    </row>
    <row r="6" spans="1:32" ht="6.95" customHeight="1" x14ac:dyDescent="0.2"/>
    <row r="7" spans="1:32" ht="12.95" customHeight="1" x14ac:dyDescent="0.2">
      <c r="A7" s="405" t="s">
        <v>163</v>
      </c>
      <c r="B7" s="406"/>
      <c r="AD7" s="32"/>
      <c r="AE7" s="32"/>
      <c r="AF7" s="32"/>
    </row>
    <row r="8" spans="1:32" ht="15.95" customHeight="1" outlineLevel="2" x14ac:dyDescent="0.2">
      <c r="A8" s="32"/>
      <c r="B8" s="446" t="s">
        <v>193</v>
      </c>
      <c r="C8" s="403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71" t="s">
        <v>89</v>
      </c>
      <c r="B9" s="396" t="s">
        <v>194</v>
      </c>
      <c r="C9" s="404" t="s">
        <v>187</v>
      </c>
      <c r="D9" s="432" t="s">
        <v>191</v>
      </c>
      <c r="E9" s="39" t="s">
        <v>189</v>
      </c>
      <c r="F9" s="39" t="s">
        <v>146</v>
      </c>
      <c r="G9" s="395" t="s">
        <v>151</v>
      </c>
      <c r="H9" s="372" t="s">
        <v>101</v>
      </c>
      <c r="I9" s="371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71" t="s">
        <v>155</v>
      </c>
    </row>
    <row r="12" spans="1:32" ht="13.5" customHeight="1" outlineLevel="1" x14ac:dyDescent="0.2">
      <c r="A12" s="514" t="s">
        <v>127</v>
      </c>
      <c r="B12" s="351">
        <f>+Calpine!D41</f>
        <v>56977.709999999992</v>
      </c>
      <c r="C12" s="374">
        <f>+B12/$G$4</f>
        <v>26625.098130841117</v>
      </c>
      <c r="D12" s="14">
        <f>+Calpine!D47</f>
        <v>116137</v>
      </c>
      <c r="E12" s="70">
        <f>+C12-D12</f>
        <v>-89511.901869158886</v>
      </c>
      <c r="F12" s="369">
        <f>+Calpine!A41</f>
        <v>37276</v>
      </c>
      <c r="G12" s="203" t="s">
        <v>153</v>
      </c>
      <c r="H12" s="204" t="s">
        <v>99</v>
      </c>
      <c r="I12" s="357"/>
      <c r="J12" s="70"/>
      <c r="K12" s="32"/>
    </row>
    <row r="13" spans="1:32" ht="13.5" customHeight="1" outlineLevel="2" x14ac:dyDescent="0.2">
      <c r="A13" s="248" t="s">
        <v>139</v>
      </c>
      <c r="B13" s="351">
        <f>+'Citizens-Griffith'!D41</f>
        <v>-4525.2799999999988</v>
      </c>
      <c r="C13" s="373">
        <f>+B13/$G$4</f>
        <v>-2114.6168224299058</v>
      </c>
      <c r="D13" s="14">
        <f>+'Citizens-Griffith'!D48</f>
        <v>2381</v>
      </c>
      <c r="E13" s="70">
        <f>+C13-D13</f>
        <v>-4495.6168224299054</v>
      </c>
      <c r="F13" s="369">
        <f>+'Citizens-Griffith'!A41</f>
        <v>37276</v>
      </c>
      <c r="G13" s="203" t="s">
        <v>328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298</v>
      </c>
      <c r="B14" s="486">
        <f>+SWGasTrans!D41</f>
        <v>-24780.730000000003</v>
      </c>
      <c r="C14" s="373">
        <f>+B14/G4</f>
        <v>-11579.780373831776</v>
      </c>
      <c r="D14" s="14">
        <f>+SWGasTrans!$D$48</f>
        <v>1266</v>
      </c>
      <c r="E14" s="70">
        <f>+C14-D14</f>
        <v>-12845.780373831776</v>
      </c>
      <c r="F14" s="369">
        <f>+SWGasTrans!A41</f>
        <v>37276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51">
        <f>+'NS Steel'!D41</f>
        <v>-304357.26</v>
      </c>
      <c r="C15" s="373">
        <f>+B15/$G$4</f>
        <v>-142223.01869158878</v>
      </c>
      <c r="D15" s="14">
        <f>+'NS Steel'!D50</f>
        <v>-20580</v>
      </c>
      <c r="E15" s="70">
        <f>+C15-D15</f>
        <v>-121643.01869158878</v>
      </c>
      <c r="F15" s="370">
        <f>+'NS Steel'!A41</f>
        <v>37276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14" t="s">
        <v>135</v>
      </c>
      <c r="B16" s="354">
        <f>+Citizens!D18</f>
        <v>-549897.21000000008</v>
      </c>
      <c r="C16" s="375">
        <f>+B16/$G$4</f>
        <v>-256961.31308411216</v>
      </c>
      <c r="D16" s="355">
        <f>+Citizens!D24</f>
        <v>-42526</v>
      </c>
      <c r="E16" s="72">
        <f>+C16-D16</f>
        <v>-214435.31308411216</v>
      </c>
      <c r="F16" s="369">
        <f>+Citizens!A18</f>
        <v>37276</v>
      </c>
      <c r="G16" s="203" t="s">
        <v>328</v>
      </c>
      <c r="H16" s="204" t="s">
        <v>99</v>
      </c>
      <c r="I16" s="424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93">
        <f>SUBTOTAL(9,B12:B16)</f>
        <v>-826582.77</v>
      </c>
      <c r="C17" s="398">
        <f>SUBTOTAL(9,C12:C16)</f>
        <v>-386253.63084112148</v>
      </c>
      <c r="D17" s="399">
        <f>SUBTOTAL(9,D12:D16)</f>
        <v>56678</v>
      </c>
      <c r="E17" s="400">
        <f>SUBTOTAL(9,E12:E16)</f>
        <v>-442931.63084112154</v>
      </c>
      <c r="F17" s="369"/>
      <c r="G17" s="203"/>
      <c r="H17" s="204"/>
      <c r="I17" s="357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402" t="s">
        <v>57</v>
      </c>
      <c r="G19" s="7"/>
    </row>
    <row r="20" spans="1:20" ht="13.5" customHeight="1" outlineLevel="2" x14ac:dyDescent="0.2">
      <c r="A20" s="248" t="s">
        <v>71</v>
      </c>
      <c r="B20" s="487">
        <f>+transcol!$D$43</f>
        <v>15596.58</v>
      </c>
      <c r="C20" s="373">
        <f>+B20/$G$4</f>
        <v>7288.1214953271019</v>
      </c>
      <c r="D20" s="14">
        <f>+transcol!D50</f>
        <v>-48485</v>
      </c>
      <c r="E20" s="70">
        <f>+C20-D20</f>
        <v>55773.121495327105</v>
      </c>
      <c r="F20" s="370">
        <f>+transcol!A43</f>
        <v>37276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14" t="s">
        <v>316</v>
      </c>
      <c r="B21" s="487">
        <f>+C21*G3</f>
        <v>75122.33</v>
      </c>
      <c r="C21" s="373">
        <f>+williams!J40</f>
        <v>35603</v>
      </c>
      <c r="D21" s="14">
        <f>+C21</f>
        <v>35603</v>
      </c>
      <c r="E21" s="70">
        <f>+C21-D21</f>
        <v>0</v>
      </c>
      <c r="F21" s="370">
        <f>+williams!A40</f>
        <v>37276</v>
      </c>
      <c r="G21" s="203" t="s">
        <v>154</v>
      </c>
      <c r="H21" s="32" t="s">
        <v>317</v>
      </c>
      <c r="I21" s="32"/>
      <c r="J21" s="32"/>
      <c r="K21" s="32"/>
      <c r="T21" s="259"/>
    </row>
    <row r="22" spans="1:20" ht="13.5" customHeight="1" outlineLevel="2" x14ac:dyDescent="0.2">
      <c r="A22" s="514" t="s">
        <v>95</v>
      </c>
      <c r="B22" s="505">
        <f>+burlington!D42</f>
        <v>-12006.229999999996</v>
      </c>
      <c r="C22" s="377">
        <f>+B22/$G$3</f>
        <v>-5690.1563981042636</v>
      </c>
      <c r="D22" s="355">
        <f>+burlington!D49</f>
        <v>-7836</v>
      </c>
      <c r="E22" s="72">
        <f>+C22-D22</f>
        <v>2145.8436018957364</v>
      </c>
      <c r="F22" s="369">
        <f>+burlington!A42</f>
        <v>37276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93">
        <f>SUBTOTAL(9,B20:B22)</f>
        <v>78712.680000000008</v>
      </c>
      <c r="C23" s="394">
        <f>SUBTOTAL(9,C20:C22)</f>
        <v>37200.965097222841</v>
      </c>
      <c r="D23" s="399">
        <f>SUBTOTAL(9,D20:D22)</f>
        <v>-20718</v>
      </c>
      <c r="E23" s="400">
        <f>SUBTOTAL(9,E20:E22)</f>
        <v>57918.965097222841</v>
      </c>
      <c r="F23" s="369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71" t="s">
        <v>159</v>
      </c>
      <c r="B25" s="428"/>
      <c r="C25" s="429"/>
      <c r="D25" s="430"/>
      <c r="E25" s="430"/>
      <c r="F25" s="430"/>
      <c r="G25" s="431"/>
      <c r="H25" s="430"/>
      <c r="I25" s="430"/>
    </row>
    <row r="26" spans="1:20" ht="15.95" customHeight="1" outlineLevel="2" x14ac:dyDescent="0.2">
      <c r="A26" s="514" t="s">
        <v>87</v>
      </c>
      <c r="B26" s="486">
        <f>+NNG!$D$24</f>
        <v>22738.92</v>
      </c>
      <c r="C26" s="373">
        <f>+B26/$G$4</f>
        <v>10625.663551401867</v>
      </c>
      <c r="D26" s="14">
        <f>+NNG!D34</f>
        <v>9593</v>
      </c>
      <c r="E26" s="70">
        <f t="shared" ref="E26:E50" si="0">+C26-D26</f>
        <v>1032.6635514018672</v>
      </c>
      <c r="F26" s="369">
        <f>+NNG!A24</f>
        <v>37276</v>
      </c>
      <c r="G26" s="204" t="s">
        <v>327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6">
        <f>+Conoco!$F$41</f>
        <v>449585.45</v>
      </c>
      <c r="C27" s="373">
        <f>+B27/$G$4</f>
        <v>210086.65887850468</v>
      </c>
      <c r="D27" s="14">
        <f>+Conoco!D48</f>
        <v>12901</v>
      </c>
      <c r="E27" s="70">
        <f t="shared" si="0"/>
        <v>197185.65887850468</v>
      </c>
      <c r="F27" s="369">
        <f>+Conoco!A41</f>
        <v>37276</v>
      </c>
      <c r="G27" s="32" t="s">
        <v>328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51">
        <f>+'Amoco Abo'!$F$43</f>
        <v>169723.09</v>
      </c>
      <c r="C28" s="373">
        <f>+B28/$G$4</f>
        <v>79309.855140186904</v>
      </c>
      <c r="D28" s="14">
        <f>+'Amoco Abo'!D49</f>
        <v>-359810</v>
      </c>
      <c r="E28" s="70">
        <f t="shared" si="0"/>
        <v>439119.8551401869</v>
      </c>
      <c r="F28" s="370">
        <f>+'Amoco Abo'!A43</f>
        <v>37276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6">
        <f>+KN_Westar!F41</f>
        <v>263480.65000000002</v>
      </c>
      <c r="C29" s="373">
        <f>+B29/$G$4</f>
        <v>123121.79906542056</v>
      </c>
      <c r="D29" s="14">
        <f>+KN_Westar!D48</f>
        <v>-67067</v>
      </c>
      <c r="E29" s="70">
        <f t="shared" si="0"/>
        <v>190188.79906542058</v>
      </c>
      <c r="F29" s="370">
        <f>+KN_Westar!A41</f>
        <v>37268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14" t="s">
        <v>257</v>
      </c>
      <c r="B30" s="486">
        <f>+summary!B9</f>
        <v>1222165.44</v>
      </c>
      <c r="C30" s="374">
        <f>+B30/$G$5</f>
        <v>568449.04186046508</v>
      </c>
      <c r="D30" s="14">
        <f>+Duke!$G$40+Duke!$H$40+Duke!$I$53+Duke!$I$54</f>
        <v>363616</v>
      </c>
      <c r="E30" s="70">
        <f t="shared" si="0"/>
        <v>204833.04186046508</v>
      </c>
      <c r="F30" s="370">
        <f>+Duke!A42</f>
        <v>37276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14" t="s">
        <v>250</v>
      </c>
      <c r="B31" s="486">
        <f>+summary!B8</f>
        <v>1528147.76</v>
      </c>
      <c r="C31" s="374">
        <f>+B31/$G$5</f>
        <v>710766.4</v>
      </c>
      <c r="D31" s="14">
        <f>+Duke!$F$40</f>
        <v>377110</v>
      </c>
      <c r="E31" s="70">
        <f t="shared" si="0"/>
        <v>333656.40000000002</v>
      </c>
      <c r="F31" s="370">
        <f>+Duke!A7</f>
        <v>37276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14" t="s">
        <v>249</v>
      </c>
      <c r="B32" s="486">
        <f>+summary!B41</f>
        <v>-2797825.4800000004</v>
      </c>
      <c r="C32" s="374">
        <f>+B32/$G$5</f>
        <v>-1301314.1767441863</v>
      </c>
      <c r="D32" s="14">
        <f>+DEFS!$I$36+DEFS!$J$36+DEFS!$K$45+DEFS!$K$46+DEFS!$K$47+DEFS!$K$48</f>
        <v>-434373</v>
      </c>
      <c r="E32" s="70">
        <f t="shared" si="0"/>
        <v>-866941.17674418632</v>
      </c>
      <c r="F32" s="370">
        <f>+DEFS!A40</f>
        <v>37276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6">
        <f>+mewborne!$J$43</f>
        <v>379150.54</v>
      </c>
      <c r="C33" s="373">
        <f>+B33/$G$4</f>
        <v>177173.14953271026</v>
      </c>
      <c r="D33" s="14">
        <f>+mewborne!D49</f>
        <v>154001</v>
      </c>
      <c r="E33" s="70">
        <f t="shared" si="0"/>
        <v>23172.14953271026</v>
      </c>
      <c r="F33" s="370">
        <f>+mewborne!A43</f>
        <v>37276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6">
        <f>+PGETX!$H$39</f>
        <v>-31775.279999999999</v>
      </c>
      <c r="C34" s="373">
        <f>+B34/$G$4</f>
        <v>-14848.26168224299</v>
      </c>
      <c r="D34" s="14">
        <f>+PGETX!E48</f>
        <v>11964</v>
      </c>
      <c r="E34" s="70">
        <f t="shared" si="0"/>
        <v>-26812.261682242992</v>
      </c>
      <c r="F34" s="370">
        <f>+PGETX!E39</f>
        <v>37276</v>
      </c>
      <c r="G34" s="32" t="s">
        <v>329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51">
        <f>+PNM!$D$23</f>
        <v>805098.34</v>
      </c>
      <c r="C35" s="373">
        <f>+B35/$G$4</f>
        <v>376214.17757009342</v>
      </c>
      <c r="D35" s="14">
        <f>+PNM!D30</f>
        <v>325165</v>
      </c>
      <c r="E35" s="70">
        <f t="shared" si="0"/>
        <v>51049.177570093423</v>
      </c>
      <c r="F35" s="370">
        <f>+PNM!A23</f>
        <v>37276</v>
      </c>
      <c r="G35" s="32" t="s">
        <v>327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6">
        <f>+EOG!J41</f>
        <v>47545.93</v>
      </c>
      <c r="C36" s="373">
        <f>+B36/$G$4</f>
        <v>22217.724299065419</v>
      </c>
      <c r="D36" s="14">
        <f>+EOG!D48</f>
        <v>-105440</v>
      </c>
      <c r="E36" s="70">
        <f t="shared" si="0"/>
        <v>127657.72429906542</v>
      </c>
      <c r="F36" s="369">
        <f>+EOG!A41</f>
        <v>37276</v>
      </c>
      <c r="G36" s="32" t="s">
        <v>327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51">
        <f>+Oasis!D40</f>
        <v>-7953.1100000000042</v>
      </c>
      <c r="C37" s="373">
        <f>+B37/G5</f>
        <v>-3699.1209302325601</v>
      </c>
      <c r="D37" s="14">
        <f>+Oasis!D47</f>
        <v>-6317</v>
      </c>
      <c r="E37" s="70">
        <f>+C37-D37</f>
        <v>2617.8790697674399</v>
      </c>
      <c r="F37" s="369">
        <f>+Oasis!A40</f>
        <v>37276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6">
        <f>+SidR!D41</f>
        <v>36768.800000000003</v>
      </c>
      <c r="C38" s="373">
        <f>+B38/$G$5</f>
        <v>17101.767441860466</v>
      </c>
      <c r="D38" s="14">
        <f>+SidR!D48</f>
        <v>17411</v>
      </c>
      <c r="E38" s="70">
        <f t="shared" si="0"/>
        <v>-309.23255813953438</v>
      </c>
      <c r="F38" s="370">
        <f>+SidR!A41</f>
        <v>37276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14" t="s">
        <v>261</v>
      </c>
      <c r="B39" s="351">
        <f>+summary!$B$44</f>
        <v>-203736.06</v>
      </c>
      <c r="C39" s="373">
        <f>+summary!$C$44</f>
        <v>-94760.95813953488</v>
      </c>
      <c r="D39" s="14">
        <f>+MiVida_Rich!D48</f>
        <v>-51454</v>
      </c>
      <c r="E39" s="70">
        <f>+C39-D39</f>
        <v>-43306.95813953488</v>
      </c>
      <c r="F39" s="370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">
      <c r="A40" s="248" t="s">
        <v>207</v>
      </c>
      <c r="B40" s="351">
        <f>+Dominion!D41</f>
        <v>176348.83000000002</v>
      </c>
      <c r="C40" s="373">
        <f>+B40/$G$5</f>
        <v>82022.711627906989</v>
      </c>
      <c r="D40" s="14">
        <f>+Dominion!D48</f>
        <v>77292</v>
      </c>
      <c r="E40" s="70">
        <f t="shared" si="0"/>
        <v>4730.7116279069887</v>
      </c>
      <c r="F40" s="370">
        <f>+Dominion!A41</f>
        <v>37276</v>
      </c>
      <c r="G40" s="203" t="s">
        <v>327</v>
      </c>
      <c r="H40" s="32" t="s">
        <v>99</v>
      </c>
      <c r="I40" s="32"/>
      <c r="J40" s="32"/>
      <c r="K40" s="32"/>
    </row>
    <row r="41" spans="1:11" ht="14.1" customHeight="1" x14ac:dyDescent="0.2">
      <c r="A41" s="248" t="s">
        <v>204</v>
      </c>
      <c r="B41" s="351">
        <f>+WTGmktg!J43</f>
        <v>-34371.89</v>
      </c>
      <c r="C41" s="373">
        <f>+B41/$G$4</f>
        <v>-16061.630841121494</v>
      </c>
      <c r="D41" s="14">
        <f>+WTGmktg!D50</f>
        <v>-2888</v>
      </c>
      <c r="E41" s="70">
        <f t="shared" si="0"/>
        <v>-13173.630841121494</v>
      </c>
      <c r="F41" s="370">
        <f>+WTGmktg!A43</f>
        <v>37276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">
      <c r="A42" s="248" t="s">
        <v>303</v>
      </c>
      <c r="B42" s="351">
        <f>+'WTG inc'!N43</f>
        <v>36888.69</v>
      </c>
      <c r="C42" s="373">
        <f>+B42/G4</f>
        <v>17237.705607476637</v>
      </c>
      <c r="D42" s="14">
        <f>+'WTG inc'!D50</f>
        <v>14111</v>
      </c>
      <c r="E42" s="70">
        <f>+C42-D42</f>
        <v>3126.7056074766369</v>
      </c>
      <c r="F42" s="370">
        <f>+'WTG inc'!A43</f>
        <v>37276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">
      <c r="A43" s="248" t="s">
        <v>208</v>
      </c>
      <c r="B43" s="351">
        <f>+Devon!D41</f>
        <v>155369.24</v>
      </c>
      <c r="C43" s="373">
        <f>+B43/$G$5</f>
        <v>72264.76279069767</v>
      </c>
      <c r="D43" s="14">
        <f>+Devon!D48</f>
        <v>31216</v>
      </c>
      <c r="E43" s="70">
        <f t="shared" si="0"/>
        <v>41048.76279069767</v>
      </c>
      <c r="F43" s="370">
        <f>+Devon!A41</f>
        <v>37276</v>
      </c>
      <c r="G43" s="203" t="s">
        <v>328</v>
      </c>
      <c r="H43" s="32" t="s">
        <v>99</v>
      </c>
      <c r="I43" s="32"/>
      <c r="J43" s="32"/>
      <c r="K43" s="32"/>
    </row>
    <row r="44" spans="1:11" ht="13.5" customHeight="1" x14ac:dyDescent="0.2">
      <c r="A44" s="248" t="s">
        <v>217</v>
      </c>
      <c r="B44" s="351">
        <f>+crosstex!F41</f>
        <v>-103636.4</v>
      </c>
      <c r="C44" s="373">
        <f>+B44/$G$4</f>
        <v>-48428.224299065412</v>
      </c>
      <c r="D44" s="14">
        <f>+crosstex!D48</f>
        <v>-29506</v>
      </c>
      <c r="E44" s="70">
        <f t="shared" si="0"/>
        <v>-18922.224299065412</v>
      </c>
      <c r="F44" s="370">
        <f>+crosstex!A41</f>
        <v>37276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">
      <c r="A45" s="248" t="s">
        <v>218</v>
      </c>
      <c r="B45" s="351">
        <f>+Amarillo!P41</f>
        <v>92673.299999999988</v>
      </c>
      <c r="C45" s="373">
        <f>+B45/$G$4</f>
        <v>43305.280373831767</v>
      </c>
      <c r="D45" s="14">
        <f>+Amarillo!D48</f>
        <v>38455</v>
      </c>
      <c r="E45" s="70">
        <f t="shared" si="0"/>
        <v>4850.2803738317671</v>
      </c>
      <c r="F45" s="370">
        <f>+Amarillo!A41</f>
        <v>37276</v>
      </c>
      <c r="G45" s="203" t="s">
        <v>328</v>
      </c>
      <c r="H45" s="32" t="s">
        <v>113</v>
      </c>
      <c r="I45" s="32"/>
      <c r="J45" s="32"/>
      <c r="K45" s="32"/>
    </row>
    <row r="46" spans="1:11" ht="13.5" customHeight="1" x14ac:dyDescent="0.2">
      <c r="A46" s="248" t="s">
        <v>322</v>
      </c>
      <c r="B46" s="351">
        <f>+Stratland!$D$41</f>
        <v>42582.37</v>
      </c>
      <c r="C46" s="374">
        <f>+B46/$G$4</f>
        <v>19898.303738317758</v>
      </c>
      <c r="D46" s="14">
        <f>+Stratland!D48</f>
        <v>14572</v>
      </c>
      <c r="E46" s="70">
        <f>+C46-D46</f>
        <v>5326.303738317758</v>
      </c>
      <c r="F46" s="369">
        <f>+Stratland!A41</f>
        <v>37257</v>
      </c>
      <c r="G46" s="203" t="s">
        <v>327</v>
      </c>
      <c r="H46" s="32" t="s">
        <v>102</v>
      </c>
      <c r="I46" s="32"/>
      <c r="J46" s="32"/>
      <c r="K46" s="32"/>
    </row>
    <row r="47" spans="1:11" ht="13.5" customHeight="1" x14ac:dyDescent="0.2">
      <c r="A47" s="248" t="s">
        <v>334</v>
      </c>
      <c r="B47" s="351">
        <f>+Plains!$N$43</f>
        <v>107948.28</v>
      </c>
      <c r="C47" s="374">
        <f>+B47/$G$4</f>
        <v>50443.121495327097</v>
      </c>
      <c r="D47" s="14">
        <f>+Plains!D50</f>
        <v>36315</v>
      </c>
      <c r="E47" s="70">
        <f>+C47-D47</f>
        <v>14128.121495327097</v>
      </c>
      <c r="F47" s="369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">
      <c r="A48" s="248" t="s">
        <v>109</v>
      </c>
      <c r="B48" s="351">
        <f>+Continental!F43</f>
        <v>60370</v>
      </c>
      <c r="C48" s="374">
        <f>+B48/$G$4</f>
        <v>28210.280373831774</v>
      </c>
      <c r="D48" s="14">
        <f>+Continental!D50</f>
        <v>12948</v>
      </c>
      <c r="E48" s="70">
        <f t="shared" si="0"/>
        <v>15262.280373831774</v>
      </c>
      <c r="F48" s="370">
        <f>+Continental!A43</f>
        <v>37276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">
      <c r="A49" s="248" t="s">
        <v>129</v>
      </c>
      <c r="B49" s="351">
        <f>+EPFS!D41</f>
        <v>70857.079999999987</v>
      </c>
      <c r="C49" s="374">
        <f>+B49/$G$5</f>
        <v>32956.781395348829</v>
      </c>
      <c r="D49" s="14">
        <f>+EPFS!D47</f>
        <v>48002</v>
      </c>
      <c r="E49" s="70">
        <f t="shared" si="0"/>
        <v>-15045.218604651171</v>
      </c>
      <c r="F49" s="369">
        <f>+EPFS!A41</f>
        <v>37276</v>
      </c>
      <c r="G49" s="203" t="s">
        <v>154</v>
      </c>
      <c r="H49" s="32" t="s">
        <v>102</v>
      </c>
      <c r="I49" s="32"/>
      <c r="J49" s="32"/>
      <c r="K49" s="32"/>
    </row>
    <row r="50" spans="1:19" ht="12.95" customHeight="1" x14ac:dyDescent="0.2">
      <c r="A50" s="514" t="s">
        <v>79</v>
      </c>
      <c r="B50" s="505">
        <f>+Agave!$D$24</f>
        <v>-169576.88999999998</v>
      </c>
      <c r="C50" s="375">
        <f>+B50/$G$4</f>
        <v>-79241.537383177565</v>
      </c>
      <c r="D50" s="355">
        <f>+Agave!D31</f>
        <v>-66055</v>
      </c>
      <c r="E50" s="72">
        <f t="shared" si="0"/>
        <v>-13186.537383177565</v>
      </c>
      <c r="F50" s="369">
        <f>+Agave!A24</f>
        <v>37276</v>
      </c>
      <c r="G50" s="203" t="s">
        <v>328</v>
      </c>
      <c r="H50" s="204" t="s">
        <v>102</v>
      </c>
      <c r="I50" s="32"/>
      <c r="J50" s="32"/>
      <c r="K50" s="32"/>
    </row>
    <row r="51" spans="1:19" ht="17.100000000000001" customHeight="1" x14ac:dyDescent="0.2">
      <c r="A51" s="153" t="s">
        <v>161</v>
      </c>
      <c r="B51" s="393">
        <f>SUBTOTAL(9,B26:B50)</f>
        <v>2318567.5999999992</v>
      </c>
      <c r="C51" s="398">
        <f>SUBTOTAL(9,C26:C50)</f>
        <v>1083051.2747228856</v>
      </c>
      <c r="D51" s="399">
        <f>SUBTOTAL(9,D26:D50)</f>
        <v>421762</v>
      </c>
      <c r="E51" s="400">
        <f>SUBTOTAL(9,E26:E50)</f>
        <v>661289.27472288604</v>
      </c>
      <c r="F51" s="369"/>
      <c r="G51" s="358"/>
      <c r="H51" s="32"/>
      <c r="I51" s="204"/>
      <c r="J51" s="32"/>
      <c r="K51" s="32"/>
      <c r="L51" s="32"/>
    </row>
    <row r="52" spans="1:19" ht="12" customHeight="1" x14ac:dyDescent="0.2">
      <c r="A52" s="204"/>
      <c r="H52" s="32"/>
      <c r="I52" s="204"/>
      <c r="J52" s="32"/>
      <c r="K52" s="32"/>
      <c r="L52" s="32"/>
    </row>
    <row r="53" spans="1:19" ht="17.100000000000001" customHeight="1" x14ac:dyDescent="0.2">
      <c r="A53" s="153" t="s">
        <v>162</v>
      </c>
      <c r="B53" s="393">
        <f>SUBTOTAL(9,B12:B50)</f>
        <v>1570697.5099999998</v>
      </c>
      <c r="C53" s="398">
        <f>SUBTOTAL(9,C12:C50)</f>
        <v>733998.60897898732</v>
      </c>
      <c r="D53" s="399">
        <f>SUBTOTAL(9,D12:D50)</f>
        <v>457722</v>
      </c>
      <c r="E53" s="400">
        <f>SUBTOTAL(9,E12:E50)</f>
        <v>276276.60897898732</v>
      </c>
      <c r="F53" s="369"/>
      <c r="G53" s="204"/>
      <c r="H53" s="32"/>
      <c r="I53" s="204"/>
      <c r="J53" s="32"/>
      <c r="K53" s="32"/>
      <c r="L53" s="32"/>
    </row>
    <row r="54" spans="1:19" ht="12.95" customHeight="1" x14ac:dyDescent="0.2">
      <c r="A54" s="204"/>
      <c r="B54" s="351"/>
      <c r="C54" s="373"/>
      <c r="D54" s="373"/>
      <c r="E54" s="373"/>
      <c r="F54" s="358"/>
      <c r="G54" s="32"/>
      <c r="I54" s="32"/>
      <c r="J54" s="32"/>
      <c r="K54" s="32"/>
      <c r="L54" s="32"/>
    </row>
    <row r="55" spans="1:19" ht="14.1" customHeight="1" x14ac:dyDescent="0.2"/>
    <row r="56" spans="1:19" ht="12.95" customHeight="1" x14ac:dyDescent="0.2"/>
    <row r="57" spans="1:19" ht="13.5" customHeight="1" x14ac:dyDescent="0.2"/>
    <row r="58" spans="1:19" ht="13.5" customHeight="1" outlineLevel="2" x14ac:dyDescent="0.2">
      <c r="A58" s="34" t="s">
        <v>140</v>
      </c>
      <c r="D58" s="7"/>
      <c r="F58" s="388" t="s">
        <v>78</v>
      </c>
      <c r="G58" s="391"/>
      <c r="H58" s="32"/>
    </row>
    <row r="59" spans="1:19" ht="13.5" customHeight="1" outlineLevel="2" x14ac:dyDescent="0.2">
      <c r="D59" s="7"/>
      <c r="F59" s="389" t="s">
        <v>29</v>
      </c>
      <c r="G59" s="392">
        <f>+G3</f>
        <v>2.11</v>
      </c>
      <c r="H59" s="407">
        <f ca="1">NOW()</f>
        <v>37278.591974537034</v>
      </c>
    </row>
    <row r="60" spans="1:19" ht="13.5" customHeight="1" outlineLevel="2" x14ac:dyDescent="0.2">
      <c r="A60" s="34" t="s">
        <v>145</v>
      </c>
      <c r="C60" s="34" t="s">
        <v>5</v>
      </c>
      <c r="D60" s="7"/>
      <c r="F60" s="390" t="s">
        <v>30</v>
      </c>
      <c r="G60" s="392">
        <f>+G4</f>
        <v>2.14</v>
      </c>
      <c r="H60" s="32"/>
    </row>
    <row r="61" spans="1:19" ht="13.5" customHeight="1" outlineLevel="1" x14ac:dyDescent="0.2">
      <c r="D61" s="7"/>
      <c r="F61" s="389" t="s">
        <v>117</v>
      </c>
      <c r="G61" s="392">
        <f>+G5</f>
        <v>2.15</v>
      </c>
      <c r="H61" s="32"/>
    </row>
    <row r="62" spans="1:19" ht="13.5" customHeight="1" outlineLevel="2" x14ac:dyDescent="0.2"/>
    <row r="63" spans="1:19" ht="13.5" customHeight="1" outlineLevel="2" x14ac:dyDescent="0.2">
      <c r="A63" s="405" t="s">
        <v>164</v>
      </c>
      <c r="B63" s="406"/>
      <c r="E63" s="12" t="s">
        <v>197</v>
      </c>
    </row>
    <row r="64" spans="1:19" ht="13.5" customHeight="1" outlineLevel="2" x14ac:dyDescent="0.2">
      <c r="A64" s="32"/>
      <c r="B64" s="408" t="s">
        <v>188</v>
      </c>
      <c r="C64" s="408" t="s">
        <v>195</v>
      </c>
      <c r="D64" s="408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">
      <c r="A65" s="371" t="s">
        <v>89</v>
      </c>
      <c r="B65" s="404" t="s">
        <v>0</v>
      </c>
      <c r="C65" s="383" t="s">
        <v>166</v>
      </c>
      <c r="D65" s="39" t="s">
        <v>196</v>
      </c>
      <c r="E65" s="39" t="s">
        <v>199</v>
      </c>
      <c r="F65" s="39" t="s">
        <v>146</v>
      </c>
      <c r="G65" s="395" t="s">
        <v>151</v>
      </c>
      <c r="H65" s="372" t="s">
        <v>101</v>
      </c>
      <c r="I65" s="371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">
      <c r="B66" s="286"/>
      <c r="C66" s="247"/>
    </row>
    <row r="67" spans="1:19" ht="13.5" customHeight="1" outlineLevel="1" x14ac:dyDescent="0.2">
      <c r="A67" s="371" t="s">
        <v>155</v>
      </c>
      <c r="B67" s="286"/>
      <c r="C67" s="247"/>
      <c r="G67" s="203"/>
    </row>
    <row r="68" spans="1:19" ht="13.5" customHeight="1" outlineLevel="2" x14ac:dyDescent="0.2">
      <c r="A68" s="248" t="s">
        <v>94</v>
      </c>
      <c r="B68" s="517">
        <f>+Mojave!D40</f>
        <v>196295</v>
      </c>
      <c r="C68" s="351">
        <f>+B68*$G$4</f>
        <v>420071.30000000005</v>
      </c>
      <c r="D68" s="47">
        <f>+Mojave!D47</f>
        <v>220083.08000000002</v>
      </c>
      <c r="E68" s="47">
        <f>+C68-D68</f>
        <v>199988.22000000003</v>
      </c>
      <c r="F68" s="370">
        <f>+Mojave!A40</f>
        <v>37276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">
      <c r="A69" s="248" t="s">
        <v>32</v>
      </c>
      <c r="B69" s="374">
        <f>+SoCal!F40</f>
        <v>66258</v>
      </c>
      <c r="C69" s="351">
        <f>+B69*$G$4</f>
        <v>141792.12</v>
      </c>
      <c r="D69" s="47">
        <f>+SoCal!D47</f>
        <v>250250.32</v>
      </c>
      <c r="E69" s="47">
        <f>+C69-D69</f>
        <v>-108458.20000000001</v>
      </c>
      <c r="F69" s="370">
        <f>+SoCal!A40</f>
        <v>37276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">
      <c r="A70" s="248" t="s">
        <v>178</v>
      </c>
      <c r="B70" s="373">
        <f>+'El Paso'!C39</f>
        <v>64269</v>
      </c>
      <c r="C70" s="351">
        <f>+B70*$G$4</f>
        <v>137535.66</v>
      </c>
      <c r="D70" s="47">
        <f>+'El Paso'!C46</f>
        <v>-1582961.01</v>
      </c>
      <c r="E70" s="47">
        <f>+C70-D70</f>
        <v>1720496.67</v>
      </c>
      <c r="F70" s="370">
        <f>+'El Paso'!A39</f>
        <v>37276</v>
      </c>
      <c r="G70" s="425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">
      <c r="A71" s="248" t="s">
        <v>114</v>
      </c>
      <c r="B71" s="375">
        <f>+'PG&amp;E'!D40</f>
        <v>25681</v>
      </c>
      <c r="C71" s="354">
        <f>+B71*$G$4</f>
        <v>54957.340000000004</v>
      </c>
      <c r="D71" s="354">
        <f>+'PG&amp;E'!D47</f>
        <v>-151997.75</v>
      </c>
      <c r="E71" s="354">
        <f>+C71-D71</f>
        <v>206955.09</v>
      </c>
      <c r="F71" s="370">
        <f>+'PG&amp;E'!A40</f>
        <v>37276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">
      <c r="A72" s="2" t="s">
        <v>156</v>
      </c>
      <c r="B72" s="398">
        <f>SUBTOTAL(9,B68:B71)</f>
        <v>352503</v>
      </c>
      <c r="C72" s="393">
        <f>SUBTOTAL(9,C68:C71)</f>
        <v>754356.42</v>
      </c>
      <c r="D72" s="393">
        <f>SUBTOTAL(9,D68:D71)</f>
        <v>-1264625.3599999999</v>
      </c>
      <c r="E72" s="393">
        <f>SUBTOTAL(9,E68:E71)</f>
        <v>2018981.78</v>
      </c>
      <c r="F72" s="370"/>
      <c r="G72" s="203"/>
      <c r="H72" s="32"/>
      <c r="I72" s="32"/>
      <c r="J72" s="32"/>
      <c r="K72" s="32"/>
    </row>
    <row r="73" spans="1:19" ht="12.95" customHeight="1" x14ac:dyDescent="0.2">
      <c r="B73" s="286"/>
      <c r="C73" s="247"/>
      <c r="G73" s="203"/>
    </row>
    <row r="74" spans="1:19" ht="15" customHeight="1" x14ac:dyDescent="0.2">
      <c r="A74" s="371" t="s">
        <v>57</v>
      </c>
      <c r="B74" s="286"/>
      <c r="C74" s="247"/>
      <c r="G74" s="203"/>
    </row>
    <row r="75" spans="1:19" x14ac:dyDescent="0.2">
      <c r="A75" s="248" t="s">
        <v>23</v>
      </c>
      <c r="B75" s="373">
        <f>+'Red C'!F45</f>
        <v>20434</v>
      </c>
      <c r="C75" s="352">
        <f>+B75*G59</f>
        <v>43115.74</v>
      </c>
      <c r="D75" s="200">
        <f>+'Red C'!D52</f>
        <v>413900.11000000004</v>
      </c>
      <c r="E75" s="47">
        <f>+C75-D75</f>
        <v>-370784.37000000005</v>
      </c>
      <c r="F75" s="369">
        <f>+'Red C'!A45</f>
        <v>37276</v>
      </c>
      <c r="G75" s="203" t="s">
        <v>153</v>
      </c>
      <c r="H75" s="32" t="s">
        <v>115</v>
      </c>
      <c r="I75" s="32"/>
      <c r="J75" s="32"/>
      <c r="K75" s="32"/>
    </row>
    <row r="76" spans="1:19" x14ac:dyDescent="0.2">
      <c r="A76" s="248" t="s">
        <v>315</v>
      </c>
      <c r="B76" s="373">
        <f>+Amoco!D40</f>
        <v>8940</v>
      </c>
      <c r="C76" s="351">
        <f>+B76*$G$3</f>
        <v>18863.399999999998</v>
      </c>
      <c r="D76" s="47">
        <f>+Amoco!D47</f>
        <v>355188.5</v>
      </c>
      <c r="E76" s="47">
        <f>+C76-D76</f>
        <v>-336325.1</v>
      </c>
      <c r="F76" s="370">
        <f>+Amoco!A40</f>
        <v>37276</v>
      </c>
      <c r="G76" s="203" t="s">
        <v>153</v>
      </c>
      <c r="H76" s="32" t="s">
        <v>115</v>
      </c>
      <c r="I76" s="32"/>
      <c r="J76" s="32"/>
      <c r="K76" s="32"/>
    </row>
    <row r="77" spans="1:19" x14ac:dyDescent="0.2">
      <c r="A77" s="248" t="s">
        <v>179</v>
      </c>
      <c r="B77" s="373">
        <f>+'El Paso'!E39</f>
        <v>-56190</v>
      </c>
      <c r="C77" s="351">
        <f>+B77*$G$3</f>
        <v>-118560.9</v>
      </c>
      <c r="D77" s="47">
        <f>+'El Paso'!F46</f>
        <v>-657254.01</v>
      </c>
      <c r="E77" s="47">
        <f>+C77-D77</f>
        <v>538693.11</v>
      </c>
      <c r="F77" s="370">
        <f>+'El Paso'!A39</f>
        <v>37276</v>
      </c>
      <c r="G77" s="425" t="s">
        <v>154</v>
      </c>
      <c r="H77" s="32" t="s">
        <v>100</v>
      </c>
      <c r="I77" s="32"/>
      <c r="J77" s="32"/>
      <c r="K77" s="32"/>
    </row>
    <row r="78" spans="1:19" x14ac:dyDescent="0.2">
      <c r="A78" s="248" t="s">
        <v>1</v>
      </c>
      <c r="B78" s="375">
        <f>+NW!$F$41</f>
        <v>-27490</v>
      </c>
      <c r="C78" s="354">
        <f>+B78*$G$3</f>
        <v>-58003.899999999994</v>
      </c>
      <c r="D78" s="354">
        <f>+NW!E49</f>
        <v>-518371.11</v>
      </c>
      <c r="E78" s="354">
        <f>+C78-D78</f>
        <v>460367.20999999996</v>
      </c>
      <c r="F78" s="369">
        <f>+NW!B41</f>
        <v>37276</v>
      </c>
      <c r="G78" s="203" t="s">
        <v>153</v>
      </c>
      <c r="H78" s="32" t="s">
        <v>115</v>
      </c>
      <c r="I78" s="32"/>
      <c r="J78" s="32"/>
      <c r="K78" s="32"/>
    </row>
    <row r="79" spans="1:19" x14ac:dyDescent="0.2">
      <c r="A79" s="32" t="s">
        <v>157</v>
      </c>
      <c r="B79" s="398">
        <f>SUBTOTAL(9,B75:B78)</f>
        <v>-54306</v>
      </c>
      <c r="C79" s="393">
        <f>SUBTOTAL(9,C75:C78)</f>
        <v>-114585.65999999999</v>
      </c>
      <c r="D79" s="393">
        <f>SUBTOTAL(9,D75:D78)</f>
        <v>-406536.50999999989</v>
      </c>
      <c r="E79" s="393">
        <f>SUBTOTAL(9,E75:E78)</f>
        <v>291950.84999999998</v>
      </c>
      <c r="F79" s="369"/>
      <c r="G79" s="203"/>
      <c r="H79" s="32"/>
      <c r="I79" s="32"/>
      <c r="J79" s="32"/>
      <c r="K79" s="32"/>
    </row>
    <row r="80" spans="1:19" x14ac:dyDescent="0.2">
      <c r="B80" s="286"/>
      <c r="C80" s="247"/>
      <c r="G80" s="203"/>
    </row>
    <row r="81" spans="1:12" x14ac:dyDescent="0.2">
      <c r="A81" s="371" t="s">
        <v>159</v>
      </c>
      <c r="B81" s="286"/>
      <c r="C81" s="247"/>
      <c r="G81" s="203"/>
    </row>
    <row r="82" spans="1:12" x14ac:dyDescent="0.2">
      <c r="A82" s="248" t="s">
        <v>88</v>
      </c>
      <c r="B82" s="373">
        <f>+NGPL!F38</f>
        <v>134826</v>
      </c>
      <c r="C82" s="486">
        <f>+B82*$G$5</f>
        <v>289875.89999999997</v>
      </c>
      <c r="D82" s="47">
        <f>+NGPL!D45</f>
        <v>338287.9</v>
      </c>
      <c r="E82" s="47">
        <f>+C82-D82</f>
        <v>-48412.000000000058</v>
      </c>
      <c r="F82" s="370">
        <f>+NGPL!A38</f>
        <v>37276</v>
      </c>
      <c r="G82" s="203" t="s">
        <v>153</v>
      </c>
      <c r="H82" s="32" t="s">
        <v>115</v>
      </c>
      <c r="I82" s="32"/>
      <c r="J82" s="32"/>
      <c r="K82" s="32"/>
    </row>
    <row r="83" spans="1:12" x14ac:dyDescent="0.2">
      <c r="A83" s="248" t="s">
        <v>142</v>
      </c>
      <c r="B83" s="373">
        <f>+PEPL!D41</f>
        <v>-23098</v>
      </c>
      <c r="C83" s="487">
        <f>+B83*$G$4</f>
        <v>-49429.72</v>
      </c>
      <c r="D83" s="47">
        <f>+PEPL!D47</f>
        <v>144439.38</v>
      </c>
      <c r="E83" s="47">
        <f>+C83-D83</f>
        <v>-193869.1</v>
      </c>
      <c r="F83" s="370">
        <f>+PEPL!A41</f>
        <v>37276</v>
      </c>
      <c r="G83" s="32" t="s">
        <v>328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">
      <c r="A84" s="248" t="s">
        <v>110</v>
      </c>
      <c r="B84" s="206">
        <f>+CIG!D42</f>
        <v>17587</v>
      </c>
      <c r="C84" s="487">
        <f>+B84*$G$4</f>
        <v>37636.18</v>
      </c>
      <c r="D84" s="200">
        <f>+CIG!D49</f>
        <v>385972.26</v>
      </c>
      <c r="E84" s="70">
        <f>+C84-D84</f>
        <v>-348336.08</v>
      </c>
      <c r="F84" s="370">
        <f>+CIG!A42</f>
        <v>37276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">
      <c r="A85" s="248" t="s">
        <v>31</v>
      </c>
      <c r="B85" s="377">
        <f>+Lonestar!F43</f>
        <v>33252.899999999994</v>
      </c>
      <c r="C85" s="505">
        <f>+B85*G61</f>
        <v>71493.734999999986</v>
      </c>
      <c r="D85" s="354">
        <f>+Lonestar!D50</f>
        <v>30909.24</v>
      </c>
      <c r="E85" s="354">
        <f>+C85-D85</f>
        <v>40584.494999999981</v>
      </c>
      <c r="F85" s="369">
        <f>+Lonestar!A43</f>
        <v>37276</v>
      </c>
      <c r="G85" s="32" t="s">
        <v>328</v>
      </c>
      <c r="H85" s="32" t="s">
        <v>102</v>
      </c>
      <c r="I85" s="32"/>
      <c r="J85" s="32"/>
      <c r="K85" s="32"/>
    </row>
    <row r="86" spans="1:12" x14ac:dyDescent="0.2">
      <c r="A86" s="2" t="s">
        <v>160</v>
      </c>
      <c r="B86" s="394">
        <f>SUBTOTAL(9,B82:B85)</f>
        <v>162567.9</v>
      </c>
      <c r="C86" s="393">
        <f>SUBTOTAL(9,C82:C85)</f>
        <v>349576.09499999997</v>
      </c>
      <c r="D86" s="393">
        <f>SUBTOTAL(9,D82:D85)</f>
        <v>899608.78</v>
      </c>
      <c r="E86" s="393">
        <f>SUBTOTAL(9,E82:E85)</f>
        <v>-550032.68500000006</v>
      </c>
      <c r="F86" s="369"/>
      <c r="H86" s="32"/>
      <c r="I86" s="32"/>
      <c r="J86" s="32"/>
      <c r="K86" s="32"/>
    </row>
    <row r="87" spans="1:12" x14ac:dyDescent="0.2">
      <c r="B87" s="286"/>
      <c r="C87" s="247"/>
    </row>
    <row r="88" spans="1:12" x14ac:dyDescent="0.2">
      <c r="A88" s="2" t="s">
        <v>165</v>
      </c>
      <c r="B88" s="394">
        <f>SUBTOTAL(9,B68:B85)</f>
        <v>460764.9</v>
      </c>
      <c r="C88" s="393">
        <f>SUBTOTAL(9,C68:C85)</f>
        <v>989346.85499999998</v>
      </c>
      <c r="D88" s="393">
        <f>SUBTOTAL(9,D68:D85)</f>
        <v>-771553.08999999985</v>
      </c>
      <c r="E88" s="393">
        <f>SUBTOTAL(9,E68:E85)</f>
        <v>1760899.9449999996</v>
      </c>
      <c r="F88" s="369"/>
      <c r="H88" s="32"/>
      <c r="I88" s="32"/>
      <c r="J88" s="32"/>
      <c r="K88" s="32"/>
    </row>
    <row r="89" spans="1:12" x14ac:dyDescent="0.2">
      <c r="A89" s="32"/>
      <c r="B89" s="351"/>
      <c r="C89" s="374"/>
      <c r="D89" s="351"/>
      <c r="E89" s="351"/>
      <c r="F89" s="369"/>
      <c r="H89" s="32"/>
      <c r="I89" s="32"/>
      <c r="J89" s="32"/>
      <c r="K89" s="32"/>
    </row>
    <row r="90" spans="1:12" x14ac:dyDescent="0.2">
      <c r="A90" s="32"/>
      <c r="B90" s="354"/>
      <c r="C90" s="373"/>
      <c r="D90" s="293"/>
      <c r="E90" s="293"/>
      <c r="F90" s="369"/>
      <c r="G90" s="32"/>
      <c r="I90" s="32"/>
      <c r="J90" s="32"/>
      <c r="K90" s="32"/>
      <c r="L90" s="32"/>
    </row>
    <row r="91" spans="1:12" ht="13.5" thickBot="1" x14ac:dyDescent="0.25">
      <c r="A91" s="2" t="s">
        <v>167</v>
      </c>
      <c r="B91" s="401">
        <f>+C88+B53</f>
        <v>2560044.3649999998</v>
      </c>
      <c r="C91" s="206"/>
      <c r="D91" s="351"/>
      <c r="E91" s="351"/>
      <c r="F91" s="358"/>
      <c r="H91" s="32"/>
      <c r="I91" s="32"/>
      <c r="J91" s="32"/>
      <c r="K91" s="32"/>
    </row>
    <row r="92" spans="1:12" ht="13.5" thickTop="1" x14ac:dyDescent="0.2">
      <c r="A92" s="2" t="s">
        <v>168</v>
      </c>
      <c r="B92" s="14">
        <f>+B88+C53</f>
        <v>1194763.5089789873</v>
      </c>
      <c r="C92" s="376"/>
      <c r="D92" s="427"/>
      <c r="E92" s="293"/>
      <c r="F92" s="358"/>
      <c r="G92" s="32"/>
      <c r="H92" s="32"/>
      <c r="I92" s="32"/>
      <c r="J92" s="32"/>
    </row>
    <row r="93" spans="1:12" x14ac:dyDescent="0.2">
      <c r="A93" s="32"/>
      <c r="B93" s="47"/>
      <c r="C93" s="378"/>
      <c r="D93" s="293"/>
      <c r="E93" s="293"/>
      <c r="F93" s="204"/>
      <c r="G93" s="32"/>
      <c r="H93" s="32"/>
      <c r="I93" s="32"/>
      <c r="J93" s="32"/>
    </row>
    <row r="94" spans="1:12" x14ac:dyDescent="0.2">
      <c r="A94" s="32"/>
      <c r="B94" s="47"/>
      <c r="C94" s="69"/>
      <c r="E94" s="32"/>
      <c r="F94" s="32"/>
      <c r="G94" s="32"/>
      <c r="H94" s="32"/>
      <c r="I94" s="32"/>
    </row>
    <row r="95" spans="1:12" x14ac:dyDescent="0.2">
      <c r="A95" s="32"/>
      <c r="B95" s="47"/>
      <c r="C95" s="69"/>
      <c r="D95" s="32"/>
      <c r="E95" s="32"/>
      <c r="F95" s="32"/>
      <c r="G95" s="32"/>
      <c r="H95" s="32"/>
    </row>
    <row r="96" spans="1:12" x14ac:dyDescent="0.2">
      <c r="A96" s="32"/>
      <c r="B96" s="200"/>
      <c r="C96" s="294"/>
      <c r="D96" s="16"/>
      <c r="E96" s="32"/>
      <c r="F96" s="32"/>
      <c r="G96" s="32"/>
      <c r="H96" s="32"/>
    </row>
    <row r="102" spans="1:8" x14ac:dyDescent="0.2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">
      <c r="A103" s="32"/>
      <c r="B103" s="47"/>
      <c r="C103" s="14"/>
      <c r="D103" s="32"/>
      <c r="E103" s="32"/>
      <c r="F103" s="32"/>
      <c r="G103" s="32"/>
      <c r="H103" s="32"/>
    </row>
    <row r="104" spans="1:8" x14ac:dyDescent="0.2">
      <c r="A104" s="32"/>
      <c r="B104" s="47"/>
      <c r="C104" s="14"/>
      <c r="D104" s="32"/>
      <c r="E104" s="32"/>
      <c r="F104" s="32"/>
      <c r="G104" s="32"/>
      <c r="H104" s="32"/>
    </row>
    <row r="105" spans="1:8" x14ac:dyDescent="0.2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">
      <c r="A108" s="32"/>
      <c r="B108" s="200"/>
      <c r="C108" s="367"/>
      <c r="D108" s="32"/>
      <c r="E108" s="32"/>
      <c r="F108" s="32"/>
      <c r="G108" s="32"/>
      <c r="H108" s="32"/>
    </row>
    <row r="109" spans="1:8" x14ac:dyDescent="0.2">
      <c r="A109" s="32"/>
      <c r="B109" s="47"/>
      <c r="C109" s="69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D127" s="32"/>
      <c r="E127" s="32"/>
      <c r="F127" s="32"/>
      <c r="G127" s="32"/>
      <c r="H127" s="32"/>
    </row>
    <row r="128" spans="1:8" x14ac:dyDescent="0.2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D132" s="32"/>
      <c r="E132" s="32"/>
      <c r="F132" s="32"/>
      <c r="G132" s="32"/>
      <c r="H132" s="32"/>
    </row>
    <row r="133" spans="1:8" x14ac:dyDescent="0.2">
      <c r="A133" s="32"/>
      <c r="B133" s="47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A139" s="32"/>
      <c r="B139" s="47"/>
      <c r="C139" s="69"/>
      <c r="D139" s="32"/>
      <c r="E139" s="32"/>
      <c r="F139" s="32"/>
      <c r="G139" s="32"/>
      <c r="H139" s="32"/>
    </row>
    <row r="140" spans="1:8" x14ac:dyDescent="0.2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9" workbookViewId="0">
      <selection activeCell="C50" sqref="C50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7" t="s">
        <v>10</v>
      </c>
      <c r="B5" s="434" t="s">
        <v>19</v>
      </c>
      <c r="C5" s="434" t="s">
        <v>20</v>
      </c>
      <c r="D5" s="434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5">
        <v>1</v>
      </c>
      <c r="B6" s="416">
        <v>152595</v>
      </c>
      <c r="C6" s="416">
        <v>150415</v>
      </c>
      <c r="D6" s="310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5">
        <v>2</v>
      </c>
      <c r="B7" s="442">
        <v>151711</v>
      </c>
      <c r="C7" s="416">
        <v>150642</v>
      </c>
      <c r="D7" s="310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5">
        <v>3</v>
      </c>
      <c r="B8" s="442">
        <v>130476</v>
      </c>
      <c r="C8" s="416">
        <v>128588</v>
      </c>
      <c r="D8" s="310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5">
        <v>4</v>
      </c>
      <c r="B9" s="442">
        <v>157869</v>
      </c>
      <c r="C9" s="416">
        <v>157685</v>
      </c>
      <c r="D9" s="310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5">
        <v>5</v>
      </c>
      <c r="B10" s="442">
        <v>153621</v>
      </c>
      <c r="C10" s="416">
        <v>153806</v>
      </c>
      <c r="D10" s="310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5">
        <v>6</v>
      </c>
      <c r="B11" s="442">
        <v>157371</v>
      </c>
      <c r="C11" s="416">
        <v>156381</v>
      </c>
      <c r="D11" s="310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5">
        <v>7</v>
      </c>
      <c r="B12" s="442">
        <v>161938</v>
      </c>
      <c r="C12" s="416">
        <v>164999</v>
      </c>
      <c r="D12" s="310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5">
        <v>8</v>
      </c>
      <c r="B13" s="442">
        <v>162302</v>
      </c>
      <c r="C13" s="416">
        <v>164696</v>
      </c>
      <c r="D13" s="310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5">
        <v>9</v>
      </c>
      <c r="B14" s="416">
        <v>107614</v>
      </c>
      <c r="C14" s="416">
        <v>148440</v>
      </c>
      <c r="D14" s="310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5">
        <v>10</v>
      </c>
      <c r="B15" s="416">
        <v>147290</v>
      </c>
      <c r="C15" s="416">
        <v>144402</v>
      </c>
      <c r="D15" s="310">
        <f t="shared" si="0"/>
        <v>-2888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5">
        <v>11</v>
      </c>
      <c r="B16" s="416">
        <v>154336</v>
      </c>
      <c r="C16" s="416">
        <v>162333</v>
      </c>
      <c r="D16" s="310">
        <f t="shared" si="0"/>
        <v>7997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5">
        <v>12</v>
      </c>
      <c r="B17" s="416">
        <v>158290</v>
      </c>
      <c r="C17" s="416">
        <v>147089</v>
      </c>
      <c r="D17" s="310">
        <f t="shared" si="0"/>
        <v>-11201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5">
        <v>13</v>
      </c>
      <c r="B18" s="416">
        <v>161306</v>
      </c>
      <c r="C18" s="416">
        <v>160161</v>
      </c>
      <c r="D18" s="310">
        <f t="shared" si="0"/>
        <v>-1145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5">
        <v>14</v>
      </c>
      <c r="B19" s="416">
        <v>157262</v>
      </c>
      <c r="C19" s="416">
        <v>155672</v>
      </c>
      <c r="D19" s="310">
        <f t="shared" si="0"/>
        <v>-1590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5">
        <v>15</v>
      </c>
      <c r="B20" s="416">
        <v>156903</v>
      </c>
      <c r="C20" s="416">
        <v>162380</v>
      </c>
      <c r="D20" s="310">
        <f t="shared" si="0"/>
        <v>5477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5">
        <v>16</v>
      </c>
      <c r="B21" s="416">
        <v>152612</v>
      </c>
      <c r="C21" s="416">
        <v>154600</v>
      </c>
      <c r="D21" s="310">
        <f t="shared" si="0"/>
        <v>1988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5">
        <v>17</v>
      </c>
      <c r="B22" s="442">
        <v>156495</v>
      </c>
      <c r="C22" s="416">
        <v>159452</v>
      </c>
      <c r="D22" s="310">
        <f t="shared" si="0"/>
        <v>2957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5">
        <v>18</v>
      </c>
      <c r="B23" s="442">
        <v>150502</v>
      </c>
      <c r="C23" s="416">
        <v>148158</v>
      </c>
      <c r="D23" s="310">
        <f t="shared" si="0"/>
        <v>-2344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5">
        <v>19</v>
      </c>
      <c r="B24" s="442">
        <v>154145</v>
      </c>
      <c r="C24" s="442">
        <v>156105</v>
      </c>
      <c r="D24" s="490">
        <f t="shared" si="0"/>
        <v>1960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5">
        <v>20</v>
      </c>
      <c r="B25" s="442">
        <v>155501</v>
      </c>
      <c r="C25" s="442">
        <v>153285</v>
      </c>
      <c r="D25" s="490">
        <f t="shared" si="0"/>
        <v>-2216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5">
        <v>21</v>
      </c>
      <c r="B26" s="442"/>
      <c r="C26" s="442"/>
      <c r="D26" s="490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5">
        <v>22</v>
      </c>
      <c r="B27" s="442"/>
      <c r="C27" s="442"/>
      <c r="D27" s="490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5">
        <v>23</v>
      </c>
      <c r="B28" s="442"/>
      <c r="C28" s="442"/>
      <c r="D28" s="490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5">
        <v>24</v>
      </c>
      <c r="B29" s="442"/>
      <c r="C29" s="442"/>
      <c r="D29" s="490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5">
        <v>25</v>
      </c>
      <c r="B30" s="442"/>
      <c r="C30" s="442"/>
      <c r="D30" s="490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5">
        <v>26</v>
      </c>
      <c r="B31" s="416"/>
      <c r="C31" s="416"/>
      <c r="D31" s="310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5">
        <v>27</v>
      </c>
      <c r="B32" s="416"/>
      <c r="C32" s="416"/>
      <c r="D32" s="310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5">
        <v>28</v>
      </c>
      <c r="B33" s="416"/>
      <c r="C33" s="416"/>
      <c r="D33" s="310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5">
        <v>29</v>
      </c>
      <c r="B34" s="416"/>
      <c r="C34" s="416"/>
      <c r="D34" s="310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5">
        <v>30</v>
      </c>
      <c r="B35" s="416"/>
      <c r="C35" s="416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5">
        <v>31</v>
      </c>
      <c r="B36" s="416"/>
      <c r="C36" s="416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5"/>
      <c r="B37" s="416">
        <f>SUM(B6:B36)</f>
        <v>3040139</v>
      </c>
      <c r="C37" s="416">
        <f>SUM(C6:C36)</f>
        <v>3079289</v>
      </c>
      <c r="D37" s="416">
        <f>SUM(D6:D36)</f>
        <v>39150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6"/>
      <c r="B38" s="285"/>
      <c r="C38" s="437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37256</v>
      </c>
      <c r="B39" s="285"/>
      <c r="C39" s="440"/>
      <c r="D39" s="497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37276</v>
      </c>
      <c r="B40" s="285"/>
      <c r="C40" s="441"/>
      <c r="D40" s="310">
        <f>+D39+D37</f>
        <v>8940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37256</v>
      </c>
      <c r="B45" s="32"/>
      <c r="C45" s="32"/>
      <c r="D45" s="498">
        <v>272582</v>
      </c>
      <c r="H45">
        <v>12</v>
      </c>
    </row>
    <row r="46" spans="1:16" x14ac:dyDescent="0.2">
      <c r="A46" s="49">
        <f>+A40</f>
        <v>37276</v>
      </c>
      <c r="B46" s="32"/>
      <c r="C46" s="32"/>
      <c r="D46" s="380">
        <f>+D37*'by type_area'!G3</f>
        <v>82606.5</v>
      </c>
      <c r="H46">
        <v>500</v>
      </c>
    </row>
    <row r="47" spans="1:16" x14ac:dyDescent="0.2">
      <c r="A47" s="32"/>
      <c r="B47" s="32"/>
      <c r="C47" s="32"/>
      <c r="D47" s="200">
        <f>+D46+D45</f>
        <v>355188.5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A41" sqref="A4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-6061</v>
      </c>
      <c r="C14" s="24">
        <v>-6000</v>
      </c>
      <c r="D14" s="24">
        <f t="shared" si="0"/>
        <v>61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>
        <v>-34067</v>
      </c>
      <c r="C16" s="24">
        <v>-35000</v>
      </c>
      <c r="D16" s="24">
        <f t="shared" si="0"/>
        <v>-933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-34846</v>
      </c>
      <c r="C17" s="24">
        <v>-35000</v>
      </c>
      <c r="D17" s="24">
        <f t="shared" si="0"/>
        <v>-154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-34680</v>
      </c>
      <c r="C18" s="24">
        <v>-35000</v>
      </c>
      <c r="D18" s="24">
        <f t="shared" si="0"/>
        <v>-320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-20312</v>
      </c>
      <c r="C19" s="24">
        <v>-20000</v>
      </c>
      <c r="D19" s="24">
        <f t="shared" si="0"/>
        <v>312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-29600</v>
      </c>
      <c r="C20" s="24">
        <v>-29500</v>
      </c>
      <c r="D20" s="24">
        <f t="shared" si="0"/>
        <v>100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-31985</v>
      </c>
      <c r="C21" s="24">
        <v>-32131</v>
      </c>
      <c r="D21" s="24">
        <f t="shared" si="0"/>
        <v>-146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-34610</v>
      </c>
      <c r="C22" s="24">
        <v>-34530</v>
      </c>
      <c r="D22" s="24">
        <f t="shared" si="0"/>
        <v>80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-26722</v>
      </c>
      <c r="C23" s="24">
        <v>-20727</v>
      </c>
      <c r="D23" s="24">
        <f t="shared" si="0"/>
        <v>5995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>
        <v>-26189</v>
      </c>
      <c r="C24" s="24">
        <v>-21181</v>
      </c>
      <c r="D24" s="24">
        <f t="shared" si="0"/>
        <v>5008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">
      <c r="A36" s="12"/>
      <c r="B36" s="24">
        <f>SUM(B5:B35)</f>
        <v>-868641</v>
      </c>
      <c r="C36" s="24">
        <f>SUM(C5:C35)</f>
        <v>-856879</v>
      </c>
      <c r="D36" s="24">
        <f t="shared" si="0"/>
        <v>11762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">
      <c r="A37" s="26"/>
      <c r="B37"/>
      <c r="C37" s="14"/>
      <c r="D37" s="329">
        <f>+summary!G5</f>
        <v>2.15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">
      <c r="B38"/>
      <c r="C38"/>
      <c r="D38" s="138">
        <f>+D37*D36</f>
        <v>25288.3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">
      <c r="A39" s="57">
        <v>37256</v>
      </c>
      <c r="B39"/>
      <c r="C39" s="15"/>
      <c r="D39" s="537">
        <v>-33241.410000000003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">
      <c r="A40" s="57">
        <v>37276</v>
      </c>
      <c r="B40"/>
      <c r="C40" s="48"/>
      <c r="D40" s="138">
        <f>+D39+D38</f>
        <v>-7953.1100000000042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">
      <c r="A44" s="32" t="s">
        <v>149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">
      <c r="A45" s="49">
        <f>+A39</f>
        <v>37256</v>
      </c>
      <c r="B45" s="32"/>
      <c r="C45" s="32"/>
      <c r="D45" s="532">
        <v>-18079</v>
      </c>
    </row>
    <row r="46" spans="1:65" x14ac:dyDescent="0.2">
      <c r="A46" s="49">
        <f>+A40</f>
        <v>37276</v>
      </c>
      <c r="B46" s="32"/>
      <c r="C46" s="32"/>
      <c r="D46" s="355">
        <f>+D36</f>
        <v>11762</v>
      </c>
    </row>
    <row r="47" spans="1:65" x14ac:dyDescent="0.2">
      <c r="A47" s="32"/>
      <c r="B47" s="32"/>
      <c r="C47" s="32"/>
      <c r="D47" s="14">
        <f>+D46+D45</f>
        <v>-6317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C18" sqref="C18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632819</v>
      </c>
      <c r="C5" s="90">
        <v>626313</v>
      </c>
      <c r="D5" s="90">
        <f>+C5-B5</f>
        <v>-6506</v>
      </c>
      <c r="E5" s="275"/>
      <c r="F5" s="273"/>
    </row>
    <row r="6" spans="1:13" x14ac:dyDescent="0.2">
      <c r="A6" s="87">
        <v>78311</v>
      </c>
      <c r="B6" s="90">
        <v>241306</v>
      </c>
      <c r="C6" s="90">
        <v>224652</v>
      </c>
      <c r="D6" s="90">
        <f t="shared" ref="D6:D17" si="0">+C6-B6</f>
        <v>-16654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537988</v>
      </c>
      <c r="C7" s="90">
        <v>556708</v>
      </c>
      <c r="D7" s="90">
        <f t="shared" si="0"/>
        <v>18720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624813</v>
      </c>
      <c r="C8" s="90">
        <v>513416</v>
      </c>
      <c r="D8" s="90">
        <f t="shared" si="0"/>
        <v>-111397</v>
      </c>
      <c r="E8" s="461"/>
      <c r="F8" s="273"/>
    </row>
    <row r="9" spans="1:13" x14ac:dyDescent="0.2">
      <c r="A9" s="87">
        <v>500293</v>
      </c>
      <c r="B9" s="90">
        <v>364422</v>
      </c>
      <c r="C9" s="90">
        <v>398401</v>
      </c>
      <c r="D9" s="90">
        <f t="shared" si="0"/>
        <v>33979</v>
      </c>
      <c r="E9" s="275"/>
      <c r="F9" s="273"/>
    </row>
    <row r="10" spans="1:13" x14ac:dyDescent="0.2">
      <c r="A10" s="87">
        <v>500302</v>
      </c>
      <c r="B10" s="90"/>
      <c r="C10" s="90">
        <v>5754</v>
      </c>
      <c r="D10" s="90">
        <f t="shared" si="0"/>
        <v>5754</v>
      </c>
      <c r="E10" s="275"/>
      <c r="F10" s="273"/>
    </row>
    <row r="11" spans="1:13" x14ac:dyDescent="0.2">
      <c r="A11" s="87">
        <v>500303</v>
      </c>
      <c r="B11" s="90"/>
      <c r="C11" s="90">
        <v>201189</v>
      </c>
      <c r="D11" s="90">
        <f t="shared" si="0"/>
        <v>201189</v>
      </c>
      <c r="E11" s="275"/>
      <c r="F11" s="273"/>
    </row>
    <row r="12" spans="1:13" x14ac:dyDescent="0.2">
      <c r="A12" s="91">
        <v>500305</v>
      </c>
      <c r="B12" s="90">
        <v>1027764</v>
      </c>
      <c r="C12" s="90">
        <v>960223</v>
      </c>
      <c r="D12" s="90">
        <f t="shared" si="0"/>
        <v>-67541</v>
      </c>
      <c r="E12" s="276"/>
      <c r="F12" s="273"/>
    </row>
    <row r="13" spans="1:13" x14ac:dyDescent="0.2">
      <c r="A13" s="87">
        <v>500307</v>
      </c>
      <c r="B13" s="90">
        <v>58953</v>
      </c>
      <c r="C13" s="90">
        <v>25536</v>
      </c>
      <c r="D13" s="90">
        <f t="shared" si="0"/>
        <v>-33417</v>
      </c>
      <c r="E13" s="275"/>
      <c r="F13" s="273"/>
    </row>
    <row r="14" spans="1:13" x14ac:dyDescent="0.2">
      <c r="A14" s="87">
        <v>500313</v>
      </c>
      <c r="B14" s="90"/>
      <c r="C14" s="90">
        <v>1212</v>
      </c>
      <c r="D14" s="90">
        <f t="shared" si="0"/>
        <v>1212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151942</v>
      </c>
      <c r="C16" s="90"/>
      <c r="D16" s="90">
        <f t="shared" si="0"/>
        <v>-151942</v>
      </c>
      <c r="E16" s="275"/>
      <c r="F16" s="273"/>
    </row>
    <row r="17" spans="1:6" x14ac:dyDescent="0.2">
      <c r="A17" s="87">
        <v>500657</v>
      </c>
      <c r="B17" s="88">
        <v>111146</v>
      </c>
      <c r="C17" s="88">
        <v>139988</v>
      </c>
      <c r="D17" s="94">
        <f t="shared" si="0"/>
        <v>28842</v>
      </c>
      <c r="E17" s="275"/>
      <c r="F17" s="273"/>
    </row>
    <row r="18" spans="1:6" x14ac:dyDescent="0.2">
      <c r="A18" s="87"/>
      <c r="B18" s="88"/>
      <c r="C18" s="88"/>
      <c r="D18" s="88">
        <f>SUM(D5:D17)</f>
        <v>-97761</v>
      </c>
      <c r="E18" s="275"/>
      <c r="F18" s="273"/>
    </row>
    <row r="19" spans="1:6" x14ac:dyDescent="0.2">
      <c r="A19" s="87" t="s">
        <v>81</v>
      </c>
      <c r="B19" s="88"/>
      <c r="C19" s="88"/>
      <c r="D19" s="95">
        <f>+summary!G5</f>
        <v>2.15</v>
      </c>
      <c r="E19" s="277"/>
      <c r="F19" s="273"/>
    </row>
    <row r="20" spans="1:6" x14ac:dyDescent="0.2">
      <c r="A20" s="87"/>
      <c r="B20" s="88"/>
      <c r="C20" s="88"/>
      <c r="D20" s="96">
        <f>+D19*D18</f>
        <v>-210186.15</v>
      </c>
      <c r="E20" s="207"/>
      <c r="F20" s="274"/>
    </row>
    <row r="21" spans="1:6" x14ac:dyDescent="0.2">
      <c r="A21" s="87"/>
      <c r="B21" s="88"/>
      <c r="C21" s="88"/>
      <c r="D21" s="96"/>
      <c r="E21" s="207"/>
      <c r="F21" s="74"/>
    </row>
    <row r="22" spans="1:6" x14ac:dyDescent="0.2">
      <c r="A22" s="99">
        <v>37256</v>
      </c>
      <c r="B22" s="88"/>
      <c r="C22" s="88"/>
      <c r="D22" s="538">
        <v>40609.26</v>
      </c>
      <c r="E22" s="207"/>
      <c r="F22" s="66"/>
    </row>
    <row r="23" spans="1:6" x14ac:dyDescent="0.2">
      <c r="A23" s="87"/>
      <c r="B23" s="88"/>
      <c r="C23" s="88"/>
      <c r="D23" s="311"/>
      <c r="E23" s="207"/>
      <c r="F23" s="66"/>
    </row>
    <row r="24" spans="1:6" ht="13.5" thickBot="1" x14ac:dyDescent="0.25">
      <c r="A24" s="99">
        <v>37276</v>
      </c>
      <c r="B24" s="88"/>
      <c r="C24" s="88"/>
      <c r="D24" s="321">
        <f>+D22+D20</f>
        <v>-169576.88999999998</v>
      </c>
      <c r="E24" s="207"/>
      <c r="F24" s="66"/>
    </row>
    <row r="25" spans="1:6" ht="13.5" thickTop="1" x14ac:dyDescent="0.2">
      <c r="E25" s="278"/>
    </row>
    <row r="28" spans="1:6" x14ac:dyDescent="0.2">
      <c r="A28" s="32" t="s">
        <v>149</v>
      </c>
      <c r="B28" s="32"/>
      <c r="C28" s="32"/>
      <c r="D28" s="32"/>
      <c r="E28" s="348"/>
    </row>
    <row r="29" spans="1:6" x14ac:dyDescent="0.2">
      <c r="A29" s="49">
        <f>+A22</f>
        <v>37256</v>
      </c>
      <c r="B29" s="32"/>
      <c r="C29" s="32"/>
      <c r="D29" s="532">
        <v>31706</v>
      </c>
    </row>
    <row r="30" spans="1:6" x14ac:dyDescent="0.2">
      <c r="A30" s="49">
        <f>+A24</f>
        <v>37276</v>
      </c>
      <c r="B30" s="32"/>
      <c r="C30" s="32"/>
      <c r="D30" s="355">
        <f>+D18</f>
        <v>-97761</v>
      </c>
    </row>
    <row r="31" spans="1:6" x14ac:dyDescent="0.2">
      <c r="A31" s="32"/>
      <c r="B31" s="32"/>
      <c r="C31" s="32"/>
      <c r="D31" s="14">
        <f>+D30+D29</f>
        <v>-66055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C51" sqref="C51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11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11" t="s">
        <v>39</v>
      </c>
      <c r="I3" s="4" t="s">
        <v>19</v>
      </c>
      <c r="J3" s="4" t="s">
        <v>20</v>
      </c>
      <c r="K3" s="409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11"/>
      <c r="I4" s="14"/>
      <c r="J4" s="14"/>
      <c r="K4" s="14">
        <f t="shared" ref="K4:K9" si="0">+J4-I4</f>
        <v>0</v>
      </c>
      <c r="L4" s="364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1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4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1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4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1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4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1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4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1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4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11"/>
      <c r="I10" s="14"/>
      <c r="J10" s="14"/>
      <c r="K10" s="14"/>
      <c r="L10" s="364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11"/>
      <c r="I11" s="14"/>
      <c r="J11" s="14"/>
      <c r="K11" s="15"/>
      <c r="L11" s="364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11"/>
      <c r="I12" s="24"/>
      <c r="J12" s="24"/>
      <c r="K12" s="110"/>
      <c r="L12" s="413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32379</v>
      </c>
      <c r="E13" s="11">
        <v>34000</v>
      </c>
      <c r="F13" s="25">
        <f t="shared" si="2"/>
        <v>1466</v>
      </c>
      <c r="G13" s="25"/>
      <c r="I13" s="24"/>
      <c r="J13" s="24"/>
      <c r="K13" s="24">
        <f>SUM(K4:K12)</f>
        <v>135930</v>
      </c>
      <c r="L13" s="413"/>
      <c r="M13" s="110">
        <f>SUM(M4:M12)</f>
        <v>489002.35000000003</v>
      </c>
    </row>
    <row r="14" spans="1:14" x14ac:dyDescent="0.2">
      <c r="A14" s="41">
        <v>11</v>
      </c>
      <c r="B14" s="11">
        <v>30694</v>
      </c>
      <c r="C14" s="11">
        <v>32067</v>
      </c>
      <c r="D14" s="11">
        <v>32638</v>
      </c>
      <c r="E14" s="11">
        <v>34000</v>
      </c>
      <c r="F14" s="25">
        <f t="shared" si="2"/>
        <v>2735</v>
      </c>
      <c r="G14" s="25"/>
    </row>
    <row r="15" spans="1:14" x14ac:dyDescent="0.2">
      <c r="A15" s="41">
        <v>12</v>
      </c>
      <c r="B15" s="11">
        <v>31245</v>
      </c>
      <c r="C15" s="11">
        <v>27834</v>
      </c>
      <c r="D15" s="11">
        <v>29946</v>
      </c>
      <c r="E15" s="11">
        <v>31791</v>
      </c>
      <c r="F15" s="25">
        <f t="shared" si="2"/>
        <v>-1566</v>
      </c>
      <c r="G15" s="25"/>
    </row>
    <row r="16" spans="1:14" x14ac:dyDescent="0.2">
      <c r="A16" s="41">
        <v>13</v>
      </c>
      <c r="B16" s="11">
        <v>31719</v>
      </c>
      <c r="C16" s="11">
        <v>32067</v>
      </c>
      <c r="D16" s="11">
        <v>28145</v>
      </c>
      <c r="E16" s="11">
        <v>32000</v>
      </c>
      <c r="F16" s="25">
        <f t="shared" si="2"/>
        <v>4203</v>
      </c>
      <c r="G16" s="25"/>
    </row>
    <row r="17" spans="1:7" x14ac:dyDescent="0.2">
      <c r="A17" s="41">
        <v>14</v>
      </c>
      <c r="B17" s="11">
        <v>28127</v>
      </c>
      <c r="C17" s="11">
        <v>27999</v>
      </c>
      <c r="D17" s="11">
        <v>30808</v>
      </c>
      <c r="E17" s="11">
        <v>28999</v>
      </c>
      <c r="F17" s="25">
        <f t="shared" si="2"/>
        <v>-1937</v>
      </c>
      <c r="G17" s="25"/>
    </row>
    <row r="18" spans="1:7" x14ac:dyDescent="0.2">
      <c r="A18" s="41">
        <v>15</v>
      </c>
      <c r="B18" s="11">
        <v>30588</v>
      </c>
      <c r="C18" s="11">
        <v>32067</v>
      </c>
      <c r="D18" s="11">
        <v>30690</v>
      </c>
      <c r="E18" s="11">
        <v>32000</v>
      </c>
      <c r="F18" s="25">
        <f t="shared" si="2"/>
        <v>2789</v>
      </c>
      <c r="G18" s="25"/>
    </row>
    <row r="19" spans="1:7" x14ac:dyDescent="0.2">
      <c r="A19" s="41">
        <v>16</v>
      </c>
      <c r="B19" s="11">
        <v>30738</v>
      </c>
      <c r="C19" s="11">
        <v>31567</v>
      </c>
      <c r="D19" s="11">
        <v>32451</v>
      </c>
      <c r="E19" s="11">
        <v>31000</v>
      </c>
      <c r="F19" s="25">
        <f t="shared" si="2"/>
        <v>-622</v>
      </c>
      <c r="G19" s="25"/>
    </row>
    <row r="20" spans="1:7" x14ac:dyDescent="0.2">
      <c r="A20" s="41">
        <v>17</v>
      </c>
      <c r="B20" s="11">
        <v>30149</v>
      </c>
      <c r="C20" s="11">
        <v>31567</v>
      </c>
      <c r="D20" s="11">
        <v>33775</v>
      </c>
      <c r="E20" s="11">
        <v>31000</v>
      </c>
      <c r="F20" s="25">
        <f t="shared" si="2"/>
        <v>-1357</v>
      </c>
      <c r="G20" s="25"/>
    </row>
    <row r="21" spans="1:7" x14ac:dyDescent="0.2">
      <c r="A21" s="41">
        <v>18</v>
      </c>
      <c r="B21" s="11">
        <v>31912</v>
      </c>
      <c r="C21" s="11">
        <v>30832</v>
      </c>
      <c r="D21" s="129">
        <v>35106</v>
      </c>
      <c r="E21" s="11">
        <v>30262</v>
      </c>
      <c r="F21" s="25">
        <f t="shared" si="2"/>
        <v>-5924</v>
      </c>
      <c r="G21" s="25"/>
    </row>
    <row r="22" spans="1:7" x14ac:dyDescent="0.2">
      <c r="A22" s="41">
        <v>19</v>
      </c>
      <c r="B22" s="11">
        <v>31669</v>
      </c>
      <c r="C22" s="11">
        <v>31567</v>
      </c>
      <c r="D22" s="11">
        <v>34216</v>
      </c>
      <c r="E22" s="11">
        <v>31000</v>
      </c>
      <c r="F22" s="25">
        <f t="shared" si="2"/>
        <v>-3318</v>
      </c>
      <c r="G22" s="25"/>
    </row>
    <row r="23" spans="1:7" x14ac:dyDescent="0.2">
      <c r="A23" s="41">
        <v>20</v>
      </c>
      <c r="B23" s="11">
        <v>30840</v>
      </c>
      <c r="C23" s="11">
        <v>31566</v>
      </c>
      <c r="D23" s="11">
        <v>34939</v>
      </c>
      <c r="E23" s="11">
        <v>30998</v>
      </c>
      <c r="F23" s="25">
        <f t="shared" si="2"/>
        <v>-3215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639521</v>
      </c>
      <c r="C35" s="11">
        <f>SUM(C4:C34)</f>
        <v>650194</v>
      </c>
      <c r="D35" s="11">
        <f>SUM(D4:D34)</f>
        <v>648361</v>
      </c>
      <c r="E35" s="11">
        <f>SUM(E4:E34)</f>
        <v>632622</v>
      </c>
      <c r="F35" s="11">
        <f>+E35-D35+C35-B35</f>
        <v>-5066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00">
        <f>+summary!G4</f>
        <v>2.14</v>
      </c>
    </row>
    <row r="38" spans="1:7" x14ac:dyDescent="0.2">
      <c r="C38" s="48"/>
      <c r="D38" s="47"/>
      <c r="E38" s="48"/>
      <c r="F38" s="46">
        <f>+F37*F35</f>
        <v>-10841.24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7"/>
      <c r="D40" s="111"/>
      <c r="E40" s="467"/>
      <c r="F40" s="543">
        <v>460426.69</v>
      </c>
      <c r="G40" s="25"/>
    </row>
    <row r="41" spans="1:7" x14ac:dyDescent="0.2">
      <c r="A41" s="57">
        <v>37276</v>
      </c>
      <c r="C41" s="106"/>
      <c r="D41" s="106"/>
      <c r="E41" s="106"/>
      <c r="F41" s="106">
        <f>+F38+F40</f>
        <v>449585.45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44">
        <v>17967</v>
      </c>
      <c r="E46" s="11"/>
      <c r="F46" s="11"/>
      <c r="G46" s="25"/>
    </row>
    <row r="47" spans="1:7" x14ac:dyDescent="0.2">
      <c r="A47" s="49">
        <f>+A41</f>
        <v>37276</v>
      </c>
      <c r="D47" s="355">
        <f>+F35</f>
        <v>-5066</v>
      </c>
      <c r="E47" s="11"/>
      <c r="F47" s="11"/>
      <c r="G47" s="25"/>
    </row>
    <row r="48" spans="1:7" x14ac:dyDescent="0.2">
      <c r="D48" s="14">
        <f>+D47+D46</f>
        <v>12901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6" workbookViewId="0">
      <selection activeCell="C48" sqref="C48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179049</v>
      </c>
      <c r="C6" s="11">
        <v>178823</v>
      </c>
      <c r="D6" s="11"/>
      <c r="E6" s="11">
        <v>-643</v>
      </c>
      <c r="F6" s="11">
        <f t="shared" ref="F6:F35" si="2">+C6+E6-B6-D6</f>
        <v>-869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180242</v>
      </c>
      <c r="C14" s="11">
        <v>185290</v>
      </c>
      <c r="D14" s="11"/>
      <c r="E14" s="11">
        <v>-5992</v>
      </c>
      <c r="F14" s="11">
        <f t="shared" si="2"/>
        <v>-944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156730</v>
      </c>
      <c r="C15" s="11">
        <v>168069</v>
      </c>
      <c r="D15" s="11"/>
      <c r="E15" s="11">
        <v>-2752</v>
      </c>
      <c r="F15" s="11">
        <f t="shared" si="2"/>
        <v>8587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161920</v>
      </c>
      <c r="C16" s="11">
        <v>162390</v>
      </c>
      <c r="D16" s="11"/>
      <c r="E16" s="11">
        <v>-1246</v>
      </c>
      <c r="F16" s="11">
        <f t="shared" si="2"/>
        <v>-776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168860</v>
      </c>
      <c r="C17" s="11">
        <v>168387</v>
      </c>
      <c r="D17" s="11"/>
      <c r="E17" s="11">
        <v>-785</v>
      </c>
      <c r="F17" s="11">
        <f t="shared" si="2"/>
        <v>-1258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176296</v>
      </c>
      <c r="C18" s="11">
        <v>175896</v>
      </c>
      <c r="D18" s="11"/>
      <c r="E18" s="11">
        <v>-227</v>
      </c>
      <c r="F18" s="11">
        <f t="shared" si="2"/>
        <v>-627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178640</v>
      </c>
      <c r="C19" s="11">
        <v>178477</v>
      </c>
      <c r="D19" s="11"/>
      <c r="E19" s="11"/>
      <c r="F19" s="11">
        <f t="shared" si="2"/>
        <v>-163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174560</v>
      </c>
      <c r="C20" s="11">
        <v>173631</v>
      </c>
      <c r="D20" s="11"/>
      <c r="E20" s="11">
        <v>-412</v>
      </c>
      <c r="F20" s="11">
        <f t="shared" si="2"/>
        <v>-1341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168943</v>
      </c>
      <c r="C21" s="11">
        <v>168259</v>
      </c>
      <c r="D21" s="11"/>
      <c r="E21" s="11">
        <v>-181</v>
      </c>
      <c r="F21" s="11">
        <f t="shared" si="2"/>
        <v>-865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165038</v>
      </c>
      <c r="C22" s="11">
        <v>165930</v>
      </c>
      <c r="D22" s="11"/>
      <c r="E22" s="11">
        <v>-329</v>
      </c>
      <c r="F22" s="11">
        <f t="shared" si="2"/>
        <v>563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165527</v>
      </c>
      <c r="C23" s="11">
        <v>164522</v>
      </c>
      <c r="D23" s="11"/>
      <c r="E23" s="11"/>
      <c r="F23" s="11">
        <f t="shared" si="2"/>
        <v>-1005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>
        <v>167474</v>
      </c>
      <c r="C24" s="11">
        <v>167124</v>
      </c>
      <c r="D24" s="11"/>
      <c r="E24" s="11"/>
      <c r="F24" s="11">
        <f t="shared" si="2"/>
        <v>-350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3508645</v>
      </c>
      <c r="C36" s="11">
        <f>SUM(C5:C35)</f>
        <v>3519522</v>
      </c>
      <c r="D36" s="11">
        <f>SUM(D5:D35)</f>
        <v>0</v>
      </c>
      <c r="E36" s="11">
        <f>SUM(E5:E35)</f>
        <v>-15978</v>
      </c>
      <c r="F36" s="11">
        <f>SUM(F5:F35)</f>
        <v>-5101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37256</v>
      </c>
      <c r="F39" s="512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37276</v>
      </c>
      <c r="F41" s="336">
        <f>+F39+F36</f>
        <v>-27490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37256</v>
      </c>
      <c r="C47" s="32"/>
      <c r="D47" s="32"/>
      <c r="E47" s="493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37276</v>
      </c>
      <c r="C48" s="32"/>
      <c r="D48" s="32"/>
      <c r="E48" s="380">
        <f>+F36*'by type_area'!G3</f>
        <v>-10763.109999999999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-518371.11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0" workbookViewId="0">
      <selection activeCell="C51" sqref="C51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">
      <c r="A16" s="10">
        <v>9</v>
      </c>
      <c r="B16" s="11">
        <v>89763</v>
      </c>
      <c r="C16" s="11">
        <v>89032</v>
      </c>
      <c r="D16" s="11">
        <f t="shared" si="0"/>
        <v>-731</v>
      </c>
      <c r="E16" s="10"/>
      <c r="F16" s="11"/>
      <c r="G16" s="11"/>
      <c r="H16" s="11"/>
    </row>
    <row r="17" spans="1:8" x14ac:dyDescent="0.2">
      <c r="A17" s="10">
        <v>10</v>
      </c>
      <c r="B17" s="11">
        <v>93179</v>
      </c>
      <c r="C17" s="11">
        <v>92822</v>
      </c>
      <c r="D17" s="11">
        <f t="shared" si="0"/>
        <v>-357</v>
      </c>
      <c r="E17" s="10"/>
      <c r="F17" s="11"/>
      <c r="G17" s="11"/>
      <c r="H17" s="11"/>
    </row>
    <row r="18" spans="1:8" x14ac:dyDescent="0.2">
      <c r="A18" s="10">
        <v>11</v>
      </c>
      <c r="B18" s="11">
        <v>100949</v>
      </c>
      <c r="C18" s="11">
        <v>100822</v>
      </c>
      <c r="D18" s="11">
        <f t="shared" si="0"/>
        <v>-127</v>
      </c>
      <c r="E18" s="10"/>
      <c r="F18" s="11"/>
      <c r="G18" s="11"/>
      <c r="H18" s="11"/>
    </row>
    <row r="19" spans="1:8" x14ac:dyDescent="0.2">
      <c r="A19" s="10">
        <v>12</v>
      </c>
      <c r="B19" s="11">
        <v>93077</v>
      </c>
      <c r="C19" s="11">
        <v>92822</v>
      </c>
      <c r="D19" s="11">
        <f t="shared" si="0"/>
        <v>-255</v>
      </c>
      <c r="E19" s="10"/>
      <c r="F19" s="11"/>
      <c r="G19" s="11"/>
      <c r="H19" s="11"/>
    </row>
    <row r="20" spans="1:8" x14ac:dyDescent="0.2">
      <c r="A20" s="10">
        <v>13</v>
      </c>
      <c r="B20" s="11">
        <v>93000</v>
      </c>
      <c r="C20" s="11">
        <v>92822</v>
      </c>
      <c r="D20" s="11">
        <f t="shared" si="0"/>
        <v>-178</v>
      </c>
      <c r="E20" s="10"/>
      <c r="F20" s="11"/>
      <c r="G20" s="11"/>
      <c r="H20" s="11"/>
    </row>
    <row r="21" spans="1:8" x14ac:dyDescent="0.2">
      <c r="A21" s="10">
        <v>14</v>
      </c>
      <c r="B21" s="11">
        <v>92998</v>
      </c>
      <c r="C21" s="11">
        <v>92822</v>
      </c>
      <c r="D21" s="11">
        <f t="shared" si="0"/>
        <v>-176</v>
      </c>
      <c r="E21" s="10"/>
      <c r="F21" s="11"/>
      <c r="G21" s="11"/>
      <c r="H21" s="11"/>
    </row>
    <row r="22" spans="1:8" x14ac:dyDescent="0.2">
      <c r="A22" s="10">
        <v>15</v>
      </c>
      <c r="B22" s="11">
        <v>93044</v>
      </c>
      <c r="C22" s="11">
        <v>92822</v>
      </c>
      <c r="D22" s="11">
        <f t="shared" si="0"/>
        <v>-222</v>
      </c>
      <c r="E22" s="10"/>
      <c r="F22" s="11"/>
      <c r="G22" s="11"/>
      <c r="H22" s="11"/>
    </row>
    <row r="23" spans="1:8" x14ac:dyDescent="0.2">
      <c r="A23" s="10">
        <v>16</v>
      </c>
      <c r="B23" s="11">
        <v>85485</v>
      </c>
      <c r="C23" s="11">
        <v>85001</v>
      </c>
      <c r="D23" s="11">
        <f t="shared" si="0"/>
        <v>-484</v>
      </c>
      <c r="E23" s="10"/>
      <c r="F23" s="11"/>
      <c r="G23" s="11"/>
      <c r="H23" s="11"/>
    </row>
    <row r="24" spans="1:8" x14ac:dyDescent="0.2">
      <c r="A24" s="10">
        <v>17</v>
      </c>
      <c r="B24" s="11">
        <v>94982</v>
      </c>
      <c r="C24" s="11">
        <v>93956</v>
      </c>
      <c r="D24" s="11">
        <f t="shared" si="0"/>
        <v>-1026</v>
      </c>
      <c r="E24" s="10"/>
      <c r="F24" s="11"/>
      <c r="G24" s="11"/>
      <c r="H24" s="11"/>
    </row>
    <row r="25" spans="1:8" x14ac:dyDescent="0.2">
      <c r="A25" s="10">
        <v>18</v>
      </c>
      <c r="B25" s="11">
        <v>83049</v>
      </c>
      <c r="C25" s="11">
        <v>82542</v>
      </c>
      <c r="D25" s="11">
        <f t="shared" si="0"/>
        <v>-507</v>
      </c>
      <c r="E25" s="10"/>
      <c r="F25" s="11"/>
      <c r="G25" s="11"/>
      <c r="H25" s="11"/>
    </row>
    <row r="26" spans="1:8" x14ac:dyDescent="0.2">
      <c r="A26" s="10">
        <v>19</v>
      </c>
      <c r="B26" s="11">
        <v>84312</v>
      </c>
      <c r="C26" s="11">
        <v>82822</v>
      </c>
      <c r="D26" s="11">
        <f t="shared" si="0"/>
        <v>-1490</v>
      </c>
      <c r="E26" s="10"/>
      <c r="F26" s="11"/>
      <c r="G26" s="11"/>
      <c r="H26" s="11"/>
    </row>
    <row r="27" spans="1:8" x14ac:dyDescent="0.2">
      <c r="A27" s="10">
        <v>20</v>
      </c>
      <c r="B27" s="11">
        <v>85027</v>
      </c>
      <c r="C27" s="11">
        <v>82822</v>
      </c>
      <c r="D27" s="11">
        <f t="shared" si="0"/>
        <v>-2205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1908825</v>
      </c>
      <c r="C39" s="11">
        <f>SUM(C8:C38)</f>
        <v>1910122</v>
      </c>
      <c r="D39" s="11">
        <f>SUM(D8:D38)</f>
        <v>1297</v>
      </c>
      <c r="E39" s="10"/>
      <c r="F39" s="11"/>
      <c r="G39" s="11"/>
      <c r="H39" s="11"/>
    </row>
    <row r="40" spans="1:8" x14ac:dyDescent="0.2">
      <c r="A40" s="26"/>
      <c r="D40" s="75">
        <f>+summary!G4</f>
        <v>2.14</v>
      </c>
      <c r="E40" s="26"/>
      <c r="H40" s="75"/>
    </row>
    <row r="41" spans="1:8" x14ac:dyDescent="0.2">
      <c r="D41" s="195">
        <f>+D40*D39</f>
        <v>2775.5800000000004</v>
      </c>
      <c r="F41" s="247"/>
      <c r="H41" s="195"/>
    </row>
    <row r="42" spans="1:8" x14ac:dyDescent="0.2">
      <c r="A42" s="57">
        <v>37256</v>
      </c>
      <c r="D42" s="561">
        <v>12821</v>
      </c>
      <c r="E42" s="57"/>
      <c r="H42" s="195"/>
    </row>
    <row r="43" spans="1:8" x14ac:dyDescent="0.2">
      <c r="A43" s="57">
        <v>37276</v>
      </c>
      <c r="D43" s="196">
        <f>+D42+D41</f>
        <v>15596.58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37256</v>
      </c>
      <c r="B48" s="32"/>
      <c r="C48" s="32"/>
      <c r="D48" s="532">
        <v>-49782</v>
      </c>
    </row>
    <row r="49" spans="1:4" x14ac:dyDescent="0.2">
      <c r="A49" s="49">
        <f>+A43</f>
        <v>37276</v>
      </c>
      <c r="B49" s="32"/>
      <c r="C49" s="32"/>
      <c r="D49" s="355">
        <f>+D39</f>
        <v>1297</v>
      </c>
    </row>
    <row r="50" spans="1:4" x14ac:dyDescent="0.2">
      <c r="A50" s="32"/>
      <c r="B50" s="32"/>
      <c r="C50" s="32"/>
      <c r="D50" s="14">
        <f>+D49+D48</f>
        <v>-48485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49" workbookViewId="0">
      <selection activeCell="B56" sqref="B56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37256</v>
      </c>
      <c r="C5" s="554">
        <v>1531269.56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252</v>
      </c>
      <c r="J6" s="15"/>
    </row>
    <row r="7" spans="1:14" x14ac:dyDescent="0.2">
      <c r="A7" s="57">
        <v>37276</v>
      </c>
      <c r="I7" s="3" t="s">
        <v>259</v>
      </c>
      <c r="J7" s="15"/>
    </row>
    <row r="8" spans="1:14" x14ac:dyDescent="0.2">
      <c r="A8" s="248">
        <v>50895</v>
      </c>
      <c r="B8" s="343">
        <f>4600-4355</f>
        <v>245</v>
      </c>
      <c r="J8" s="15"/>
    </row>
    <row r="9" spans="1:14" x14ac:dyDescent="0.2">
      <c r="A9" s="248">
        <v>60874</v>
      </c>
      <c r="B9" s="343">
        <v>2435</v>
      </c>
      <c r="J9" s="15"/>
    </row>
    <row r="10" spans="1:14" x14ac:dyDescent="0.2">
      <c r="A10" s="248">
        <v>78169</v>
      </c>
      <c r="B10" s="343">
        <f>301793-305090</f>
        <v>-3297</v>
      </c>
      <c r="I10" s="87" t="s">
        <v>253</v>
      </c>
      <c r="J10" s="489" t="s">
        <v>27</v>
      </c>
      <c r="K10" s="87" t="s">
        <v>254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9">
        <f>+C40</f>
        <v>842376.79</v>
      </c>
      <c r="K11" s="87" t="s">
        <v>255</v>
      </c>
      <c r="L11" s="87"/>
      <c r="M11" s="87"/>
      <c r="N11" s="87"/>
    </row>
    <row r="12" spans="1:14" ht="20.100000000000001" customHeight="1" x14ac:dyDescent="0.2">
      <c r="A12" s="248">
        <v>500248</v>
      </c>
      <c r="B12" s="345"/>
      <c r="I12" s="87">
        <v>24693</v>
      </c>
      <c r="J12" s="451">
        <v>275313.71999999997</v>
      </c>
      <c r="K12" s="87" t="s">
        <v>256</v>
      </c>
      <c r="L12" s="87"/>
      <c r="M12" s="87"/>
      <c r="N12" s="87"/>
    </row>
    <row r="13" spans="1:14" ht="20.100000000000001" customHeight="1" x14ac:dyDescent="0.2">
      <c r="A13" s="248">
        <v>500251</v>
      </c>
      <c r="B13" s="319">
        <f>8000-10202</f>
        <v>-2202</v>
      </c>
      <c r="I13" s="87">
        <v>21665</v>
      </c>
      <c r="J13" s="451">
        <v>73449.16</v>
      </c>
      <c r="K13" s="87" t="s">
        <v>258</v>
      </c>
      <c r="L13" s="87"/>
      <c r="M13" s="87"/>
      <c r="N13" s="87"/>
    </row>
    <row r="14" spans="1:14" ht="20.100000000000001" customHeight="1" x14ac:dyDescent="0.2">
      <c r="A14" s="248">
        <v>500254</v>
      </c>
      <c r="B14" s="319">
        <f>3600-2200</f>
        <v>1400</v>
      </c>
      <c r="I14" s="87">
        <v>22664</v>
      </c>
      <c r="J14" s="454">
        <v>23612.35</v>
      </c>
      <c r="K14" s="87" t="s">
        <v>260</v>
      </c>
      <c r="L14" s="87"/>
      <c r="M14" s="87"/>
      <c r="N14" s="87"/>
    </row>
    <row r="15" spans="1:14" ht="20.100000000000001" customHeight="1" x14ac:dyDescent="0.2">
      <c r="A15" s="32">
        <v>500255</v>
      </c>
      <c r="B15" s="319">
        <f>800-1901</f>
        <v>-1101</v>
      </c>
      <c r="I15" s="87"/>
      <c r="J15" s="451">
        <f>SUM(J11:J14)</f>
        <v>1214752.02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9">
        <v>-127</v>
      </c>
      <c r="I16" s="87"/>
      <c r="J16" s="451"/>
      <c r="K16" s="87"/>
      <c r="L16" s="87"/>
      <c r="M16" s="87"/>
      <c r="N16" s="87"/>
    </row>
    <row r="17" spans="1:14" x14ac:dyDescent="0.2">
      <c r="A17" s="280">
        <v>500267</v>
      </c>
      <c r="B17" s="344">
        <f>1121335-1120140</f>
        <v>1195</v>
      </c>
      <c r="I17" s="87"/>
      <c r="J17" s="451"/>
      <c r="K17" s="87"/>
      <c r="L17" s="87"/>
      <c r="M17" s="87"/>
      <c r="N17" s="87"/>
    </row>
    <row r="18" spans="1:14" x14ac:dyDescent="0.2">
      <c r="B18" s="14">
        <f>SUM(B8:B17)</f>
        <v>-1452</v>
      </c>
      <c r="I18" s="87"/>
      <c r="J18" s="451"/>
      <c r="K18" s="87"/>
      <c r="L18" s="87"/>
      <c r="M18" s="87"/>
      <c r="N18" s="87"/>
    </row>
    <row r="19" spans="1:14" x14ac:dyDescent="0.2">
      <c r="B19" s="15">
        <f>+summary!G5</f>
        <v>2.15</v>
      </c>
      <c r="C19" s="199">
        <f>+B19*B18</f>
        <v>-3121.7999999999997</v>
      </c>
      <c r="G19" s="32"/>
      <c r="H19" s="385"/>
      <c r="I19" s="330"/>
      <c r="J19" s="451"/>
      <c r="K19" s="87"/>
      <c r="L19" s="87"/>
      <c r="M19" s="87"/>
      <c r="N19" s="87"/>
    </row>
    <row r="20" spans="1:14" x14ac:dyDescent="0.2">
      <c r="C20" s="324">
        <f>+C19+C5</f>
        <v>1528147.76</v>
      </c>
      <c r="E20" s="15"/>
      <c r="G20" s="32"/>
      <c r="H20" s="385"/>
      <c r="I20" s="330"/>
      <c r="J20" s="451"/>
      <c r="K20" s="87"/>
      <c r="L20" s="87"/>
      <c r="M20" s="87"/>
      <c r="N20" s="87"/>
    </row>
    <row r="21" spans="1:14" x14ac:dyDescent="0.2">
      <c r="E21" s="15"/>
      <c r="G21" s="32"/>
      <c r="H21" s="385"/>
      <c r="I21" s="330"/>
      <c r="J21" s="451"/>
      <c r="K21" s="87"/>
      <c r="L21" s="87"/>
      <c r="M21" s="87"/>
      <c r="N21" s="87"/>
    </row>
    <row r="22" spans="1:14" x14ac:dyDescent="0.2">
      <c r="A22" s="32" t="s">
        <v>86</v>
      </c>
      <c r="G22" s="32"/>
      <c r="H22" s="385"/>
      <c r="I22" s="330"/>
      <c r="J22" s="451"/>
      <c r="K22" s="87"/>
      <c r="L22" s="87"/>
      <c r="M22" s="87"/>
      <c r="N22" s="87"/>
    </row>
    <row r="23" spans="1:14" x14ac:dyDescent="0.2">
      <c r="A23" s="2" t="s">
        <v>73</v>
      </c>
      <c r="G23" s="32"/>
      <c r="H23" s="385"/>
      <c r="I23" s="330"/>
      <c r="J23" s="451"/>
      <c r="K23" s="87"/>
      <c r="L23" s="87"/>
      <c r="M23" s="87"/>
      <c r="N23" s="87"/>
    </row>
    <row r="24" spans="1:14" x14ac:dyDescent="0.2">
      <c r="G24" s="32"/>
      <c r="H24" s="385"/>
      <c r="I24" s="330"/>
      <c r="J24" s="451"/>
      <c r="K24" s="87"/>
      <c r="L24" s="87"/>
      <c r="M24" s="87"/>
      <c r="N24" s="87"/>
    </row>
    <row r="25" spans="1:14" x14ac:dyDescent="0.2">
      <c r="G25" s="32"/>
      <c r="H25" s="385"/>
      <c r="I25" s="330"/>
      <c r="J25" s="451"/>
      <c r="K25" s="87"/>
      <c r="L25" s="87"/>
      <c r="M25" s="87"/>
      <c r="N25" s="87"/>
    </row>
    <row r="26" spans="1:14" x14ac:dyDescent="0.2">
      <c r="A26" s="198">
        <v>37256</v>
      </c>
      <c r="C26" s="554">
        <v>275313.71999999997</v>
      </c>
      <c r="G26" s="32"/>
      <c r="H26" s="15"/>
      <c r="I26" s="330"/>
      <c r="J26" s="451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51"/>
      <c r="K27" s="87"/>
      <c r="L27" s="87"/>
      <c r="M27" s="87"/>
      <c r="N27" s="87"/>
    </row>
    <row r="28" spans="1:14" x14ac:dyDescent="0.2">
      <c r="A28" s="57">
        <v>37276</v>
      </c>
      <c r="G28" s="32"/>
      <c r="H28" s="15"/>
      <c r="I28" s="87"/>
      <c r="J28" s="451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51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51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51"/>
      <c r="K31" s="87"/>
      <c r="L31" s="87"/>
      <c r="M31" s="87"/>
      <c r="N31" s="87"/>
    </row>
    <row r="32" spans="1:14" x14ac:dyDescent="0.2">
      <c r="B32" s="15">
        <f>+summary!G4</f>
        <v>2.14</v>
      </c>
      <c r="C32" s="199">
        <f>+B32*B31</f>
        <v>0</v>
      </c>
    </row>
    <row r="33" spans="1:9" x14ac:dyDescent="0.2">
      <c r="C33" s="324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7">
        <v>24268</v>
      </c>
      <c r="G37" s="357">
        <v>24693</v>
      </c>
      <c r="H37" s="357">
        <v>24361</v>
      </c>
    </row>
    <row r="38" spans="1:9" x14ac:dyDescent="0.2">
      <c r="A38" s="32" t="s">
        <v>74</v>
      </c>
      <c r="E38" s="49">
        <f>+A5</f>
        <v>37256</v>
      </c>
      <c r="F38" s="532">
        <v>378562</v>
      </c>
      <c r="G38" s="546">
        <v>117857</v>
      </c>
      <c r="H38" s="532">
        <v>186976</v>
      </c>
      <c r="I38" s="14"/>
    </row>
    <row r="39" spans="1:9" x14ac:dyDescent="0.2">
      <c r="E39" s="49">
        <f>+A7</f>
        <v>37276</v>
      </c>
      <c r="F39" s="355">
        <f>+B18</f>
        <v>-1452</v>
      </c>
      <c r="G39" s="355">
        <f>+B31</f>
        <v>0</v>
      </c>
      <c r="H39" s="355">
        <f>+B46</f>
        <v>3450</v>
      </c>
      <c r="I39" s="14"/>
    </row>
    <row r="40" spans="1:9" x14ac:dyDescent="0.2">
      <c r="A40" s="49">
        <v>37256</v>
      </c>
      <c r="C40" s="554">
        <v>842376.79</v>
      </c>
      <c r="F40" s="14">
        <f>+F39+F38</f>
        <v>377110</v>
      </c>
      <c r="G40" s="14">
        <f>+G39+G38</f>
        <v>117857</v>
      </c>
      <c r="H40" s="14">
        <f>+H39+H38</f>
        <v>190426</v>
      </c>
      <c r="I40" s="14">
        <f>+H40+G40+F40</f>
        <v>685393</v>
      </c>
    </row>
    <row r="41" spans="1:9" x14ac:dyDescent="0.2">
      <c r="G41" s="32"/>
      <c r="H41" s="15"/>
      <c r="I41" s="32"/>
    </row>
    <row r="42" spans="1:9" x14ac:dyDescent="0.2">
      <c r="A42" s="245">
        <v>37276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1993</v>
      </c>
      <c r="G44" s="32"/>
      <c r="H44" s="386"/>
      <c r="I44" s="14"/>
    </row>
    <row r="45" spans="1:9" x14ac:dyDescent="0.2">
      <c r="A45" s="32">
        <v>500392</v>
      </c>
      <c r="B45" s="250">
        <v>1457</v>
      </c>
      <c r="G45" s="32"/>
      <c r="H45" s="386"/>
      <c r="I45" s="14"/>
    </row>
    <row r="46" spans="1:9" x14ac:dyDescent="0.2">
      <c r="B46" s="14">
        <f>SUM(B43:B45)</f>
        <v>3450</v>
      </c>
      <c r="G46" s="32"/>
      <c r="H46" s="386"/>
      <c r="I46" s="14"/>
    </row>
    <row r="47" spans="1:9" x14ac:dyDescent="0.2">
      <c r="B47" s="199">
        <f>+summary!G5</f>
        <v>2.15</v>
      </c>
      <c r="C47" s="199">
        <f>+B47*B46</f>
        <v>7417.5</v>
      </c>
      <c r="H47" s="386"/>
      <c r="I47" s="14"/>
    </row>
    <row r="48" spans="1:9" x14ac:dyDescent="0.2">
      <c r="C48" s="324">
        <f>+C47+C40</f>
        <v>849794.29</v>
      </c>
      <c r="E48" s="204"/>
      <c r="H48" s="386"/>
      <c r="I48" s="14"/>
    </row>
    <row r="49" spans="1:9" x14ac:dyDescent="0.2">
      <c r="E49" s="213"/>
      <c r="H49" s="386"/>
      <c r="I49" s="14"/>
    </row>
    <row r="50" spans="1:9" x14ac:dyDescent="0.2">
      <c r="E50" s="204"/>
      <c r="H50" s="386"/>
      <c r="I50" s="14"/>
    </row>
    <row r="51" spans="1:9" x14ac:dyDescent="0.2">
      <c r="C51" s="313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55">
        <v>73445.08</v>
      </c>
      <c r="D53" s="32" t="s">
        <v>119</v>
      </c>
      <c r="E53" s="50"/>
      <c r="H53" s="386">
        <v>21665</v>
      </c>
      <c r="I53" s="546">
        <v>36401</v>
      </c>
    </row>
    <row r="54" spans="1:9" x14ac:dyDescent="0.2">
      <c r="A54" s="32">
        <v>22664</v>
      </c>
      <c r="B54" s="15" t="s">
        <v>137</v>
      </c>
      <c r="C54" s="556">
        <v>23612.35</v>
      </c>
      <c r="D54" s="32" t="s">
        <v>120</v>
      </c>
      <c r="H54" s="386">
        <v>22664</v>
      </c>
      <c r="I54" s="557">
        <v>18932</v>
      </c>
    </row>
    <row r="55" spans="1:9" x14ac:dyDescent="0.2">
      <c r="H55" s="387"/>
      <c r="I55" s="16"/>
    </row>
    <row r="56" spans="1:9" x14ac:dyDescent="0.2">
      <c r="C56" s="426"/>
    </row>
    <row r="57" spans="1:9" x14ac:dyDescent="0.2">
      <c r="C57" s="318">
        <f>+C54+C53+C48+C33+C20</f>
        <v>2750313.2</v>
      </c>
      <c r="I57" s="14">
        <f>SUM(I40:I54)</f>
        <v>740726</v>
      </c>
    </row>
    <row r="61" spans="1:9" x14ac:dyDescent="0.2">
      <c r="C61" s="15">
        <f>+DEFS!F49</f>
        <v>-2797825.4800000004</v>
      </c>
    </row>
    <row r="62" spans="1:9" x14ac:dyDescent="0.2">
      <c r="C62" s="15">
        <f>+C61+C57</f>
        <v>-47512.280000000261</v>
      </c>
      <c r="I62" s="31">
        <f>+I57+DEFS!K49</f>
        <v>306353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5" workbookViewId="0">
      <selection activeCell="A41" sqref="A41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5">
        <v>23995</v>
      </c>
      <c r="C1" s="231"/>
      <c r="D1" s="314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24626</v>
      </c>
      <c r="E12" s="11">
        <v>24000</v>
      </c>
      <c r="F12" s="11">
        <f t="shared" si="0"/>
        <v>-626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24629</v>
      </c>
      <c r="E13" s="11">
        <v>24000</v>
      </c>
      <c r="F13" s="11">
        <f t="shared" si="0"/>
        <v>-629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24633</v>
      </c>
      <c r="E14" s="11">
        <v>24000</v>
      </c>
      <c r="F14" s="11">
        <f t="shared" si="0"/>
        <v>-633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23308</v>
      </c>
      <c r="E15" s="11">
        <v>24000</v>
      </c>
      <c r="F15" s="11">
        <f t="shared" si="0"/>
        <v>692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24655</v>
      </c>
      <c r="E16" s="11">
        <v>24000</v>
      </c>
      <c r="F16" s="11">
        <f t="shared" si="0"/>
        <v>-655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25210</v>
      </c>
      <c r="E17" s="11">
        <v>24000</v>
      </c>
      <c r="F17" s="11">
        <f t="shared" si="0"/>
        <v>-1210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24932</v>
      </c>
      <c r="E18" s="11">
        <v>24000</v>
      </c>
      <c r="F18" s="11">
        <f t="shared" si="0"/>
        <v>-932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24697</v>
      </c>
      <c r="E19" s="11">
        <v>24000</v>
      </c>
      <c r="F19" s="11">
        <f t="shared" si="0"/>
        <v>-697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24663</v>
      </c>
      <c r="E20" s="11">
        <v>24000</v>
      </c>
      <c r="F20" s="11">
        <f t="shared" si="0"/>
        <v>-663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24599</v>
      </c>
      <c r="E21" s="11">
        <v>24000</v>
      </c>
      <c r="F21" s="11">
        <f t="shared" si="0"/>
        <v>-599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24683</v>
      </c>
      <c r="E22" s="11">
        <v>24000</v>
      </c>
      <c r="F22" s="11">
        <f t="shared" si="0"/>
        <v>-683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24690</v>
      </c>
      <c r="E23" s="11">
        <v>23812</v>
      </c>
      <c r="F23" s="11">
        <f t="shared" si="0"/>
        <v>-878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7">
        <v>23995</v>
      </c>
      <c r="J33" s="357">
        <v>22051</v>
      </c>
      <c r="K33" s="357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32">
        <v>-183022</v>
      </c>
      <c r="J34" s="532">
        <v>-128597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490844</v>
      </c>
      <c r="E35" s="11">
        <f>SUM(E4:E34)</f>
        <v>479812</v>
      </c>
      <c r="F35" s="11">
        <f>SUM(F4:F34)</f>
        <v>-11032</v>
      </c>
      <c r="G35" s="11"/>
      <c r="H35" s="49">
        <f>+A40</f>
        <v>37276</v>
      </c>
      <c r="I35" s="355">
        <f>+C36</f>
        <v>0</v>
      </c>
      <c r="J35" s="355">
        <f>+E36</f>
        <v>-11032</v>
      </c>
      <c r="K35" s="206"/>
      <c r="L35" s="14"/>
    </row>
    <row r="36" spans="1:13" x14ac:dyDescent="0.2">
      <c r="C36" s="25">
        <f>+C35-B35</f>
        <v>0</v>
      </c>
      <c r="E36" s="25">
        <f>+E35-D35</f>
        <v>-11032</v>
      </c>
      <c r="F36" s="25">
        <f>+E36+C36</f>
        <v>-11032</v>
      </c>
      <c r="H36" s="32"/>
      <c r="I36" s="14">
        <f>+I35+I34</f>
        <v>-183022</v>
      </c>
      <c r="J36" s="14">
        <f>+J35+J34</f>
        <v>-139629</v>
      </c>
      <c r="K36" s="14">
        <f>+J36+I36</f>
        <v>-322651</v>
      </c>
      <c r="L36" s="14"/>
    </row>
    <row r="37" spans="1:13" x14ac:dyDescent="0.2">
      <c r="C37" s="316">
        <f>+summary!G5</f>
        <v>2.15</v>
      </c>
      <c r="E37" s="104">
        <f>+C37</f>
        <v>2.15</v>
      </c>
      <c r="F37" s="138">
        <f>+F36*E37</f>
        <v>-23718.799999999999</v>
      </c>
    </row>
    <row r="38" spans="1:13" x14ac:dyDescent="0.2">
      <c r="C38" s="138">
        <f>+C37*C36</f>
        <v>0</v>
      </c>
      <c r="E38" s="136">
        <f>+E37*E36</f>
        <v>-23718.799999999999</v>
      </c>
      <c r="F38" s="138">
        <f>+E38+C38</f>
        <v>-23718.799999999999</v>
      </c>
    </row>
    <row r="39" spans="1:13" x14ac:dyDescent="0.2">
      <c r="A39" s="57">
        <v>37256</v>
      </c>
      <c r="B39" s="2" t="s">
        <v>45</v>
      </c>
      <c r="C39" s="553">
        <v>-1033420.01</v>
      </c>
      <c r="D39" s="323"/>
      <c r="E39" s="542">
        <v>-571850.34</v>
      </c>
      <c r="F39" s="322">
        <f>+E39+C39</f>
        <v>-1605270.35</v>
      </c>
    </row>
    <row r="40" spans="1:13" x14ac:dyDescent="0.2">
      <c r="A40" s="57">
        <v>37276</v>
      </c>
      <c r="B40" s="2" t="s">
        <v>45</v>
      </c>
      <c r="C40" s="317">
        <f>+C39+C38</f>
        <v>-1033420.01</v>
      </c>
      <c r="D40" s="252"/>
      <c r="E40" s="317">
        <f>+E39+E38</f>
        <v>-595569.14</v>
      </c>
      <c r="F40" s="317">
        <f>+E40+C40</f>
        <v>-1628989.15</v>
      </c>
      <c r="H40" s="131"/>
    </row>
    <row r="41" spans="1:13" x14ac:dyDescent="0.2">
      <c r="C41" s="332"/>
      <c r="D41" s="246"/>
      <c r="E41" s="246"/>
      <c r="H41" s="31">
        <f>+C39+E39+F45+F46+F47+F48</f>
        <v>-2774106.6800000006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63">
        <v>0</v>
      </c>
      <c r="G44" s="249" t="s">
        <v>47</v>
      </c>
      <c r="J44" s="12">
        <v>22864</v>
      </c>
      <c r="K44" s="449"/>
    </row>
    <row r="45" spans="1:13" x14ac:dyDescent="0.2">
      <c r="C45" s="246"/>
      <c r="D45" s="246"/>
      <c r="E45" s="12">
        <v>20379</v>
      </c>
      <c r="F45" s="554">
        <v>-51695.87</v>
      </c>
      <c r="G45" s="249" t="s">
        <v>122</v>
      </c>
      <c r="J45" s="12">
        <v>20379</v>
      </c>
      <c r="K45" s="546">
        <v>2979</v>
      </c>
      <c r="M45" s="14"/>
    </row>
    <row r="46" spans="1:13" x14ac:dyDescent="0.2">
      <c r="C46" s="246"/>
      <c r="D46" s="246"/>
      <c r="E46" s="12">
        <v>26357</v>
      </c>
      <c r="F46" s="551">
        <f>44144.84-58339.66</f>
        <v>-14194.820000000007</v>
      </c>
      <c r="G46" s="249" t="s">
        <v>123</v>
      </c>
      <c r="J46" s="12">
        <v>26357</v>
      </c>
      <c r="K46" s="546">
        <f>26521-24566</f>
        <v>1955</v>
      </c>
    </row>
    <row r="47" spans="1:13" x14ac:dyDescent="0.2">
      <c r="C47" s="246"/>
      <c r="D47" s="246"/>
      <c r="E47" s="12">
        <v>21544</v>
      </c>
      <c r="F47" s="554">
        <v>61340.160000000003</v>
      </c>
      <c r="G47" s="249" t="s">
        <v>124</v>
      </c>
      <c r="J47" s="12">
        <v>21544</v>
      </c>
      <c r="K47" s="546">
        <v>36108</v>
      </c>
    </row>
    <row r="48" spans="1:13" x14ac:dyDescent="0.2">
      <c r="C48" s="246"/>
      <c r="D48" s="246"/>
      <c r="E48" s="12">
        <v>24532</v>
      </c>
      <c r="F48" s="552">
        <v>-1164285.8</v>
      </c>
      <c r="G48" s="249" t="s">
        <v>121</v>
      </c>
      <c r="J48" s="12">
        <v>24532</v>
      </c>
      <c r="K48" s="532">
        <v>-152764</v>
      </c>
    </row>
    <row r="49" spans="3:13" x14ac:dyDescent="0.2">
      <c r="C49" s="246"/>
      <c r="D49" s="246"/>
      <c r="F49" s="333">
        <f>SUM(F40:F48)</f>
        <v>-2797825.4800000004</v>
      </c>
      <c r="G49" s="246"/>
      <c r="K49" s="14">
        <f>SUM(K36:K48)</f>
        <v>-434373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2750313.2</v>
      </c>
      <c r="M51" s="14">
        <f>+Duke!I57</f>
        <v>740726</v>
      </c>
    </row>
    <row r="53" spans="3:13" x14ac:dyDescent="0.2">
      <c r="F53" s="104">
        <f>+F51+F49</f>
        <v>-47512.280000000261</v>
      </c>
      <c r="M53" s="16">
        <f>+M51+K49</f>
        <v>306353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8"/>
    </row>
    <row r="63" spans="3:13" x14ac:dyDescent="0.2">
      <c r="F63" s="348"/>
    </row>
    <row r="64" spans="3:13" x14ac:dyDescent="0.2">
      <c r="F64" s="348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-152764</v>
      </c>
      <c r="C69" s="247">
        <f>+F48</f>
        <v>-1164285.8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-183022</v>
      </c>
      <c r="C73" s="247">
        <f>+C40</f>
        <v>-1033420.01</v>
      </c>
    </row>
    <row r="74" spans="1:3" x14ac:dyDescent="0.2">
      <c r="A74">
        <v>22051</v>
      </c>
      <c r="B74" s="31">
        <f>+J36</f>
        <v>-139629</v>
      </c>
      <c r="C74" s="247">
        <f>+E40</f>
        <v>-595569.14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190426</v>
      </c>
      <c r="C77" s="259">
        <f>+Duke!C48</f>
        <v>849794.29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377110</v>
      </c>
      <c r="C79" s="259">
        <f>+Duke!C20</f>
        <v>1528147.76</v>
      </c>
    </row>
    <row r="81" spans="2:3" x14ac:dyDescent="0.2">
      <c r="B81" s="31">
        <f>SUM(B68:B80)</f>
        <v>306353</v>
      </c>
      <c r="C81" s="259">
        <f>SUM(C68:C80)</f>
        <v>-47512.280000000261</v>
      </c>
    </row>
    <row r="82" spans="2:3" x14ac:dyDescent="0.2">
      <c r="C82">
        <f>+C81/B81</f>
        <v>-0.15508997790131077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0" workbookViewId="0">
      <selection activeCell="A44" sqref="A44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70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71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5471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-203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5369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142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5302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167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6148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-365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5873</v>
      </c>
      <c r="C16" s="11">
        <v>5741</v>
      </c>
      <c r="D16" s="11">
        <v>803</v>
      </c>
      <c r="E16" s="11">
        <v>1125</v>
      </c>
      <c r="F16" s="129">
        <v>979</v>
      </c>
      <c r="G16" s="11">
        <v>872</v>
      </c>
      <c r="H16" s="11">
        <v>1695</v>
      </c>
      <c r="I16" s="11">
        <v>1123</v>
      </c>
      <c r="J16" s="25">
        <f t="shared" si="0"/>
        <v>-489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5548</v>
      </c>
      <c r="C17" s="11">
        <v>5741</v>
      </c>
      <c r="D17" s="11">
        <v>1069</v>
      </c>
      <c r="E17" s="11">
        <v>1124</v>
      </c>
      <c r="F17" s="129">
        <v>985</v>
      </c>
      <c r="G17" s="11">
        <v>872</v>
      </c>
      <c r="H17" s="11">
        <v>1531</v>
      </c>
      <c r="I17" s="11">
        <v>1123</v>
      </c>
      <c r="J17" s="25">
        <f t="shared" si="0"/>
        <v>-273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5525</v>
      </c>
      <c r="C18" s="11">
        <v>5741</v>
      </c>
      <c r="D18" s="11">
        <v>1322</v>
      </c>
      <c r="E18" s="11">
        <v>125</v>
      </c>
      <c r="F18" s="129">
        <v>994</v>
      </c>
      <c r="G18" s="11">
        <v>872</v>
      </c>
      <c r="H18" s="11">
        <v>1481</v>
      </c>
      <c r="I18" s="11">
        <v>1123</v>
      </c>
      <c r="J18" s="25">
        <f t="shared" si="0"/>
        <v>-1461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5676</v>
      </c>
      <c r="C19" s="11">
        <v>5741</v>
      </c>
      <c r="D19" s="11">
        <v>1071</v>
      </c>
      <c r="E19" s="11">
        <v>125</v>
      </c>
      <c r="F19" s="129">
        <v>969</v>
      </c>
      <c r="G19" s="11">
        <v>872</v>
      </c>
      <c r="H19" s="11">
        <v>1439</v>
      </c>
      <c r="I19" s="11">
        <v>1123</v>
      </c>
      <c r="J19" s="25">
        <f t="shared" si="0"/>
        <v>-1294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5786</v>
      </c>
      <c r="C20" s="11">
        <v>5741</v>
      </c>
      <c r="D20" s="11">
        <v>746</v>
      </c>
      <c r="E20" s="11">
        <v>125</v>
      </c>
      <c r="F20" s="129">
        <v>983</v>
      </c>
      <c r="G20" s="11">
        <v>872</v>
      </c>
      <c r="H20" s="11">
        <v>1427</v>
      </c>
      <c r="I20" s="11">
        <v>1123</v>
      </c>
      <c r="J20" s="25">
        <f t="shared" si="0"/>
        <v>-1081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6107</v>
      </c>
      <c r="C21" s="11">
        <v>5741</v>
      </c>
      <c r="D21" s="11">
        <v>962</v>
      </c>
      <c r="E21" s="11">
        <v>125</v>
      </c>
      <c r="F21" s="129">
        <v>617</v>
      </c>
      <c r="G21" s="11">
        <v>872</v>
      </c>
      <c r="H21" s="11">
        <v>1418</v>
      </c>
      <c r="I21" s="11">
        <v>1123</v>
      </c>
      <c r="J21" s="25">
        <f t="shared" si="0"/>
        <v>-1243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6068</v>
      </c>
      <c r="C22" s="11">
        <v>5741</v>
      </c>
      <c r="D22" s="11">
        <v>777</v>
      </c>
      <c r="E22" s="11">
        <v>125</v>
      </c>
      <c r="F22" s="129">
        <v>811</v>
      </c>
      <c r="G22" s="11">
        <v>872</v>
      </c>
      <c r="H22" s="11">
        <v>1663</v>
      </c>
      <c r="I22" s="11">
        <v>1123</v>
      </c>
      <c r="J22" s="25">
        <f t="shared" si="0"/>
        <v>-1458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6099</v>
      </c>
      <c r="C23" s="11">
        <v>5741</v>
      </c>
      <c r="D23" s="11">
        <v>484</v>
      </c>
      <c r="E23" s="11">
        <v>95</v>
      </c>
      <c r="F23" s="129">
        <v>1066</v>
      </c>
      <c r="G23" s="11">
        <v>662</v>
      </c>
      <c r="H23" s="11">
        <v>1472</v>
      </c>
      <c r="I23" s="11">
        <v>1123</v>
      </c>
      <c r="J23" s="25">
        <f t="shared" si="0"/>
        <v>-1500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5842</v>
      </c>
      <c r="C24" s="11">
        <v>4241</v>
      </c>
      <c r="D24" s="11">
        <v>584</v>
      </c>
      <c r="E24" s="11">
        <v>125</v>
      </c>
      <c r="F24" s="129">
        <v>1015</v>
      </c>
      <c r="G24" s="11">
        <v>872</v>
      </c>
      <c r="H24" s="11">
        <v>1444</v>
      </c>
      <c r="I24" s="11">
        <v>1123</v>
      </c>
      <c r="J24" s="25">
        <f t="shared" si="0"/>
        <v>-2524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5631</v>
      </c>
      <c r="C25" s="11">
        <v>4241</v>
      </c>
      <c r="D25" s="11">
        <v>401</v>
      </c>
      <c r="E25" s="11">
        <v>125</v>
      </c>
      <c r="F25" s="129">
        <v>1000</v>
      </c>
      <c r="G25" s="11">
        <v>872</v>
      </c>
      <c r="H25" s="11">
        <v>1409</v>
      </c>
      <c r="I25" s="11">
        <v>1123</v>
      </c>
      <c r="J25" s="25">
        <f t="shared" si="0"/>
        <v>-2080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5880</v>
      </c>
      <c r="C26" s="11">
        <v>4241</v>
      </c>
      <c r="D26" s="11">
        <v>494</v>
      </c>
      <c r="E26" s="11">
        <v>125</v>
      </c>
      <c r="F26" s="129">
        <v>985</v>
      </c>
      <c r="G26" s="11">
        <v>872</v>
      </c>
      <c r="H26" s="11">
        <v>1397</v>
      </c>
      <c r="I26" s="11">
        <v>1123</v>
      </c>
      <c r="J26" s="25">
        <f t="shared" si="0"/>
        <v>-2395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5148</v>
      </c>
      <c r="C27" s="11">
        <v>4241</v>
      </c>
      <c r="D27" s="11">
        <v>540</v>
      </c>
      <c r="E27" s="11">
        <v>125</v>
      </c>
      <c r="F27" s="129">
        <v>986</v>
      </c>
      <c r="G27" s="11">
        <v>872</v>
      </c>
      <c r="H27" s="11">
        <v>1373</v>
      </c>
      <c r="I27" s="11">
        <v>1123</v>
      </c>
      <c r="J27" s="25">
        <f t="shared" si="0"/>
        <v>-1686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111929</v>
      </c>
      <c r="C39" s="11">
        <f t="shared" si="1"/>
        <v>108820</v>
      </c>
      <c r="D39" s="11">
        <f t="shared" si="1"/>
        <v>13307</v>
      </c>
      <c r="E39" s="11">
        <f t="shared" si="1"/>
        <v>12469</v>
      </c>
      <c r="F39" s="129">
        <f t="shared" si="1"/>
        <v>19093</v>
      </c>
      <c r="G39" s="11">
        <f t="shared" si="1"/>
        <v>17230</v>
      </c>
      <c r="H39" s="11">
        <f t="shared" si="1"/>
        <v>29617</v>
      </c>
      <c r="I39" s="11">
        <f t="shared" si="1"/>
        <v>22460</v>
      </c>
      <c r="J39" s="25">
        <f t="shared" si="1"/>
        <v>-12967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2.14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-27749.38</v>
      </c>
      <c r="L41"/>
      <c r="R41" s="138"/>
      <c r="X41" s="138"/>
    </row>
    <row r="42" spans="1:24" x14ac:dyDescent="0.2">
      <c r="A42" s="57">
        <v>37256</v>
      </c>
      <c r="C42" s="15"/>
      <c r="J42" s="537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37276</v>
      </c>
      <c r="C43" s="48"/>
      <c r="J43" s="138">
        <f>+J42+J41</f>
        <v>379150.54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37256</v>
      </c>
      <c r="B47" s="32"/>
      <c r="C47" s="32"/>
      <c r="D47" s="532">
        <v>166968</v>
      </c>
      <c r="L47"/>
    </row>
    <row r="48" spans="1:24" x14ac:dyDescent="0.2">
      <c r="A48" s="49">
        <f>+A43</f>
        <v>37276</v>
      </c>
      <c r="B48" s="32"/>
      <c r="C48" s="32"/>
      <c r="D48" s="355">
        <f>+J39</f>
        <v>-12967</v>
      </c>
      <c r="L48"/>
    </row>
    <row r="49" spans="1:12" x14ac:dyDescent="0.2">
      <c r="A49" s="32"/>
      <c r="B49" s="32"/>
      <c r="C49" s="32"/>
      <c r="D49" s="14">
        <f>+D48+D47</f>
        <v>154001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5" workbookViewId="0">
      <selection activeCell="C25" sqref="C25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7" t="s">
        <v>10</v>
      </c>
      <c r="B7" s="434" t="s">
        <v>19</v>
      </c>
      <c r="C7" s="434" t="s">
        <v>20</v>
      </c>
      <c r="D7" s="434" t="s">
        <v>19</v>
      </c>
      <c r="E7" s="434" t="s">
        <v>20</v>
      </c>
      <c r="F7" s="434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5">
        <v>1</v>
      </c>
      <c r="B8" s="416">
        <v>13305</v>
      </c>
      <c r="C8" s="416">
        <v>1998</v>
      </c>
      <c r="D8" s="416">
        <v>-4206</v>
      </c>
      <c r="E8" s="416"/>
      <c r="F8" s="310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5">
        <v>2</v>
      </c>
      <c r="B9" s="416">
        <v>1426</v>
      </c>
      <c r="C9" s="416">
        <v>1998</v>
      </c>
      <c r="D9" s="416">
        <v>-1924</v>
      </c>
      <c r="E9" s="416"/>
      <c r="F9" s="310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5">
        <v>3</v>
      </c>
      <c r="B10" s="416">
        <v>2</v>
      </c>
      <c r="C10" s="416">
        <v>1333</v>
      </c>
      <c r="D10" s="416"/>
      <c r="E10" s="416"/>
      <c r="F10" s="310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5">
        <v>4</v>
      </c>
      <c r="B11" s="416">
        <v>585</v>
      </c>
      <c r="C11" s="416"/>
      <c r="D11" s="416">
        <v>-861</v>
      </c>
      <c r="E11" s="416"/>
      <c r="F11" s="310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5">
        <v>5</v>
      </c>
      <c r="B12" s="416"/>
      <c r="C12" s="416"/>
      <c r="D12" s="416"/>
      <c r="E12" s="416"/>
      <c r="F12" s="310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5">
        <v>6</v>
      </c>
      <c r="B13" s="416"/>
      <c r="C13" s="416"/>
      <c r="D13" s="416"/>
      <c r="E13" s="416"/>
      <c r="F13" s="310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5">
        <v>7</v>
      </c>
      <c r="B14" s="416"/>
      <c r="C14" s="416"/>
      <c r="D14" s="416"/>
      <c r="E14" s="416"/>
      <c r="F14" s="310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5">
        <v>8</v>
      </c>
      <c r="B15" s="416">
        <v>801</v>
      </c>
      <c r="C15" s="416"/>
      <c r="D15" s="416"/>
      <c r="E15" s="416"/>
      <c r="F15" s="310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5">
        <v>9</v>
      </c>
      <c r="B16" s="416"/>
      <c r="C16" s="416"/>
      <c r="D16" s="416"/>
      <c r="E16" s="416"/>
      <c r="F16" s="310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5">
        <v>10</v>
      </c>
      <c r="B17" s="416"/>
      <c r="C17" s="416"/>
      <c r="D17" s="416"/>
      <c r="E17" s="416"/>
      <c r="F17" s="310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5">
        <v>11</v>
      </c>
      <c r="B18" s="416"/>
      <c r="C18" s="416"/>
      <c r="D18" s="416"/>
      <c r="E18" s="416"/>
      <c r="F18" s="310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5">
        <v>12</v>
      </c>
      <c r="B19" s="416"/>
      <c r="C19" s="416"/>
      <c r="D19" s="416"/>
      <c r="E19" s="416"/>
      <c r="F19" s="310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5">
        <v>13</v>
      </c>
      <c r="B20" s="416"/>
      <c r="C20" s="416"/>
      <c r="D20" s="416"/>
      <c r="E20" s="416"/>
      <c r="F20" s="310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5">
        <v>14</v>
      </c>
      <c r="B21" s="416"/>
      <c r="C21" s="416"/>
      <c r="D21" s="416"/>
      <c r="E21" s="416"/>
      <c r="F21" s="310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5">
        <v>15</v>
      </c>
      <c r="B22" s="416"/>
      <c r="C22" s="416"/>
      <c r="D22" s="416"/>
      <c r="E22" s="416"/>
      <c r="F22" s="310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5">
        <v>16</v>
      </c>
      <c r="B23" s="416"/>
      <c r="C23" s="416"/>
      <c r="D23" s="416"/>
      <c r="E23" s="416"/>
      <c r="F23" s="310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5">
        <v>17</v>
      </c>
      <c r="B24" s="416"/>
      <c r="C24" s="416"/>
      <c r="D24" s="416"/>
      <c r="E24" s="416"/>
      <c r="F24" s="310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5">
        <v>18</v>
      </c>
      <c r="B25" s="416">
        <v>1092</v>
      </c>
      <c r="C25" s="416"/>
      <c r="D25" s="416"/>
      <c r="E25" s="416"/>
      <c r="F25" s="310">
        <f t="shared" si="0"/>
        <v>-1092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5">
        <v>19</v>
      </c>
      <c r="B26" s="416"/>
      <c r="C26" s="416"/>
      <c r="D26" s="416"/>
      <c r="E26" s="416"/>
      <c r="F26" s="310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5">
        <v>20</v>
      </c>
      <c r="B27" s="442"/>
      <c r="C27" s="416"/>
      <c r="D27" s="416"/>
      <c r="E27" s="416"/>
      <c r="F27" s="310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5">
        <v>21</v>
      </c>
      <c r="B28" s="416"/>
      <c r="C28" s="416"/>
      <c r="D28" s="416"/>
      <c r="E28" s="416"/>
      <c r="F28" s="310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5">
        <v>22</v>
      </c>
      <c r="B29" s="416"/>
      <c r="C29" s="416"/>
      <c r="D29" s="416"/>
      <c r="E29" s="416"/>
      <c r="F29" s="310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5">
        <v>23</v>
      </c>
      <c r="B30" s="416"/>
      <c r="C30" s="416"/>
      <c r="D30" s="416"/>
      <c r="E30" s="416"/>
      <c r="F30" s="310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5">
        <v>24</v>
      </c>
      <c r="B31" s="416"/>
      <c r="C31" s="416"/>
      <c r="D31" s="416"/>
      <c r="E31" s="416"/>
      <c r="F31" s="310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5">
        <v>25</v>
      </c>
      <c r="B32" s="416"/>
      <c r="C32" s="416"/>
      <c r="D32" s="416"/>
      <c r="E32" s="416"/>
      <c r="F32" s="310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5">
        <v>26</v>
      </c>
      <c r="B33" s="416"/>
      <c r="C33" s="416"/>
      <c r="D33" s="416"/>
      <c r="E33" s="416"/>
      <c r="F33" s="310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5">
        <v>27</v>
      </c>
      <c r="B34" s="416"/>
      <c r="C34" s="416"/>
      <c r="D34" s="416"/>
      <c r="E34" s="416"/>
      <c r="F34" s="310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5">
        <v>28</v>
      </c>
      <c r="B35" s="416"/>
      <c r="C35" s="416"/>
      <c r="D35" s="416"/>
      <c r="E35" s="416"/>
      <c r="F35" s="310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5">
        <v>29</v>
      </c>
      <c r="B36" s="416"/>
      <c r="C36" s="416"/>
      <c r="D36" s="416"/>
      <c r="E36" s="416"/>
      <c r="F36" s="310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5">
        <v>30</v>
      </c>
      <c r="B37" s="416"/>
      <c r="C37" s="416"/>
      <c r="D37" s="416"/>
      <c r="E37" s="416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5">
        <v>31</v>
      </c>
      <c r="B38" s="416"/>
      <c r="C38" s="416"/>
      <c r="D38" s="416"/>
      <c r="E38" s="416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5"/>
      <c r="B39" s="416">
        <f>SUM(B8:B38)</f>
        <v>17211</v>
      </c>
      <c r="C39" s="416">
        <f>SUM(C8:C38)</f>
        <v>5329</v>
      </c>
      <c r="D39" s="416">
        <f>SUM(D8:D38)</f>
        <v>-6991</v>
      </c>
      <c r="E39" s="416">
        <f>SUM(E8:E38)</f>
        <v>0</v>
      </c>
      <c r="F39" s="416">
        <f>SUM(F8:F38)</f>
        <v>-4891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6"/>
      <c r="B40" s="285"/>
      <c r="C40" s="437"/>
      <c r="D40" s="437"/>
      <c r="E40" s="437"/>
      <c r="F40" s="438">
        <f>+summary!G4</f>
        <v>2.14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9">
        <f>+F40*F39</f>
        <v>-10466.74</v>
      </c>
      <c r="J41" s="138"/>
      <c r="N41" s="138"/>
      <c r="R41" s="138"/>
      <c r="V41" s="138"/>
      <c r="Z41" s="138"/>
    </row>
    <row r="42" spans="1:26" ht="15" customHeight="1" x14ac:dyDescent="0.2">
      <c r="A42" s="56">
        <v>37256</v>
      </c>
      <c r="B42" s="285"/>
      <c r="C42" s="440"/>
      <c r="D42" s="440"/>
      <c r="E42" s="440"/>
      <c r="F42" s="534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37276</v>
      </c>
      <c r="B43" s="285"/>
      <c r="C43" s="441"/>
      <c r="D43" s="441"/>
      <c r="E43" s="441"/>
      <c r="F43" s="422">
        <f>+F42+F41</f>
        <v>169723.09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37256</v>
      </c>
      <c r="B47" s="32"/>
      <c r="C47" s="32"/>
      <c r="D47" s="532">
        <v>-354919</v>
      </c>
      <c r="E47" s="11"/>
    </row>
    <row r="48" spans="1:26" x14ac:dyDescent="0.2">
      <c r="A48" s="49">
        <f>+A43</f>
        <v>37276</v>
      </c>
      <c r="B48" s="32"/>
      <c r="C48" s="32"/>
      <c r="D48" s="355">
        <f>+F39</f>
        <v>-4891</v>
      </c>
      <c r="E48" s="11"/>
    </row>
    <row r="49" spans="1:5" x14ac:dyDescent="0.2">
      <c r="A49" s="32"/>
      <c r="B49" s="32"/>
      <c r="C49" s="32"/>
      <c r="D49" s="14">
        <f>+D48+D47</f>
        <v>-359810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7"/>
  <sheetViews>
    <sheetView tabSelected="1" topLeftCell="A39" workbookViewId="0">
      <selection activeCell="D17" sqref="D17"/>
    </sheetView>
  </sheetViews>
  <sheetFormatPr defaultRowHeight="12.75" x14ac:dyDescent="0.2"/>
  <cols>
    <col min="1" max="1" width="25.85546875" style="285" customWidth="1"/>
    <col min="2" max="2" width="11.140625" style="247" bestFit="1" customWidth="1"/>
    <col min="3" max="3" width="9.7109375" style="286" customWidth="1"/>
    <col min="4" max="4" width="5.140625" style="7" customWidth="1"/>
    <col min="5" max="5" width="11.140625" bestFit="1" customWidth="1"/>
    <col min="6" max="7" width="12.85546875" bestFit="1" customWidth="1"/>
    <col min="9" max="9" width="9.28515625" bestFit="1" customWidth="1"/>
    <col min="10" max="10" width="11.28515625" bestFit="1" customWidth="1"/>
    <col min="11" max="11" width="8.42578125" customWidth="1"/>
    <col min="12" max="12" width="5.140625" customWidth="1"/>
    <col min="14" max="14" width="9.85546875" style="476" bestFit="1" customWidth="1"/>
    <col min="15" max="15" width="9" style="64" bestFit="1" customWidth="1"/>
  </cols>
  <sheetData>
    <row r="2" spans="1:33" ht="17.100000000000001" customHeight="1" x14ac:dyDescent="0.2">
      <c r="A2" s="34" t="s">
        <v>140</v>
      </c>
      <c r="F2" s="368" t="s">
        <v>78</v>
      </c>
      <c r="G2" s="350"/>
    </row>
    <row r="3" spans="1:33" ht="15" customHeight="1" x14ac:dyDescent="0.2">
      <c r="F3" s="289" t="s">
        <v>29</v>
      </c>
      <c r="G3" s="349">
        <f>+'[3]1001'!$K$39</f>
        <v>2.11</v>
      </c>
      <c r="J3" s="379">
        <f ca="1">NOW()</f>
        <v>37278.591974537034</v>
      </c>
    </row>
    <row r="4" spans="1:33" ht="15" customHeight="1" x14ac:dyDescent="0.2">
      <c r="A4" s="34" t="s">
        <v>145</v>
      </c>
      <c r="C4" s="34" t="s">
        <v>5</v>
      </c>
      <c r="F4" s="290" t="s">
        <v>30</v>
      </c>
      <c r="G4" s="291">
        <f>+'[3]1001'!$M$39</f>
        <v>2.14</v>
      </c>
    </row>
    <row r="5" spans="1:33" ht="15" customHeight="1" x14ac:dyDescent="0.2">
      <c r="B5" s="348"/>
      <c r="F5" s="289" t="s">
        <v>117</v>
      </c>
      <c r="G5" s="349">
        <f>+'[3]1001'!$E$39</f>
        <v>2.15</v>
      </c>
    </row>
    <row r="6" spans="1:33" ht="12" customHeight="1" x14ac:dyDescent="0.2">
      <c r="C6" s="445"/>
    </row>
    <row r="7" spans="1:33" ht="15" customHeight="1" x14ac:dyDescent="0.2">
      <c r="A7" s="338" t="s">
        <v>89</v>
      </c>
      <c r="B7" s="339" t="s">
        <v>16</v>
      </c>
      <c r="C7" s="340" t="s">
        <v>0</v>
      </c>
      <c r="D7" s="5" t="s">
        <v>146</v>
      </c>
      <c r="E7" s="338" t="s">
        <v>90</v>
      </c>
      <c r="F7" s="341" t="s">
        <v>326</v>
      </c>
      <c r="G7" s="341" t="s">
        <v>101</v>
      </c>
      <c r="H7" s="338" t="s">
        <v>98</v>
      </c>
    </row>
    <row r="8" spans="1:33" ht="15" customHeight="1" x14ac:dyDescent="0.2">
      <c r="A8" s="514" t="s">
        <v>250</v>
      </c>
      <c r="B8" s="486">
        <f>+Duke!$C$20</f>
        <v>1528147.76</v>
      </c>
      <c r="C8" s="206">
        <f>+B8/$G$5</f>
        <v>710766.4</v>
      </c>
      <c r="D8" s="369">
        <f>+Duke!A7</f>
        <v>37276</v>
      </c>
      <c r="E8" s="204" t="s">
        <v>85</v>
      </c>
      <c r="F8" s="204" t="s">
        <v>153</v>
      </c>
      <c r="G8" s="204" t="s">
        <v>100</v>
      </c>
      <c r="H8" s="204" t="s">
        <v>312</v>
      </c>
      <c r="I8" s="70"/>
      <c r="J8" s="47"/>
      <c r="K8" s="32"/>
      <c r="L8" s="32"/>
      <c r="M8" s="32"/>
      <c r="N8" s="385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514" t="s">
        <v>257</v>
      </c>
      <c r="B9" s="486">
        <f>+Duke!$C$54+Duke!$C$53+Duke!$C$48+Duke!$C$33</f>
        <v>1222165.44</v>
      </c>
      <c r="C9" s="206">
        <f>+B9/$G$5</f>
        <v>568449.04186046508</v>
      </c>
      <c r="D9" s="369">
        <f>+DEFS!A40</f>
        <v>37276</v>
      </c>
      <c r="E9" s="204" t="s">
        <v>85</v>
      </c>
      <c r="F9" s="204" t="s">
        <v>153</v>
      </c>
      <c r="G9" s="204" t="s">
        <v>100</v>
      </c>
      <c r="H9" s="204" t="s">
        <v>314</v>
      </c>
      <c r="I9" s="32"/>
      <c r="J9" s="47"/>
      <c r="K9" s="32"/>
      <c r="L9" s="32"/>
      <c r="M9" s="32"/>
      <c r="N9" s="385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248" t="s">
        <v>82</v>
      </c>
      <c r="B10" s="486">
        <f>+PNM!$D$23</f>
        <v>805098.34</v>
      </c>
      <c r="C10" s="275">
        <f>+B10/$G$4</f>
        <v>376214.17757009342</v>
      </c>
      <c r="D10" s="370">
        <f>+PNM!A23</f>
        <v>37276</v>
      </c>
      <c r="E10" s="32" t="s">
        <v>85</v>
      </c>
      <c r="F10" s="32" t="s">
        <v>327</v>
      </c>
      <c r="G10" s="32" t="s">
        <v>115</v>
      </c>
      <c r="H10" s="32"/>
      <c r="I10" s="32"/>
      <c r="J10" s="32"/>
      <c r="K10" s="32"/>
      <c r="L10" s="32"/>
      <c r="M10" s="32"/>
      <c r="N10" s="385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248" t="s">
        <v>80</v>
      </c>
      <c r="B11" s="351">
        <f>+Conoco!$F$41</f>
        <v>449585.45</v>
      </c>
      <c r="C11" s="275">
        <f>+B11/$G$4</f>
        <v>210086.65887850468</v>
      </c>
      <c r="D11" s="369">
        <f>+Conoco!A41</f>
        <v>37276</v>
      </c>
      <c r="E11" s="32" t="s">
        <v>85</v>
      </c>
      <c r="F11" s="32" t="s">
        <v>328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5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248" t="s">
        <v>94</v>
      </c>
      <c r="B12" s="486">
        <f>+C12*$G$4</f>
        <v>420071.30000000005</v>
      </c>
      <c r="C12" s="275">
        <f>+Mojave!D40</f>
        <v>196295</v>
      </c>
      <c r="D12" s="370">
        <f>+Mojave!A40</f>
        <v>37276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5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">
      <c r="A13" s="248" t="s">
        <v>2</v>
      </c>
      <c r="B13" s="351">
        <f>+mewborne!$J$43</f>
        <v>379150.54</v>
      </c>
      <c r="C13" s="275">
        <f>+B13/$G$4</f>
        <v>177173.14953271026</v>
      </c>
      <c r="D13" s="370">
        <f>+mewborne!A43</f>
        <v>37276</v>
      </c>
      <c r="E13" s="32" t="s">
        <v>85</v>
      </c>
      <c r="F13" s="32" t="s">
        <v>327</v>
      </c>
      <c r="G13" s="32" t="s">
        <v>99</v>
      </c>
      <c r="H13" s="32"/>
      <c r="I13" s="32"/>
      <c r="J13" s="32"/>
      <c r="K13" s="32"/>
      <c r="L13" s="32"/>
      <c r="M13" s="32"/>
      <c r="N13" s="385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">
      <c r="A14" s="248" t="s">
        <v>88</v>
      </c>
      <c r="B14" s="351">
        <f>+C14*$G$5</f>
        <v>289875.89999999997</v>
      </c>
      <c r="C14" s="275">
        <f>+NGPL!F38</f>
        <v>134826</v>
      </c>
      <c r="D14" s="370">
        <f>+NGPL!A38</f>
        <v>37276</v>
      </c>
      <c r="E14" s="204" t="s">
        <v>84</v>
      </c>
      <c r="F14" s="32" t="s">
        <v>153</v>
      </c>
      <c r="G14" s="32" t="s">
        <v>115</v>
      </c>
      <c r="H14" s="32"/>
      <c r="I14" s="32"/>
      <c r="J14" s="32"/>
      <c r="K14" s="32"/>
      <c r="L14" s="32"/>
      <c r="M14" s="32"/>
      <c r="N14" s="385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248" t="s">
        <v>107</v>
      </c>
      <c r="B15" s="351">
        <f>+KN_Westar!F41</f>
        <v>263480.65000000002</v>
      </c>
      <c r="C15" s="275">
        <f>+B15/$G$4</f>
        <v>123121.79906542056</v>
      </c>
      <c r="D15" s="370">
        <f>+KN_Westar!A41</f>
        <v>37268</v>
      </c>
      <c r="E15" s="32" t="s">
        <v>85</v>
      </c>
      <c r="F15" s="32" t="s">
        <v>154</v>
      </c>
      <c r="G15" s="32" t="s">
        <v>100</v>
      </c>
      <c r="H15" s="32"/>
      <c r="I15" s="32"/>
      <c r="J15" s="32"/>
      <c r="K15" s="32"/>
      <c r="L15" s="32"/>
      <c r="M15" s="32"/>
      <c r="N15" s="385">
        <f>+B8+B9+B41</f>
        <v>-47512.280000000261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248" t="s">
        <v>207</v>
      </c>
      <c r="B16" s="486">
        <f>+Dominion!D41</f>
        <v>176348.83000000002</v>
      </c>
      <c r="C16" s="275">
        <f>+B16/$G$5</f>
        <v>82022.711627906989</v>
      </c>
      <c r="D16" s="370">
        <f>+Dominion!A41</f>
        <v>37276</v>
      </c>
      <c r="E16" s="32" t="s">
        <v>85</v>
      </c>
      <c r="F16" s="32" t="s">
        <v>327</v>
      </c>
      <c r="G16" s="32" t="s">
        <v>99</v>
      </c>
      <c r="H16" s="32"/>
      <c r="I16" s="32"/>
      <c r="J16" s="32"/>
      <c r="K16" s="32"/>
      <c r="L16" s="32"/>
      <c r="M16" s="32"/>
      <c r="N16" s="385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248" t="s">
        <v>3</v>
      </c>
      <c r="B17" s="486">
        <f>+'Amoco Abo'!$F$43</f>
        <v>169723.09</v>
      </c>
      <c r="C17" s="275">
        <f>+B17/$G$4</f>
        <v>79309.855140186904</v>
      </c>
      <c r="D17" s="370">
        <f>+'Amoco Abo'!A43</f>
        <v>37276</v>
      </c>
      <c r="E17" s="32" t="s">
        <v>85</v>
      </c>
      <c r="F17" s="32" t="s">
        <v>153</v>
      </c>
      <c r="G17" s="32" t="s">
        <v>115</v>
      </c>
      <c r="H17" s="32"/>
      <c r="I17" s="32"/>
      <c r="J17" s="32"/>
      <c r="K17" s="32"/>
      <c r="L17" s="32"/>
      <c r="M17" s="32"/>
      <c r="N17" s="385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248" t="s">
        <v>210</v>
      </c>
      <c r="B18" s="486">
        <f>+Devon!D41</f>
        <v>155369.24</v>
      </c>
      <c r="C18" s="275">
        <f>+B18/$G$5</f>
        <v>72264.76279069767</v>
      </c>
      <c r="D18" s="370">
        <f>+Devon!A41</f>
        <v>37276</v>
      </c>
      <c r="E18" s="32" t="s">
        <v>85</v>
      </c>
      <c r="F18" s="32" t="s">
        <v>328</v>
      </c>
      <c r="G18" s="32" t="s">
        <v>99</v>
      </c>
      <c r="H18" s="32"/>
      <c r="I18" s="32"/>
      <c r="J18" s="32"/>
      <c r="K18" s="32"/>
      <c r="L18" s="32"/>
      <c r="M18" s="32"/>
      <c r="N18" s="385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514" t="s">
        <v>32</v>
      </c>
      <c r="B19" s="486">
        <f>+C19*$G$4</f>
        <v>141792.12</v>
      </c>
      <c r="C19" s="206">
        <f>+SoCal!F40</f>
        <v>66258</v>
      </c>
      <c r="D19" s="369">
        <f>+SoCal!A40</f>
        <v>37276</v>
      </c>
      <c r="E19" s="204" t="s">
        <v>84</v>
      </c>
      <c r="F19" s="204" t="s">
        <v>153</v>
      </c>
      <c r="G19" s="204" t="s">
        <v>102</v>
      </c>
      <c r="H19" s="32"/>
      <c r="I19" s="32"/>
      <c r="J19" s="32"/>
      <c r="K19" s="32"/>
      <c r="L19" s="32"/>
      <c r="M19" s="32"/>
      <c r="N19" s="385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514" t="s">
        <v>334</v>
      </c>
      <c r="B20" s="486">
        <f>+Plains!$N$43</f>
        <v>107948.28</v>
      </c>
      <c r="C20" s="206">
        <f>+B20/$G$4</f>
        <v>50443.121495327097</v>
      </c>
      <c r="D20" s="369">
        <f>+Plains!A43</f>
        <v>37256</v>
      </c>
      <c r="E20" s="204" t="s">
        <v>85</v>
      </c>
      <c r="F20" s="204"/>
      <c r="G20" s="204" t="s">
        <v>100</v>
      </c>
      <c r="H20" s="204"/>
      <c r="I20" s="32"/>
      <c r="J20" s="32"/>
      <c r="K20" s="32"/>
      <c r="L20" s="32"/>
      <c r="M20" s="32"/>
      <c r="N20" s="385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248" t="s">
        <v>218</v>
      </c>
      <c r="B21" s="486">
        <f>+Amarillo!P41</f>
        <v>92673.299999999988</v>
      </c>
      <c r="C21" s="275">
        <f>+B21/$G$4</f>
        <v>43305.280373831767</v>
      </c>
      <c r="D21" s="370">
        <f>+Amarillo!A41</f>
        <v>37276</v>
      </c>
      <c r="E21" s="32" t="s">
        <v>85</v>
      </c>
      <c r="F21" s="32" t="s">
        <v>328</v>
      </c>
      <c r="G21" s="32" t="s">
        <v>113</v>
      </c>
      <c r="H21" s="32"/>
      <c r="I21" s="32"/>
      <c r="J21" s="32"/>
      <c r="K21" s="32"/>
      <c r="L21" s="32"/>
      <c r="M21" s="32"/>
      <c r="N21" s="385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514" t="s">
        <v>28</v>
      </c>
      <c r="B22" s="351">
        <f>+C22*$G$3</f>
        <v>75122.33</v>
      </c>
      <c r="C22" s="275">
        <f>+williams!J40</f>
        <v>35603</v>
      </c>
      <c r="D22" s="369">
        <f>+williams!A40</f>
        <v>37276</v>
      </c>
      <c r="E22" s="204" t="s">
        <v>85</v>
      </c>
      <c r="F22" s="204" t="s">
        <v>154</v>
      </c>
      <c r="G22" s="204" t="s">
        <v>317</v>
      </c>
      <c r="H22" s="2"/>
      <c r="I22" s="32"/>
      <c r="J22" s="32"/>
      <c r="K22" s="32"/>
      <c r="L22" s="32"/>
      <c r="M22" s="32" t="s">
        <v>244</v>
      </c>
      <c r="N22" s="385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48" t="s">
        <v>31</v>
      </c>
      <c r="B23" s="351">
        <f>+C23*$G$5</f>
        <v>71493.734999999986</v>
      </c>
      <c r="C23" s="275">
        <f>+Lonestar!F43</f>
        <v>33252.899999999994</v>
      </c>
      <c r="D23" s="369">
        <f>+Lonestar!A43</f>
        <v>37276</v>
      </c>
      <c r="E23" s="32" t="s">
        <v>84</v>
      </c>
      <c r="F23" s="32" t="s">
        <v>328</v>
      </c>
      <c r="G23" s="32" t="s">
        <v>102</v>
      </c>
      <c r="H23" s="32" t="s">
        <v>310</v>
      </c>
      <c r="I23" s="32"/>
      <c r="J23" s="32"/>
      <c r="K23" s="32"/>
      <c r="L23" s="32"/>
      <c r="M23" s="32" t="s">
        <v>244</v>
      </c>
      <c r="N23" s="385">
        <v>22864</v>
      </c>
      <c r="O23" s="70">
        <v>-58339.66</v>
      </c>
      <c r="P23" s="32" t="s">
        <v>248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5" customHeight="1" x14ac:dyDescent="0.2">
      <c r="A24" s="248" t="s">
        <v>129</v>
      </c>
      <c r="B24" s="486">
        <f>+EPFS!D41</f>
        <v>70857.079999999987</v>
      </c>
      <c r="C24" s="206">
        <f>+B24/$G$5</f>
        <v>32956.781395348829</v>
      </c>
      <c r="D24" s="369">
        <f>+EPFS!A41</f>
        <v>37276</v>
      </c>
      <c r="E24" s="32" t="s">
        <v>85</v>
      </c>
      <c r="F24" s="32" t="s">
        <v>154</v>
      </c>
      <c r="G24" s="32" t="s">
        <v>102</v>
      </c>
      <c r="H24" s="32"/>
      <c r="I24" s="15"/>
      <c r="J24" s="32"/>
      <c r="K24" s="32"/>
      <c r="L24" s="32"/>
      <c r="M24" s="32" t="s">
        <v>244</v>
      </c>
      <c r="N24" s="385">
        <v>20379</v>
      </c>
      <c r="O24" s="70">
        <v>-51695.87</v>
      </c>
      <c r="P24" s="32" t="s">
        <v>248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">
      <c r="A25" s="514" t="s">
        <v>109</v>
      </c>
      <c r="B25" s="486">
        <f>+Continental!F43</f>
        <v>60370</v>
      </c>
      <c r="C25" s="206">
        <f>+B25/$G$4</f>
        <v>28210.280373831774</v>
      </c>
      <c r="D25" s="369">
        <f>+Continental!A43</f>
        <v>37276</v>
      </c>
      <c r="E25" s="204" t="s">
        <v>85</v>
      </c>
      <c r="F25" s="204" t="s">
        <v>154</v>
      </c>
      <c r="G25" s="204" t="s">
        <v>115</v>
      </c>
      <c r="H25" s="204"/>
      <c r="I25" s="204"/>
      <c r="J25" s="32"/>
      <c r="K25" s="32"/>
      <c r="L25" s="32"/>
      <c r="M25" s="32" t="s">
        <v>244</v>
      </c>
      <c r="N25" s="385">
        <v>26357</v>
      </c>
      <c r="O25" s="70">
        <v>44144.84</v>
      </c>
      <c r="P25" s="32" t="s">
        <v>248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">
      <c r="A26" s="514" t="s">
        <v>127</v>
      </c>
      <c r="B26" s="486">
        <f>+Calpine!D41</f>
        <v>56977.709999999992</v>
      </c>
      <c r="C26" s="206">
        <f>+B26/$G$4</f>
        <v>26625.098130841117</v>
      </c>
      <c r="D26" s="369">
        <f>+Calpine!A41</f>
        <v>37276</v>
      </c>
      <c r="E26" s="204" t="s">
        <v>85</v>
      </c>
      <c r="F26" s="204" t="s">
        <v>153</v>
      </c>
      <c r="G26" s="204" t="s">
        <v>99</v>
      </c>
      <c r="H26" s="204"/>
      <c r="I26" s="32"/>
      <c r="J26" s="32"/>
      <c r="K26" s="32"/>
      <c r="L26" s="32"/>
      <c r="M26" s="32" t="s">
        <v>244</v>
      </c>
      <c r="N26" s="385">
        <v>21544</v>
      </c>
      <c r="O26" s="70">
        <v>61340.160000000003</v>
      </c>
      <c r="P26" s="32" t="s">
        <v>248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293" customFormat="1" ht="12.95" customHeight="1" x14ac:dyDescent="0.2">
      <c r="A27" s="248" t="s">
        <v>114</v>
      </c>
      <c r="B27" s="486">
        <f>+C27*$G$4</f>
        <v>54957.340000000004</v>
      </c>
      <c r="C27" s="206">
        <f>+'PG&amp;E'!D40</f>
        <v>25681</v>
      </c>
      <c r="D27" s="370">
        <f>+'PG&amp;E'!A40</f>
        <v>37276</v>
      </c>
      <c r="E27" s="32" t="s">
        <v>84</v>
      </c>
      <c r="F27" s="32" t="s">
        <v>154</v>
      </c>
      <c r="G27" s="32" t="s">
        <v>102</v>
      </c>
      <c r="H27" s="32"/>
      <c r="I27" s="32"/>
      <c r="J27" s="204"/>
      <c r="K27" s="204"/>
      <c r="L27" s="204"/>
      <c r="M27" s="32" t="s">
        <v>244</v>
      </c>
      <c r="N27" s="477">
        <v>24532</v>
      </c>
      <c r="O27" s="273">
        <v>-956477</v>
      </c>
      <c r="P27" s="273">
        <f>SUM(O22:O27)</f>
        <v>-1984193.5299999998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293" customFormat="1" ht="13.5" customHeight="1" x14ac:dyDescent="0.2">
      <c r="A28" s="32" t="s">
        <v>103</v>
      </c>
      <c r="B28" s="351">
        <f>+EOG!$J$41</f>
        <v>47545.93</v>
      </c>
      <c r="C28" s="275">
        <f>+B28/$G$4</f>
        <v>22217.724299065419</v>
      </c>
      <c r="D28" s="369">
        <f>+EOG!A41</f>
        <v>37276</v>
      </c>
      <c r="E28" s="32" t="s">
        <v>85</v>
      </c>
      <c r="F28" s="32" t="s">
        <v>327</v>
      </c>
      <c r="G28" s="32" t="s">
        <v>102</v>
      </c>
      <c r="H28" s="32"/>
      <c r="I28" s="204"/>
      <c r="J28" s="204"/>
      <c r="K28" s="204"/>
      <c r="L28" s="204"/>
      <c r="M28" s="204" t="s">
        <v>243</v>
      </c>
      <c r="N28" s="477">
        <v>24268</v>
      </c>
      <c r="O28" s="273">
        <v>1481856.66</v>
      </c>
      <c r="P28" s="273">
        <f>+O28</f>
        <v>1481856.66</v>
      </c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293" customFormat="1" ht="13.5" customHeight="1" x14ac:dyDescent="0.2">
      <c r="A29" s="248" t="s">
        <v>23</v>
      </c>
      <c r="B29" s="351">
        <f>+C29*$G$3</f>
        <v>43115.74</v>
      </c>
      <c r="C29" s="353">
        <f>+'Red C'!$F$45</f>
        <v>20434</v>
      </c>
      <c r="D29" s="369">
        <f>+'Red C'!A45</f>
        <v>37276</v>
      </c>
      <c r="E29" s="204" t="s">
        <v>84</v>
      </c>
      <c r="F29" s="32" t="s">
        <v>153</v>
      </c>
      <c r="G29" s="32" t="s">
        <v>115</v>
      </c>
      <c r="H29" s="32"/>
      <c r="I29" s="204"/>
      <c r="J29" s="204"/>
      <c r="K29" s="204"/>
      <c r="L29" s="204"/>
      <c r="M29" s="204"/>
      <c r="N29" s="477"/>
      <c r="O29" s="273"/>
      <c r="P29" s="27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293" customFormat="1" ht="13.5" customHeight="1" x14ac:dyDescent="0.2">
      <c r="A30" s="32" t="s">
        <v>324</v>
      </c>
      <c r="B30" s="351">
        <f>+Stratland!$D$41</f>
        <v>42582.37</v>
      </c>
      <c r="C30" s="275">
        <f>+B30/$G$4</f>
        <v>19898.303738317758</v>
      </c>
      <c r="D30" s="369">
        <f>+EOG!A47</f>
        <v>37276</v>
      </c>
      <c r="E30" s="32" t="s">
        <v>85</v>
      </c>
      <c r="F30" s="32" t="s">
        <v>327</v>
      </c>
      <c r="G30" s="32" t="s">
        <v>102</v>
      </c>
      <c r="H30" s="32"/>
      <c r="I30" s="204"/>
      <c r="J30" s="204"/>
      <c r="K30" s="204"/>
      <c r="L30" s="204"/>
      <c r="M30" s="204" t="s">
        <v>245</v>
      </c>
      <c r="N30" s="477">
        <v>24361</v>
      </c>
      <c r="O30" s="273">
        <v>811179.69</v>
      </c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s="293" customFormat="1" ht="13.5" customHeight="1" x14ac:dyDescent="0.2">
      <c r="A31" s="248" t="s">
        <v>110</v>
      </c>
      <c r="B31" s="351">
        <f>+C31*$G$4</f>
        <v>37636.18</v>
      </c>
      <c r="C31" s="275">
        <f>+CIG!D42</f>
        <v>17587</v>
      </c>
      <c r="D31" s="370">
        <f>+CIG!A42</f>
        <v>37276</v>
      </c>
      <c r="E31" s="204" t="s">
        <v>84</v>
      </c>
      <c r="F31" s="32" t="s">
        <v>154</v>
      </c>
      <c r="G31" s="32" t="s">
        <v>113</v>
      </c>
      <c r="H31" s="32"/>
      <c r="I31" s="204"/>
      <c r="J31" s="204"/>
      <c r="K31" s="204"/>
      <c r="L31" s="204"/>
      <c r="M31" s="204"/>
      <c r="N31" s="477"/>
      <c r="O31" s="273"/>
      <c r="P31" s="273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248" t="s">
        <v>303</v>
      </c>
      <c r="B32" s="486">
        <f>+'WTG inc'!N43</f>
        <v>36888.69</v>
      </c>
      <c r="C32" s="275">
        <f>+B32/$G$4</f>
        <v>17237.705607476637</v>
      </c>
      <c r="D32" s="370">
        <f>+'WTG inc'!A43</f>
        <v>37276</v>
      </c>
      <c r="E32" s="32" t="s">
        <v>85</v>
      </c>
      <c r="F32" s="32" t="s">
        <v>153</v>
      </c>
      <c r="G32" s="32" t="s">
        <v>115</v>
      </c>
      <c r="H32" s="204"/>
      <c r="I32" s="204"/>
      <c r="J32" s="32"/>
      <c r="K32" s="32"/>
      <c r="L32" s="32"/>
      <c r="M32" s="32" t="s">
        <v>244</v>
      </c>
      <c r="N32" s="385">
        <v>26357</v>
      </c>
      <c r="O32" s="70">
        <v>44144.84</v>
      </c>
      <c r="P32" s="32" t="s">
        <v>248</v>
      </c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5" customHeight="1" x14ac:dyDescent="0.2">
      <c r="A33" s="248" t="s">
        <v>131</v>
      </c>
      <c r="B33" s="351">
        <f>+SidR!D41</f>
        <v>36768.800000000003</v>
      </c>
      <c r="C33" s="275">
        <f>+B33/$G$5</f>
        <v>17101.767441860466</v>
      </c>
      <c r="D33" s="370">
        <f>+SidR!A41</f>
        <v>37276</v>
      </c>
      <c r="E33" s="32" t="s">
        <v>85</v>
      </c>
      <c r="F33" s="32" t="s">
        <v>152</v>
      </c>
      <c r="G33" s="32" t="s">
        <v>102</v>
      </c>
      <c r="H33" s="32"/>
      <c r="I33" s="32"/>
      <c r="J33" s="32"/>
      <c r="K33" s="32"/>
      <c r="L33" s="32"/>
      <c r="M33" s="32"/>
      <c r="N33" s="385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s="293" customFormat="1" ht="13.5" customHeight="1" x14ac:dyDescent="0.2">
      <c r="A34" s="514" t="s">
        <v>87</v>
      </c>
      <c r="B34" s="351">
        <f>+NNG!$D$24</f>
        <v>22738.92</v>
      </c>
      <c r="C34" s="275">
        <f>+B34/$G$4</f>
        <v>10625.663551401867</v>
      </c>
      <c r="D34" s="369">
        <f>+NNG!A24</f>
        <v>37276</v>
      </c>
      <c r="E34" s="204" t="s">
        <v>85</v>
      </c>
      <c r="F34" s="204" t="s">
        <v>327</v>
      </c>
      <c r="G34" s="204" t="s">
        <v>100</v>
      </c>
      <c r="H34" s="204"/>
      <c r="I34" s="204"/>
      <c r="J34" s="204"/>
      <c r="K34" s="204"/>
      <c r="L34" s="204"/>
      <c r="M34" s="32" t="s">
        <v>245</v>
      </c>
      <c r="N34" s="385">
        <v>21665</v>
      </c>
      <c r="O34" s="70">
        <v>73449</v>
      </c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</row>
    <row r="35" spans="1:33" s="293" customFormat="1" ht="12.95" customHeight="1" x14ac:dyDescent="0.2">
      <c r="A35" s="514" t="s">
        <v>33</v>
      </c>
      <c r="B35" s="486">
        <f>+'El Paso'!C39*summary!G4+'El Paso'!E39*summary!G3</f>
        <v>18974.760000000009</v>
      </c>
      <c r="C35" s="275">
        <f>+'El Paso'!H39</f>
        <v>8079</v>
      </c>
      <c r="D35" s="369">
        <f>+'El Paso'!A39</f>
        <v>37276</v>
      </c>
      <c r="E35" s="204" t="s">
        <v>84</v>
      </c>
      <c r="F35" s="204" t="s">
        <v>154</v>
      </c>
      <c r="G35" s="204" t="s">
        <v>100</v>
      </c>
      <c r="H35" s="204"/>
      <c r="I35" s="204"/>
      <c r="J35" s="204"/>
      <c r="K35" s="204"/>
      <c r="L35" s="204"/>
      <c r="M35" s="204"/>
      <c r="N35" s="477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">
      <c r="A36" s="248" t="s">
        <v>315</v>
      </c>
      <c r="B36" s="486">
        <f>+C36*$G$3</f>
        <v>18863.399999999998</v>
      </c>
      <c r="C36" s="275">
        <f>+Amoco!D40</f>
        <v>8940</v>
      </c>
      <c r="D36" s="370">
        <f>+Amoco!A40</f>
        <v>37276</v>
      </c>
      <c r="E36" s="32" t="s">
        <v>84</v>
      </c>
      <c r="F36" s="32" t="s">
        <v>153</v>
      </c>
      <c r="G36" s="32" t="s">
        <v>115</v>
      </c>
      <c r="H36" s="32"/>
      <c r="I36" s="32"/>
      <c r="J36" s="32"/>
      <c r="K36" s="32"/>
      <c r="L36" s="32"/>
      <c r="M36" s="32"/>
      <c r="N36" s="385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s="293" customFormat="1" ht="13.5" customHeight="1" x14ac:dyDescent="0.2">
      <c r="A37" s="514" t="s">
        <v>71</v>
      </c>
      <c r="B37" s="590">
        <f>+transcol!$D$43</f>
        <v>15596.58</v>
      </c>
      <c r="C37" s="283">
        <f>+B37/$G$4</f>
        <v>7288.1214953271019</v>
      </c>
      <c r="D37" s="369">
        <f>+transcol!A43</f>
        <v>37276</v>
      </c>
      <c r="E37" s="204" t="s">
        <v>85</v>
      </c>
      <c r="F37" s="204" t="s">
        <v>153</v>
      </c>
      <c r="G37" s="204" t="s">
        <v>115</v>
      </c>
      <c r="H37" s="32"/>
      <c r="I37" s="204"/>
      <c r="J37" s="204"/>
      <c r="K37" s="204"/>
      <c r="L37" s="204"/>
      <c r="M37" s="204"/>
      <c r="N37" s="477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ht="18" customHeight="1" x14ac:dyDescent="0.2">
      <c r="A38" s="32" t="s">
        <v>96</v>
      </c>
      <c r="B38" s="47">
        <f>SUM(B8:B37)</f>
        <v>6911919.8050000016</v>
      </c>
      <c r="C38" s="69">
        <f>SUM(C8:C37)</f>
        <v>3222274.3043686152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32"/>
      <c r="B39" s="47"/>
      <c r="C39" s="69"/>
      <c r="D39" s="203"/>
      <c r="E39" s="32"/>
      <c r="F39" s="356"/>
      <c r="G39" s="356"/>
      <c r="H39" s="32"/>
      <c r="I39" s="32"/>
      <c r="J39" s="32"/>
      <c r="K39" s="32"/>
      <c r="L39" s="32"/>
      <c r="M39" s="32"/>
      <c r="N39" s="385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338" t="s">
        <v>89</v>
      </c>
      <c r="B40" s="339" t="s">
        <v>16</v>
      </c>
      <c r="C40" s="340" t="s">
        <v>0</v>
      </c>
      <c r="D40" s="347" t="s">
        <v>146</v>
      </c>
      <c r="E40" s="338" t="s">
        <v>90</v>
      </c>
      <c r="F40" s="341" t="s">
        <v>101</v>
      </c>
      <c r="G40" s="341" t="s">
        <v>101</v>
      </c>
      <c r="H40" s="338" t="s">
        <v>98</v>
      </c>
      <c r="I40" s="32"/>
      <c r="J40" s="32"/>
      <c r="K40" s="32"/>
      <c r="L40" s="32"/>
      <c r="M40" s="32"/>
      <c r="N40" s="385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514" t="s">
        <v>249</v>
      </c>
      <c r="B41" s="487">
        <f>+DEFS!$C$40+DEFS!$E$40+DEFS!$F$44+DEFS!$F$45+DEFS!$F$46+DEFS!$F$47+DEFS!$F$48</f>
        <v>-2797825.4800000004</v>
      </c>
      <c r="C41" s="353">
        <f>+B41/$G$5</f>
        <v>-1301314.1767441863</v>
      </c>
      <c r="D41" s="369">
        <f>+DEFS!A40</f>
        <v>37276</v>
      </c>
      <c r="E41" s="204" t="s">
        <v>85</v>
      </c>
      <c r="F41" s="32" t="s">
        <v>153</v>
      </c>
      <c r="G41" s="32" t="s">
        <v>100</v>
      </c>
      <c r="H41" s="32" t="s">
        <v>313</v>
      </c>
      <c r="I41" s="32"/>
      <c r="J41" s="32"/>
      <c r="K41" s="32"/>
      <c r="L41" s="32"/>
      <c r="M41" s="32"/>
      <c r="N41" s="385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514" t="s">
        <v>135</v>
      </c>
      <c r="B42" s="486">
        <f>+Citizens!D18</f>
        <v>-549897.21000000008</v>
      </c>
      <c r="C42" s="206">
        <f>+B42/$G$4</f>
        <v>-256961.31308411216</v>
      </c>
      <c r="D42" s="369">
        <f>+Citizens!A18</f>
        <v>37276</v>
      </c>
      <c r="E42" s="204" t="s">
        <v>85</v>
      </c>
      <c r="F42" s="204" t="s">
        <v>328</v>
      </c>
      <c r="G42" s="204" t="s">
        <v>99</v>
      </c>
      <c r="H42" s="357"/>
      <c r="I42" s="32"/>
      <c r="J42" s="32"/>
      <c r="K42" s="32"/>
      <c r="L42" s="32"/>
      <c r="M42" s="32"/>
      <c r="N42" s="385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248" t="s">
        <v>133</v>
      </c>
      <c r="B43" s="486">
        <f>+'NS Steel'!D41</f>
        <v>-304357.26</v>
      </c>
      <c r="C43" s="206">
        <f>+B43/$G$4</f>
        <v>-142223.01869158878</v>
      </c>
      <c r="D43" s="370">
        <f>+'NS Steel'!A41</f>
        <v>37276</v>
      </c>
      <c r="E43" s="32" t="s">
        <v>85</v>
      </c>
      <c r="F43" s="32" t="s">
        <v>154</v>
      </c>
      <c r="G43" s="32" t="s">
        <v>100</v>
      </c>
      <c r="H43" s="357"/>
      <c r="I43" s="32"/>
      <c r="J43" s="32"/>
      <c r="K43" s="32"/>
      <c r="L43" s="32"/>
      <c r="M43" s="32"/>
      <c r="N43" s="385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514" t="s">
        <v>261</v>
      </c>
      <c r="B44" s="486">
        <f>+MiVida_Rich!D41</f>
        <v>-203736.06</v>
      </c>
      <c r="C44" s="206">
        <f>+B44/$G$5</f>
        <v>-94760.95813953488</v>
      </c>
      <c r="D44" s="369">
        <f>+MiVida_Rich!A41</f>
        <v>37256</v>
      </c>
      <c r="E44" s="204" t="s">
        <v>85</v>
      </c>
      <c r="F44" s="204" t="s">
        <v>152</v>
      </c>
      <c r="G44" s="204" t="s">
        <v>102</v>
      </c>
      <c r="H44" s="357"/>
      <c r="I44" s="32"/>
      <c r="J44" s="32"/>
      <c r="K44" s="32"/>
      <c r="L44" s="32"/>
      <c r="M44" s="32"/>
      <c r="N44" s="385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5" customHeight="1" x14ac:dyDescent="0.2">
      <c r="A45" s="515" t="s">
        <v>79</v>
      </c>
      <c r="B45" s="518">
        <f>+Agave!$D$24</f>
        <v>-169576.88999999998</v>
      </c>
      <c r="C45" s="469">
        <f>+B45/$G$4</f>
        <v>-79241.537383177565</v>
      </c>
      <c r="D45" s="468">
        <f>+Agave!A24</f>
        <v>37276</v>
      </c>
      <c r="E45" s="448" t="s">
        <v>85</v>
      </c>
      <c r="F45" s="448" t="s">
        <v>328</v>
      </c>
      <c r="G45" s="448" t="s">
        <v>102</v>
      </c>
      <c r="H45" s="448"/>
      <c r="I45" s="32"/>
      <c r="J45" s="32"/>
      <c r="K45" s="32"/>
      <c r="L45" s="32"/>
      <c r="M45" s="32"/>
      <c r="N45" s="385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s="246" customFormat="1" ht="13.5" customHeight="1" x14ac:dyDescent="0.2">
      <c r="A46" s="248" t="s">
        <v>216</v>
      </c>
      <c r="B46" s="486">
        <f>+crosstex!F41</f>
        <v>-103636.4</v>
      </c>
      <c r="C46" s="206">
        <f>+B46/$G$4</f>
        <v>-48428.224299065412</v>
      </c>
      <c r="D46" s="370">
        <f>+crosstex!A41</f>
        <v>37276</v>
      </c>
      <c r="E46" s="32" t="s">
        <v>85</v>
      </c>
      <c r="F46" s="32" t="s">
        <v>152</v>
      </c>
      <c r="G46" s="32" t="s">
        <v>100</v>
      </c>
      <c r="H46" s="357"/>
      <c r="I46" s="249"/>
      <c r="J46" s="249"/>
      <c r="K46" s="249"/>
      <c r="L46" s="249"/>
      <c r="M46" s="32"/>
      <c r="N46" s="477"/>
      <c r="O46" s="273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</row>
    <row r="47" spans="1:33" s="293" customFormat="1" ht="13.5" customHeight="1" x14ac:dyDescent="0.2">
      <c r="A47" s="248" t="s">
        <v>1</v>
      </c>
      <c r="B47" s="486">
        <f>+C47*$G$3</f>
        <v>-58003.899999999994</v>
      </c>
      <c r="C47" s="206">
        <f>+NW!$F$41</f>
        <v>-27490</v>
      </c>
      <c r="D47" s="369">
        <f>+NW!B41</f>
        <v>37276</v>
      </c>
      <c r="E47" s="32" t="s">
        <v>84</v>
      </c>
      <c r="F47" s="32" t="s">
        <v>153</v>
      </c>
      <c r="G47" s="32" t="s">
        <v>115</v>
      </c>
      <c r="H47" s="357"/>
      <c r="I47" s="204"/>
      <c r="J47" s="204"/>
      <c r="K47" s="204">
        <f>135710*1.98</f>
        <v>268705.8</v>
      </c>
      <c r="L47" s="204"/>
      <c r="M47" s="204"/>
      <c r="N47" s="477"/>
      <c r="O47" s="273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</row>
    <row r="48" spans="1:33" ht="13.5" customHeight="1" x14ac:dyDescent="0.2">
      <c r="A48" s="514" t="s">
        <v>142</v>
      </c>
      <c r="B48" s="352">
        <f>+C48*$G$4</f>
        <v>-49429.72</v>
      </c>
      <c r="C48" s="353">
        <f>+PEPL!D41</f>
        <v>-23098</v>
      </c>
      <c r="D48" s="369">
        <f>+PEPL!A41</f>
        <v>37276</v>
      </c>
      <c r="E48" s="204" t="s">
        <v>84</v>
      </c>
      <c r="F48" s="204" t="s">
        <v>328</v>
      </c>
      <c r="G48" s="204" t="s">
        <v>100</v>
      </c>
      <c r="H48" s="32"/>
      <c r="I48" s="32"/>
      <c r="J48" s="32"/>
      <c r="K48" s="32"/>
      <c r="L48" s="32"/>
      <c r="M48" s="32"/>
      <c r="N48" s="385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3.5" customHeight="1" x14ac:dyDescent="0.2">
      <c r="A49" s="514" t="s">
        <v>204</v>
      </c>
      <c r="B49" s="487">
        <f>+WTGmktg!J43</f>
        <v>-34371.89</v>
      </c>
      <c r="C49" s="206">
        <f>+B49/$G$4</f>
        <v>-16061.630841121494</v>
      </c>
      <c r="D49" s="369">
        <f>+WTGmktg!A43</f>
        <v>37276</v>
      </c>
      <c r="E49" s="32" t="s">
        <v>85</v>
      </c>
      <c r="F49" s="204" t="s">
        <v>153</v>
      </c>
      <c r="G49" s="204" t="s">
        <v>115</v>
      </c>
      <c r="H49" s="204"/>
      <c r="I49" s="32"/>
      <c r="J49" s="32"/>
      <c r="K49" s="32"/>
      <c r="L49" s="32"/>
      <c r="M49" s="32"/>
      <c r="N49" s="385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s="293" customFormat="1" ht="13.5" customHeight="1" x14ac:dyDescent="0.2">
      <c r="A50" s="248" t="s">
        <v>147</v>
      </c>
      <c r="B50" s="351">
        <f>+PGETX!$H$39</f>
        <v>-31775.279999999999</v>
      </c>
      <c r="C50" s="275">
        <f>+B50/$G$4</f>
        <v>-14848.26168224299</v>
      </c>
      <c r="D50" s="370">
        <f>+PGETX!E39</f>
        <v>37276</v>
      </c>
      <c r="E50" s="32" t="s">
        <v>85</v>
      </c>
      <c r="F50" s="32" t="s">
        <v>154</v>
      </c>
      <c r="G50" s="32" t="s">
        <v>102</v>
      </c>
      <c r="H50" s="32"/>
      <c r="I50" s="204"/>
      <c r="J50" s="204"/>
      <c r="K50" s="204"/>
      <c r="L50" s="204"/>
      <c r="M50" s="204"/>
      <c r="N50" s="477"/>
      <c r="O50" s="273"/>
      <c r="P50" s="273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ht="13.5" customHeight="1" x14ac:dyDescent="0.2">
      <c r="A51" s="248" t="s">
        <v>298</v>
      </c>
      <c r="B51" s="351">
        <f>+SWGasTrans!$D$41</f>
        <v>-24780.730000000003</v>
      </c>
      <c r="C51" s="275">
        <f>+B51/$G$4</f>
        <v>-11579.780373831776</v>
      </c>
      <c r="D51" s="369">
        <f>+SWGasTrans!A41</f>
        <v>37276</v>
      </c>
      <c r="E51" s="32" t="s">
        <v>85</v>
      </c>
      <c r="F51" s="32" t="s">
        <v>153</v>
      </c>
      <c r="G51" s="32" t="s">
        <v>99</v>
      </c>
      <c r="H51" s="32"/>
      <c r="I51" s="32"/>
      <c r="J51" s="32"/>
      <c r="K51" s="32"/>
      <c r="L51" s="32"/>
      <c r="M51" s="32"/>
      <c r="N51" s="385"/>
      <c r="O51" s="70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ht="13.5" customHeight="1" x14ac:dyDescent="0.2">
      <c r="A52" s="514" t="s">
        <v>95</v>
      </c>
      <c r="B52" s="351">
        <f>+burlington!D42</f>
        <v>-12006.229999999996</v>
      </c>
      <c r="C52" s="275">
        <f>+B52/$G$3</f>
        <v>-5690.1563981042636</v>
      </c>
      <c r="D52" s="369">
        <f>+burlington!A42</f>
        <v>37276</v>
      </c>
      <c r="E52" s="204" t="s">
        <v>85</v>
      </c>
      <c r="F52" s="32" t="s">
        <v>154</v>
      </c>
      <c r="G52" s="32" t="s">
        <v>113</v>
      </c>
      <c r="H52" s="32"/>
      <c r="I52" s="32"/>
      <c r="J52" s="32"/>
      <c r="K52" s="32"/>
      <c r="L52" s="32"/>
      <c r="M52" s="32" t="s">
        <v>244</v>
      </c>
      <c r="N52" s="385">
        <v>22051</v>
      </c>
      <c r="O52" s="70">
        <v>-527215</v>
      </c>
      <c r="P52" s="32" t="s">
        <v>247</v>
      </c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s="293" customFormat="1" ht="13.5" customHeight="1" x14ac:dyDescent="0.2">
      <c r="A53" s="248" t="s">
        <v>6</v>
      </c>
      <c r="B53" s="486">
        <f>+Oasis!$D$40</f>
        <v>-7953.1100000000042</v>
      </c>
      <c r="C53" s="206">
        <f>+B53/$G$5</f>
        <v>-3699.1209302325601</v>
      </c>
      <c r="D53" s="370">
        <f>+Oasis!A40</f>
        <v>37276</v>
      </c>
      <c r="E53" s="32" t="s">
        <v>85</v>
      </c>
      <c r="F53" s="32" t="s">
        <v>154</v>
      </c>
      <c r="G53" s="32" t="s">
        <v>102</v>
      </c>
      <c r="H53" s="32"/>
      <c r="I53" s="204"/>
      <c r="J53" s="204"/>
      <c r="K53" s="204"/>
      <c r="L53" s="204"/>
      <c r="M53" s="204"/>
      <c r="N53" s="477"/>
      <c r="O53" s="273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4"/>
      <c r="AF53" s="204"/>
      <c r="AG53" s="204"/>
    </row>
    <row r="54" spans="1:33" s="293" customFormat="1" ht="13.5" customHeight="1" x14ac:dyDescent="0.2">
      <c r="A54" s="514" t="s">
        <v>139</v>
      </c>
      <c r="B54" s="505">
        <f>+'Citizens-Griffith'!D41</f>
        <v>-4525.2799999999988</v>
      </c>
      <c r="C54" s="71">
        <f>+B54/$G$4</f>
        <v>-2114.6168224299058</v>
      </c>
      <c r="D54" s="369">
        <f>+'Citizens-Griffith'!A41</f>
        <v>37276</v>
      </c>
      <c r="E54" s="204" t="s">
        <v>85</v>
      </c>
      <c r="F54" s="204" t="s">
        <v>328</v>
      </c>
      <c r="G54" s="204" t="s">
        <v>99</v>
      </c>
      <c r="H54" s="204"/>
      <c r="I54" s="204"/>
      <c r="J54" s="204"/>
      <c r="K54" s="204"/>
      <c r="L54" s="204"/>
      <c r="M54" s="32"/>
      <c r="N54" s="385"/>
      <c r="O54" s="70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</row>
    <row r="55" spans="1:33" ht="15" customHeight="1" x14ac:dyDescent="0.2">
      <c r="A55" s="32" t="s">
        <v>97</v>
      </c>
      <c r="B55" s="351">
        <f>SUM(B41:B54)</f>
        <v>-4351875.4400000013</v>
      </c>
      <c r="C55" s="206">
        <f>SUM(C41:C54)</f>
        <v>-2027510.7953896283</v>
      </c>
      <c r="D55" s="358"/>
      <c r="E55" s="32"/>
      <c r="F55" s="32"/>
      <c r="G55" s="32"/>
      <c r="H55" s="32"/>
      <c r="I55" s="32"/>
      <c r="J55" s="32"/>
      <c r="K55" s="32"/>
      <c r="L55" s="32"/>
      <c r="M55" s="32"/>
      <c r="N55" s="385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">
      <c r="A56" s="32"/>
      <c r="B56" s="354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5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5" thickBot="1" x14ac:dyDescent="0.25">
      <c r="A57" s="2" t="s">
        <v>91</v>
      </c>
      <c r="B57" s="359">
        <f>+B55+B38</f>
        <v>2560044.3650000002</v>
      </c>
      <c r="C57" s="360">
        <f>+C55+C38</f>
        <v>1194763.5089789869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5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5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2" t="s">
        <v>92</v>
      </c>
      <c r="B59" s="47"/>
      <c r="C59" s="294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5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5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5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5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A63" s="32"/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5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2"/>
      <c r="N64" s="385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B65" s="47"/>
      <c r="C65" s="14"/>
      <c r="D65" s="203"/>
      <c r="E65" s="136"/>
      <c r="F65" s="32"/>
      <c r="G65" s="32"/>
      <c r="H65" s="32"/>
      <c r="I65" s="32"/>
      <c r="J65" s="32"/>
      <c r="K65" s="32"/>
      <c r="L65" s="32"/>
      <c r="M65" s="32"/>
      <c r="N65" s="385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5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5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A68" s="32"/>
      <c r="B68" s="47"/>
      <c r="C68" s="69"/>
      <c r="D68" s="203"/>
      <c r="E68" s="32"/>
      <c r="F68" s="32"/>
      <c r="G68" s="32"/>
      <c r="H68" s="32"/>
      <c r="I68" s="32"/>
      <c r="J68" s="32"/>
      <c r="K68" s="32"/>
      <c r="L68" s="32"/>
      <c r="M68" s="32"/>
      <c r="N68" s="385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85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I70" s="32"/>
      <c r="J70" s="32"/>
      <c r="K70" s="32"/>
      <c r="L70" s="32"/>
      <c r="M70" s="32"/>
      <c r="N70" s="385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I71" s="32"/>
      <c r="J71" s="32"/>
      <c r="K71" s="32"/>
      <c r="L71" s="32"/>
      <c r="M71" s="32"/>
      <c r="N71" s="385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I72" s="32"/>
      <c r="J72" s="32"/>
      <c r="K72" s="32"/>
      <c r="L72" s="32"/>
      <c r="M72" s="32"/>
      <c r="N72" s="385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I73" s="32"/>
      <c r="J73" s="32"/>
      <c r="K73" s="32"/>
      <c r="L73" s="32"/>
      <c r="M73" s="32"/>
      <c r="N73" s="385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I74" s="32"/>
      <c r="J74" s="32"/>
      <c r="K74" s="32"/>
      <c r="L74" s="32"/>
      <c r="M74" s="32"/>
      <c r="N74" s="385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I75" s="32"/>
      <c r="J75" s="32"/>
      <c r="K75" s="32"/>
      <c r="L75" s="32"/>
      <c r="M75" s="32"/>
      <c r="N75" s="385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I76" s="32"/>
      <c r="J76" s="32"/>
      <c r="K76" s="32"/>
      <c r="L76" s="32"/>
      <c r="M76" s="32"/>
      <c r="N76" s="385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I77" s="32"/>
      <c r="J77" s="32"/>
      <c r="K77" s="32"/>
      <c r="L77" s="32"/>
      <c r="M77" s="32"/>
      <c r="N77" s="385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I78" s="32"/>
      <c r="J78" s="32"/>
      <c r="K78" s="32"/>
      <c r="L78" s="32"/>
      <c r="M78" s="32"/>
      <c r="N78" s="385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I79" s="32"/>
      <c r="J79" s="32"/>
      <c r="K79" s="32"/>
      <c r="L79" s="32"/>
      <c r="M79" s="32"/>
      <c r="N79" s="385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I80" s="32"/>
      <c r="J80" s="32"/>
      <c r="K80" s="32"/>
      <c r="L80" s="32"/>
      <c r="M80" s="32"/>
      <c r="N80" s="385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">
      <c r="I81" s="32"/>
      <c r="J81" s="32"/>
      <c r="K81" s="32"/>
      <c r="L81" s="32"/>
      <c r="M81" s="32"/>
      <c r="N81" s="385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">
      <c r="I82" s="32"/>
      <c r="J82" s="32"/>
      <c r="K82" s="32"/>
      <c r="L82" s="32"/>
      <c r="M82" s="32"/>
      <c r="N82" s="385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">
      <c r="I83" s="32"/>
      <c r="J83" s="32"/>
      <c r="K83" s="32"/>
      <c r="L83" s="32"/>
      <c r="M83" s="32"/>
      <c r="N83" s="385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">
      <c r="I84" s="32"/>
      <c r="J84" s="32"/>
      <c r="K84" s="32"/>
      <c r="L84" s="32"/>
      <c r="M84" s="32"/>
      <c r="N84" s="385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">
      <c r="I85" s="32"/>
      <c r="J85" s="32"/>
      <c r="K85" s="32"/>
      <c r="L85" s="32"/>
      <c r="M85" s="32"/>
      <c r="N85" s="385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">
      <c r="I86" s="32"/>
      <c r="J86" s="32"/>
      <c r="K86" s="32"/>
      <c r="L86" s="32"/>
      <c r="M86" s="32"/>
      <c r="N86" s="385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">
      <c r="I87" s="32"/>
      <c r="J87" s="32"/>
      <c r="K87" s="32"/>
      <c r="L87" s="32"/>
      <c r="M87" s="32"/>
      <c r="N87" s="385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">
      <c r="I88" s="32"/>
      <c r="J88" s="32"/>
      <c r="K88" s="32"/>
      <c r="L88" s="32"/>
      <c r="M88" s="32"/>
      <c r="N88" s="385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">
      <c r="I89" s="32"/>
      <c r="J89" s="32"/>
      <c r="K89" s="32"/>
      <c r="L89" s="32"/>
      <c r="M89" s="32"/>
      <c r="N89" s="385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">
      <c r="I90" s="32"/>
      <c r="J90" s="32"/>
      <c r="K90" s="32"/>
      <c r="L90" s="32"/>
      <c r="M90" s="32"/>
      <c r="N90" s="385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">
      <c r="I91" s="32"/>
      <c r="J91" s="32"/>
      <c r="K91" s="32"/>
      <c r="L91" s="32"/>
      <c r="M91" s="32"/>
      <c r="N91" s="385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">
      <c r="I92" s="32"/>
      <c r="J92" s="32"/>
      <c r="K92" s="32"/>
      <c r="L92" s="32"/>
      <c r="M92" s="32"/>
      <c r="N92" s="385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">
      <c r="I93" s="32"/>
      <c r="J93" s="32"/>
      <c r="K93" s="32"/>
      <c r="L93" s="32"/>
      <c r="M93" s="32"/>
      <c r="N93" s="385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">
      <c r="I94" s="32"/>
      <c r="J94" s="32"/>
      <c r="K94" s="32"/>
      <c r="L94" s="32"/>
      <c r="M94" s="32"/>
      <c r="N94" s="385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">
      <c r="I95" s="32"/>
      <c r="J95" s="32"/>
      <c r="K95" s="32"/>
      <c r="L95" s="32"/>
      <c r="M95" s="32"/>
      <c r="N95" s="385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">
      <c r="I96" s="32"/>
      <c r="J96" s="32"/>
      <c r="K96" s="32"/>
      <c r="L96" s="32"/>
      <c r="M96" s="32"/>
      <c r="N96" s="385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I97" s="32"/>
      <c r="J97" s="32"/>
      <c r="K97" s="32"/>
      <c r="L97" s="32"/>
      <c r="M97" s="32"/>
      <c r="N97" s="385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I98" s="32"/>
      <c r="J98" s="32"/>
      <c r="K98" s="32"/>
      <c r="L98" s="32"/>
      <c r="M98" s="32"/>
      <c r="N98" s="385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I99" s="32"/>
      <c r="J99" s="32"/>
      <c r="K99" s="32"/>
      <c r="L99" s="32"/>
      <c r="M99" s="32"/>
      <c r="N99" s="385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I100" s="32"/>
      <c r="J100" s="32"/>
      <c r="K100" s="32"/>
      <c r="L100" s="32"/>
      <c r="M100" s="32"/>
      <c r="N100" s="385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I101" s="32"/>
      <c r="J101" s="32"/>
      <c r="K101" s="32"/>
      <c r="L101" s="32"/>
      <c r="M101" s="32"/>
      <c r="N101" s="385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2" t="s">
        <v>264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5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 t="s">
        <v>262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5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 t="s">
        <v>263</v>
      </c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5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361"/>
      <c r="C105" s="362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5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2" t="s">
        <v>265</v>
      </c>
      <c r="B106" s="75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5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 t="s">
        <v>266</v>
      </c>
      <c r="B107" s="75">
        <v>16841.21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5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 t="s">
        <v>268</v>
      </c>
      <c r="B108" s="75">
        <v>-8065.83</v>
      </c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5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 t="s">
        <v>269</v>
      </c>
      <c r="B109" s="536">
        <v>-725.46</v>
      </c>
      <c r="C109" s="69"/>
      <c r="D109" s="363"/>
      <c r="E109" s="32"/>
      <c r="F109" s="32"/>
      <c r="G109" s="32"/>
      <c r="H109" s="32"/>
      <c r="I109" s="32"/>
      <c r="J109" s="32"/>
      <c r="K109" s="32"/>
      <c r="L109" s="32"/>
      <c r="M109" s="32"/>
      <c r="N109" s="385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 t="s">
        <v>276</v>
      </c>
      <c r="B110" s="533">
        <v>107948.28</v>
      </c>
      <c r="C110" s="294"/>
      <c r="D110" s="364"/>
      <c r="E110" s="32"/>
      <c r="F110" s="32"/>
      <c r="G110" s="32"/>
      <c r="H110" s="32"/>
      <c r="I110" s="32"/>
      <c r="J110" s="32"/>
      <c r="K110" s="32"/>
      <c r="L110" s="32"/>
      <c r="M110" s="32"/>
      <c r="N110" s="385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 t="s">
        <v>274</v>
      </c>
      <c r="B111" s="536">
        <v>-1777.19</v>
      </c>
      <c r="C111" s="294"/>
      <c r="D111" s="365"/>
      <c r="E111" s="32"/>
      <c r="F111" s="32"/>
      <c r="G111" s="32"/>
      <c r="H111" s="32"/>
      <c r="I111" s="32"/>
      <c r="J111" s="32"/>
      <c r="K111" s="32"/>
      <c r="L111" s="32"/>
      <c r="M111" s="32"/>
      <c r="N111" s="385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 t="s">
        <v>277</v>
      </c>
      <c r="B112" s="536">
        <v>2429.75</v>
      </c>
      <c r="C112" s="294"/>
      <c r="D112" s="366"/>
      <c r="E112" s="32"/>
      <c r="F112" s="32"/>
      <c r="G112" s="32"/>
      <c r="H112" s="32"/>
      <c r="I112" s="32"/>
      <c r="J112" s="32"/>
      <c r="K112" s="32"/>
      <c r="L112" s="32"/>
      <c r="M112" s="32"/>
      <c r="N112" s="385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 t="s">
        <v>281</v>
      </c>
      <c r="B113" s="536">
        <v>6695.6</v>
      </c>
      <c r="C113" s="502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5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 t="s">
        <v>284</v>
      </c>
      <c r="B114" s="536">
        <v>48174.22</v>
      </c>
      <c r="C114" s="502"/>
      <c r="D114" s="363"/>
      <c r="E114" s="32"/>
      <c r="F114" s="32"/>
      <c r="G114" s="32"/>
      <c r="H114" s="32"/>
      <c r="I114" s="32"/>
      <c r="J114" s="32"/>
      <c r="K114" s="32"/>
      <c r="L114" s="32"/>
      <c r="M114" s="32"/>
      <c r="N114" s="385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 t="s">
        <v>288</v>
      </c>
      <c r="B115" s="533">
        <v>-2165.34</v>
      </c>
      <c r="C115" s="502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5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 t="s">
        <v>292</v>
      </c>
      <c r="B116" s="533">
        <v>-17015.8</v>
      </c>
      <c r="C116" s="502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5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 t="s">
        <v>293</v>
      </c>
      <c r="B117" s="533">
        <v>8356.0499999999993</v>
      </c>
      <c r="C117" s="503"/>
      <c r="D117" s="363"/>
      <c r="E117" s="32"/>
      <c r="F117" s="32"/>
      <c r="G117" s="32"/>
      <c r="H117" s="32"/>
      <c r="I117" s="32"/>
      <c r="J117" s="32"/>
      <c r="K117" s="32"/>
      <c r="L117" s="32"/>
      <c r="M117" s="32"/>
      <c r="N117" s="385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 t="s">
        <v>295</v>
      </c>
      <c r="B118" s="549">
        <f>775*2.25</f>
        <v>1743.75</v>
      </c>
      <c r="C118" s="503"/>
      <c r="D118" s="363"/>
      <c r="E118" s="32"/>
      <c r="F118" s="32"/>
      <c r="G118" s="32"/>
      <c r="H118" s="32"/>
      <c r="I118" s="32"/>
      <c r="J118" s="32"/>
      <c r="K118" s="32"/>
      <c r="L118" s="32"/>
      <c r="M118" s="32"/>
      <c r="N118" s="385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 t="s">
        <v>299</v>
      </c>
      <c r="B119" s="533">
        <v>0</v>
      </c>
      <c r="C119" s="503"/>
      <c r="D119" s="363"/>
      <c r="E119" s="32"/>
      <c r="F119" s="32"/>
      <c r="G119" s="32"/>
      <c r="H119" s="32"/>
      <c r="I119" s="32"/>
      <c r="J119" s="32"/>
      <c r="K119" s="32"/>
      <c r="L119" s="32"/>
      <c r="M119" s="32"/>
      <c r="N119" s="385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 t="s">
        <v>291</v>
      </c>
      <c r="B120" s="15">
        <f>44144.84-58339.66</f>
        <v>-14194.820000000007</v>
      </c>
      <c r="C120" s="503">
        <v>26357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5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 t="s">
        <v>291</v>
      </c>
      <c r="B121" s="15">
        <v>-51695.87</v>
      </c>
      <c r="C121" s="503">
        <v>20379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5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 t="s">
        <v>291</v>
      </c>
      <c r="B122" s="15">
        <v>61340.160000000003</v>
      </c>
      <c r="C122" s="503">
        <v>21544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5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 t="s">
        <v>319</v>
      </c>
      <c r="B123" s="533">
        <v>-2475.85</v>
      </c>
      <c r="C123" s="503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5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 t="s">
        <v>300</v>
      </c>
      <c r="B124" s="533">
        <v>2493.64</v>
      </c>
      <c r="C124" s="503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5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 t="s">
        <v>301</v>
      </c>
      <c r="B125" s="259">
        <v>8282.6</v>
      </c>
      <c r="C125" s="503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5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 t="s">
        <v>287</v>
      </c>
      <c r="B126" s="259">
        <v>-7228.77</v>
      </c>
      <c r="C126" s="502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5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 t="s">
        <v>286</v>
      </c>
      <c r="B127" s="15">
        <v>249009.74</v>
      </c>
      <c r="C127" s="502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5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 t="s">
        <v>280</v>
      </c>
      <c r="B128" s="533">
        <f>1974.11-1974.11</f>
        <v>0</v>
      </c>
      <c r="C128" s="502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5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 t="s">
        <v>267</v>
      </c>
      <c r="B129" s="536">
        <v>-35893</v>
      </c>
      <c r="C129" s="502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5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 t="s">
        <v>275</v>
      </c>
      <c r="B130" s="75">
        <v>27281.87</v>
      </c>
      <c r="C130" s="502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5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 t="s">
        <v>278</v>
      </c>
      <c r="B131" s="75">
        <v>-2614.58</v>
      </c>
      <c r="C131" s="502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5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 t="s">
        <v>279</v>
      </c>
      <c r="B132" s="75">
        <v>-177733.88</v>
      </c>
      <c r="C132" s="502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5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 t="s">
        <v>282</v>
      </c>
      <c r="B133" s="15">
        <v>3338.45</v>
      </c>
      <c r="C133" s="502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5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 t="s">
        <v>283</v>
      </c>
      <c r="B134" s="15">
        <v>15325.21</v>
      </c>
      <c r="C134" s="502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5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 t="s">
        <v>285</v>
      </c>
      <c r="B135" s="15">
        <v>-33878.81</v>
      </c>
      <c r="C135" s="502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5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 t="s">
        <v>289</v>
      </c>
      <c r="B136" s="15">
        <v>-726.96</v>
      </c>
      <c r="C136" s="502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5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 t="s">
        <v>290</v>
      </c>
      <c r="B137" s="47">
        <v>-4405.4799999999996</v>
      </c>
      <c r="C137" s="502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5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 t="s">
        <v>320</v>
      </c>
      <c r="B138" s="535">
        <v>4000.5</v>
      </c>
      <c r="C138" s="502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5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 t="s">
        <v>321</v>
      </c>
      <c r="B139" s="535">
        <v>-725.46</v>
      </c>
      <c r="C139" s="502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5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5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16">
        <f>SUM(B107:B140)</f>
        <v>201937.93000000005</v>
      </c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5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5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5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5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 t="s">
        <v>270</v>
      </c>
      <c r="B145" s="504" t="s">
        <v>272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5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 t="s">
        <v>271</v>
      </c>
      <c r="B146" s="504" t="s">
        <v>273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5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 t="s">
        <v>325</v>
      </c>
      <c r="B147" s="47">
        <v>-3863.86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5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 t="s">
        <v>294</v>
      </c>
      <c r="B148" s="259">
        <v>17432.3</v>
      </c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5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5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5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5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5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5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5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5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5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5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5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5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5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5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5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5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5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5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5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5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5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5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5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5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5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5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5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5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5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5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5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5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5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5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5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5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5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5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5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5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5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5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5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5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5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5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5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5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5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5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5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5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5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5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5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5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5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5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5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5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5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5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5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5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5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5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5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5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5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5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5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5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5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5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5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5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5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5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5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5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5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5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5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5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5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5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5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5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5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5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5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5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5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5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5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5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5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5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5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5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5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5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5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5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5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5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5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5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5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5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5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5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5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5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5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5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5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5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5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5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5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5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5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5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5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5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5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5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5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5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5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5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5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5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5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5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5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5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5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5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5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5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5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5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5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5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5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5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5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5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5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5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5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5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5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5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5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5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5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5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5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5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5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5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5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5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5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5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5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5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5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5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5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5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5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5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5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5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5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5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5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5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5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5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5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5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5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5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5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5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5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5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5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5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5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5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5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5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5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5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5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5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5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5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5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5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5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5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5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5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5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5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5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5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5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5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5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5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5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spans="1:33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2"/>
      <c r="N367" s="385"/>
      <c r="O367" s="70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12" workbookViewId="0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8">
        <v>-289215</v>
      </c>
      <c r="C6" s="80"/>
      <c r="D6" s="80">
        <f t="shared" ref="D6:D14" si="0">+C6-B6</f>
        <v>289215</v>
      </c>
    </row>
    <row r="7" spans="1:4" x14ac:dyDescent="0.2">
      <c r="A7" s="32">
        <v>3531</v>
      </c>
      <c r="B7" s="312">
        <v>-636354</v>
      </c>
      <c r="C7" s="80">
        <v>-234053</v>
      </c>
      <c r="D7" s="80">
        <f t="shared" si="0"/>
        <v>402301</v>
      </c>
    </row>
    <row r="8" spans="1:4" x14ac:dyDescent="0.2">
      <c r="A8" s="32">
        <v>60667</v>
      </c>
      <c r="B8" s="312">
        <v>-115490</v>
      </c>
      <c r="C8" s="80">
        <v>-809190</v>
      </c>
      <c r="D8" s="80">
        <f t="shared" si="0"/>
        <v>-693700</v>
      </c>
    </row>
    <row r="9" spans="1:4" x14ac:dyDescent="0.2">
      <c r="A9" s="32">
        <v>60749</v>
      </c>
      <c r="B9" s="312">
        <v>85714</v>
      </c>
      <c r="C9" s="80">
        <v>-130666</v>
      </c>
      <c r="D9" s="80">
        <f t="shared" si="0"/>
        <v>-216380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>
        <v>-208067</v>
      </c>
      <c r="C11" s="80"/>
      <c r="D11" s="80">
        <f t="shared" si="0"/>
        <v>208067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-10497</v>
      </c>
    </row>
    <row r="19" spans="1:5" x14ac:dyDescent="0.2">
      <c r="A19" s="32" t="s">
        <v>81</v>
      </c>
      <c r="B19" s="69"/>
      <c r="C19" s="69"/>
      <c r="D19" s="73">
        <f>+summary!G4</f>
        <v>2.14</v>
      </c>
    </row>
    <row r="20" spans="1:5" x14ac:dyDescent="0.2">
      <c r="B20" s="69"/>
      <c r="C20" s="69"/>
      <c r="D20" s="75">
        <f>+D19*D18</f>
        <v>-22463.58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45">
        <v>45202.5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37276</v>
      </c>
      <c r="B24" s="69"/>
      <c r="C24" s="69"/>
      <c r="D24" s="335">
        <f>+D22+D20</f>
        <v>22738.92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46">
        <v>20090</v>
      </c>
    </row>
    <row r="33" spans="1:4" x14ac:dyDescent="0.2">
      <c r="A33" s="49">
        <f>+A24</f>
        <v>37276</v>
      </c>
      <c r="D33" s="355">
        <f>+D18</f>
        <v>-10497</v>
      </c>
    </row>
    <row r="34" spans="1:4" x14ac:dyDescent="0.2">
      <c r="D34" s="14">
        <f>+D33+D32</f>
        <v>9593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C8" sqref="C8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8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v>-71599</v>
      </c>
      <c r="C5" s="90">
        <v>-39388</v>
      </c>
      <c r="D5" s="90">
        <f t="shared" ref="D5:D13" si="0">+C5-B5</f>
        <v>32211</v>
      </c>
      <c r="E5" s="69"/>
      <c r="F5" s="201"/>
    </row>
    <row r="6" spans="1:13" x14ac:dyDescent="0.2">
      <c r="A6" s="87">
        <v>9238</v>
      </c>
      <c r="B6" s="90">
        <v>-9232</v>
      </c>
      <c r="C6" s="90">
        <v>-20000</v>
      </c>
      <c r="D6" s="90">
        <f t="shared" si="0"/>
        <v>-10768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v>-2025983</v>
      </c>
      <c r="C7" s="90">
        <v>-2010790</v>
      </c>
      <c r="D7" s="90">
        <f t="shared" si="0"/>
        <v>15193</v>
      </c>
      <c r="E7" s="275"/>
      <c r="F7" s="201"/>
    </row>
    <row r="8" spans="1:13" x14ac:dyDescent="0.2">
      <c r="A8" s="87">
        <v>58710</v>
      </c>
      <c r="B8" s="90">
        <v>-143514</v>
      </c>
      <c r="C8" s="90">
        <v>-140830</v>
      </c>
      <c r="D8" s="90">
        <f t="shared" si="0"/>
        <v>2684</v>
      </c>
      <c r="E8" s="275"/>
      <c r="F8" s="201"/>
    </row>
    <row r="9" spans="1:13" x14ac:dyDescent="0.2">
      <c r="A9" s="87">
        <v>60921</v>
      </c>
      <c r="B9" s="90">
        <v>-815212</v>
      </c>
      <c r="C9" s="90">
        <v>-814145</v>
      </c>
      <c r="D9" s="90">
        <f t="shared" si="0"/>
        <v>1067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72"/>
    </row>
    <row r="11" spans="1:13" x14ac:dyDescent="0.2">
      <c r="A11" s="87">
        <v>500084</v>
      </c>
      <c r="B11" s="90">
        <v>-46706</v>
      </c>
      <c r="C11" s="90">
        <v>-60000</v>
      </c>
      <c r="D11" s="90">
        <f t="shared" si="0"/>
        <v>-13294</v>
      </c>
      <c r="E11" s="276"/>
      <c r="F11" s="472"/>
    </row>
    <row r="12" spans="1:13" x14ac:dyDescent="0.2">
      <c r="A12" s="320">
        <v>500085</v>
      </c>
      <c r="B12" s="90">
        <v>-3022</v>
      </c>
      <c r="C12" s="90"/>
      <c r="D12" s="90">
        <f t="shared" si="0"/>
        <v>3022</v>
      </c>
      <c r="E12" s="275"/>
      <c r="F12" s="472"/>
    </row>
    <row r="13" spans="1:13" x14ac:dyDescent="0.2">
      <c r="A13" s="87">
        <v>500097</v>
      </c>
      <c r="B13" s="90">
        <v>-67728</v>
      </c>
      <c r="C13" s="90">
        <v>-80000</v>
      </c>
      <c r="D13" s="90">
        <f t="shared" si="0"/>
        <v>-12272</v>
      </c>
      <c r="E13" s="275"/>
      <c r="F13" s="472"/>
    </row>
    <row r="14" spans="1:13" x14ac:dyDescent="0.2">
      <c r="A14" s="87"/>
      <c r="B14" s="90"/>
      <c r="C14" s="90"/>
      <c r="D14" s="90"/>
      <c r="E14" s="275"/>
      <c r="F14" s="472"/>
    </row>
    <row r="15" spans="1:13" x14ac:dyDescent="0.2">
      <c r="A15" s="87"/>
      <c r="B15" s="90"/>
      <c r="C15" s="90"/>
      <c r="D15" s="90"/>
      <c r="E15" s="275"/>
      <c r="F15" s="472"/>
    </row>
    <row r="16" spans="1:13" x14ac:dyDescent="0.2">
      <c r="A16" s="87"/>
      <c r="B16" s="88"/>
      <c r="C16" s="88"/>
      <c r="D16" s="94"/>
      <c r="E16" s="275"/>
      <c r="F16" s="472"/>
    </row>
    <row r="17" spans="1:7" x14ac:dyDescent="0.2">
      <c r="A17" s="87"/>
      <c r="B17" s="88"/>
      <c r="C17" s="88"/>
      <c r="D17" s="88">
        <f>SUM(D5:D16)</f>
        <v>17843</v>
      </c>
      <c r="E17" s="275"/>
      <c r="F17" s="472"/>
    </row>
    <row r="18" spans="1:7" x14ac:dyDescent="0.2">
      <c r="A18" s="87" t="s">
        <v>81</v>
      </c>
      <c r="B18" s="88"/>
      <c r="C18" s="88"/>
      <c r="D18" s="95">
        <f>+summary!G4</f>
        <v>2.14</v>
      </c>
      <c r="E18" s="277"/>
      <c r="F18" s="472"/>
    </row>
    <row r="19" spans="1:7" x14ac:dyDescent="0.2">
      <c r="A19" s="87"/>
      <c r="B19" s="88"/>
      <c r="C19" s="88"/>
      <c r="D19" s="96">
        <f>+D18*D17</f>
        <v>38184.020000000004</v>
      </c>
      <c r="E19" s="207"/>
      <c r="F19" s="472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37256</v>
      </c>
      <c r="B21" s="88"/>
      <c r="C21" s="88"/>
      <c r="D21" s="538">
        <v>766914.32</v>
      </c>
      <c r="E21" s="207"/>
      <c r="F21" s="473"/>
    </row>
    <row r="22" spans="1:7" x14ac:dyDescent="0.2">
      <c r="A22" s="87"/>
      <c r="B22" s="88"/>
      <c r="C22" s="88"/>
      <c r="D22" s="311"/>
      <c r="E22" s="207"/>
      <c r="F22" s="473"/>
    </row>
    <row r="23" spans="1:7" ht="13.5" thickBot="1" x14ac:dyDescent="0.25">
      <c r="A23" s="99">
        <v>37276</v>
      </c>
      <c r="B23" s="88"/>
      <c r="C23" s="88"/>
      <c r="D23" s="321">
        <f>+D21+D19</f>
        <v>805098.34</v>
      </c>
      <c r="E23" s="207"/>
      <c r="F23" s="473"/>
    </row>
    <row r="24" spans="1:7" ht="13.5" thickTop="1" x14ac:dyDescent="0.2">
      <c r="E24" s="278"/>
    </row>
    <row r="25" spans="1:7" x14ac:dyDescent="0.2">
      <c r="E25" s="513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37256</v>
      </c>
      <c r="B28" s="32"/>
      <c r="C28" s="32"/>
      <c r="D28" s="532">
        <v>307322</v>
      </c>
    </row>
    <row r="29" spans="1:7" x14ac:dyDescent="0.2">
      <c r="A29" s="49">
        <f>+A23</f>
        <v>37276</v>
      </c>
      <c r="B29" s="32"/>
      <c r="C29" s="32"/>
      <c r="D29" s="355">
        <f>+D17</f>
        <v>17843</v>
      </c>
    </row>
    <row r="30" spans="1:7" x14ac:dyDescent="0.2">
      <c r="A30" s="32"/>
      <c r="B30" s="32"/>
      <c r="C30" s="32"/>
      <c r="D30" s="14">
        <f>+D29+D28</f>
        <v>325165</v>
      </c>
      <c r="E30" s="348"/>
    </row>
    <row r="31" spans="1:7" x14ac:dyDescent="0.2">
      <c r="A31" s="139"/>
      <c r="B31" s="119"/>
      <c r="C31" s="140"/>
      <c r="D31" s="563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4"/>
      <c r="E36" s="69"/>
      <c r="F36" s="201"/>
      <c r="G36" s="32"/>
    </row>
    <row r="37" spans="1:7" x14ac:dyDescent="0.2">
      <c r="B37" s="69"/>
      <c r="C37" s="69"/>
      <c r="D37" s="294"/>
      <c r="E37" s="69"/>
      <c r="F37" s="201"/>
      <c r="G37" s="32"/>
    </row>
    <row r="38" spans="1:7" x14ac:dyDescent="0.2">
      <c r="B38" s="69"/>
      <c r="C38" s="69"/>
      <c r="D38" s="294"/>
      <c r="E38" s="69"/>
      <c r="F38" s="201"/>
      <c r="G38" s="32"/>
    </row>
    <row r="39" spans="1:7" x14ac:dyDescent="0.2">
      <c r="B39" s="69"/>
      <c r="C39" s="69"/>
      <c r="D39" s="294"/>
      <c r="E39" s="69"/>
      <c r="F39" s="201"/>
      <c r="G39" s="32"/>
    </row>
    <row r="40" spans="1:7" x14ac:dyDescent="0.2">
      <c r="B40" s="69"/>
      <c r="C40" s="69"/>
      <c r="D40" s="294"/>
      <c r="E40" s="69"/>
      <c r="F40" s="201"/>
      <c r="G40" s="32"/>
    </row>
    <row r="41" spans="1:7" x14ac:dyDescent="0.2">
      <c r="B41" s="69"/>
      <c r="C41" s="69"/>
      <c r="D41" s="294"/>
      <c r="E41" s="69"/>
      <c r="F41" s="201"/>
      <c r="G41" s="32"/>
    </row>
    <row r="42" spans="1:7" x14ac:dyDescent="0.2">
      <c r="B42" s="69"/>
      <c r="C42" s="69"/>
      <c r="D42" s="294"/>
      <c r="E42" s="69"/>
      <c r="F42" s="201"/>
      <c r="G42" s="32"/>
    </row>
    <row r="43" spans="1:7" x14ac:dyDescent="0.2">
      <c r="B43" s="69"/>
      <c r="C43" s="69"/>
      <c r="D43" s="294"/>
      <c r="E43" s="69"/>
      <c r="F43" s="201"/>
      <c r="G43" s="32"/>
    </row>
    <row r="44" spans="1:7" x14ac:dyDescent="0.2">
      <c r="B44" s="69"/>
      <c r="C44" s="69"/>
      <c r="D44" s="295"/>
      <c r="E44" s="275"/>
      <c r="F44" s="472"/>
      <c r="G44" s="204"/>
    </row>
    <row r="45" spans="1:7" x14ac:dyDescent="0.2">
      <c r="B45" s="69"/>
      <c r="C45" s="69"/>
      <c r="D45" s="295"/>
      <c r="E45" s="275"/>
      <c r="F45" s="472"/>
      <c r="G45" s="204"/>
    </row>
    <row r="46" spans="1:7" x14ac:dyDescent="0.2">
      <c r="A46" s="32"/>
      <c r="B46" s="69"/>
      <c r="C46" s="69"/>
      <c r="D46" s="275"/>
      <c r="E46" s="275"/>
      <c r="F46" s="472"/>
      <c r="G46" s="204"/>
    </row>
    <row r="47" spans="1:7" x14ac:dyDescent="0.2">
      <c r="A47" s="32"/>
      <c r="B47" s="69"/>
      <c r="C47" s="69"/>
      <c r="D47" s="277"/>
      <c r="E47" s="277"/>
      <c r="F47" s="472"/>
      <c r="G47" s="204"/>
    </row>
    <row r="48" spans="1:7" x14ac:dyDescent="0.2">
      <c r="B48" s="69"/>
      <c r="C48" s="69"/>
      <c r="D48" s="275"/>
      <c r="E48" s="275"/>
      <c r="F48" s="472"/>
      <c r="G48" s="204"/>
    </row>
    <row r="49" spans="1:7" x14ac:dyDescent="0.2">
      <c r="B49" s="69"/>
      <c r="C49" s="69"/>
      <c r="D49" s="275"/>
      <c r="E49" s="275"/>
      <c r="F49" s="472"/>
      <c r="G49" s="204"/>
    </row>
    <row r="50" spans="1:7" x14ac:dyDescent="0.2">
      <c r="C50" s="292"/>
      <c r="D50" s="292"/>
      <c r="E50" s="292"/>
      <c r="F50" s="474"/>
      <c r="G50" s="293"/>
    </row>
    <row r="51" spans="1:7" x14ac:dyDescent="0.2">
      <c r="A51" s="32"/>
      <c r="C51" s="292"/>
      <c r="D51" s="292"/>
      <c r="E51" s="292"/>
      <c r="F51" s="474"/>
    </row>
    <row r="52" spans="1:7" x14ac:dyDescent="0.2">
      <c r="A52" s="32"/>
      <c r="C52" s="292"/>
      <c r="D52" s="292"/>
      <c r="E52" s="292"/>
      <c r="F52" s="474"/>
    </row>
    <row r="53" spans="1:7" x14ac:dyDescent="0.2">
      <c r="A53" s="32"/>
      <c r="C53" s="292"/>
      <c r="D53" s="292"/>
      <c r="E53" s="292"/>
      <c r="F53" s="474"/>
    </row>
    <row r="54" spans="1:7" x14ac:dyDescent="0.2">
      <c r="A54" s="32"/>
      <c r="C54" s="292"/>
      <c r="D54" s="292"/>
      <c r="E54" s="292"/>
      <c r="F54" s="474"/>
    </row>
    <row r="55" spans="1:7" x14ac:dyDescent="0.2">
      <c r="A55" s="32"/>
      <c r="C55" s="292"/>
      <c r="D55" s="292"/>
      <c r="E55" s="278"/>
      <c r="F55" s="427"/>
    </row>
    <row r="56" spans="1:7" x14ac:dyDescent="0.2">
      <c r="C56" s="292"/>
      <c r="D56" s="292"/>
      <c r="E56" s="278"/>
      <c r="F56" s="427"/>
    </row>
    <row r="57" spans="1:7" x14ac:dyDescent="0.2">
      <c r="C57" s="292"/>
      <c r="D57" s="292"/>
      <c r="E57" s="278"/>
      <c r="F57" s="427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5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73"/>
    </row>
    <row r="101" spans="1:6" x14ac:dyDescent="0.2">
      <c r="A101" s="32"/>
      <c r="E101" s="63"/>
      <c r="F101" s="473"/>
    </row>
    <row r="102" spans="1:6" ht="13.5" thickBot="1" x14ac:dyDescent="0.25">
      <c r="A102" s="32"/>
      <c r="D102" s="68"/>
      <c r="E102" s="68"/>
      <c r="F102" s="473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5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73"/>
    </row>
    <row r="127" spans="1:6" x14ac:dyDescent="0.2">
      <c r="A127" s="32"/>
      <c r="D127" s="75"/>
      <c r="E127" s="75"/>
      <c r="F127" s="473"/>
    </row>
    <row r="128" spans="1:6" ht="13.5" thickBot="1" x14ac:dyDescent="0.25">
      <c r="A128" s="32"/>
      <c r="D128" s="77"/>
      <c r="E128" s="77"/>
      <c r="F128" s="473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5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73"/>
    </row>
    <row r="152" spans="1:6" x14ac:dyDescent="0.2">
      <c r="A152" s="32"/>
      <c r="D152" s="75"/>
      <c r="E152" s="75"/>
      <c r="F152" s="473"/>
    </row>
    <row r="153" spans="1:6" ht="13.5" thickBot="1" x14ac:dyDescent="0.25">
      <c r="A153" s="32"/>
      <c r="D153" s="77"/>
      <c r="E153" s="77"/>
      <c r="F153" s="473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5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73"/>
    </row>
    <row r="177" spans="1:6" x14ac:dyDescent="0.2">
      <c r="A177" s="32"/>
      <c r="D177" s="75"/>
      <c r="E177" s="75"/>
      <c r="F177" s="473"/>
    </row>
    <row r="178" spans="1:6" ht="13.5" thickBot="1" x14ac:dyDescent="0.25">
      <c r="A178" s="32"/>
      <c r="D178" s="77"/>
      <c r="E178" s="77"/>
      <c r="F178" s="473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5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73"/>
    </row>
    <row r="201" spans="1:6" x14ac:dyDescent="0.2">
      <c r="A201" s="32"/>
      <c r="D201" s="75"/>
      <c r="E201" s="75"/>
      <c r="F201" s="473"/>
    </row>
    <row r="202" spans="1:6" ht="13.5" thickBot="1" x14ac:dyDescent="0.25">
      <c r="A202" s="32"/>
      <c r="D202" s="83"/>
      <c r="E202" s="77"/>
      <c r="F202" s="473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5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73"/>
    </row>
    <row r="227" spans="1:6" x14ac:dyDescent="0.2">
      <c r="A227" s="32"/>
      <c r="D227" s="75"/>
      <c r="E227" s="75"/>
      <c r="F227" s="473"/>
    </row>
    <row r="228" spans="1:6" ht="13.5" thickBot="1" x14ac:dyDescent="0.25">
      <c r="A228" s="32"/>
      <c r="D228" s="83"/>
      <c r="E228" s="77"/>
      <c r="F228" s="473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5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73"/>
    </row>
    <row r="251" spans="1:6" x14ac:dyDescent="0.2">
      <c r="A251" s="32"/>
      <c r="D251" s="75"/>
      <c r="E251" s="75"/>
      <c r="F251" s="473"/>
    </row>
    <row r="252" spans="1:6" ht="13.5" thickBot="1" x14ac:dyDescent="0.25">
      <c r="A252" s="32"/>
      <c r="D252" s="86"/>
      <c r="E252" s="77"/>
      <c r="F252" s="473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5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73"/>
    </row>
    <row r="275" spans="1:6" x14ac:dyDescent="0.2">
      <c r="A275" s="87"/>
      <c r="B275" s="88"/>
      <c r="C275" s="88"/>
      <c r="D275" s="96"/>
      <c r="E275" s="75"/>
      <c r="F275" s="473"/>
    </row>
    <row r="276" spans="1:6" ht="13.5" thickBot="1" x14ac:dyDescent="0.25">
      <c r="A276" s="87"/>
      <c r="B276" s="88"/>
      <c r="C276" s="88"/>
      <c r="D276" s="98"/>
      <c r="E276" s="77"/>
      <c r="F276" s="473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5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73"/>
    </row>
    <row r="300" spans="1:6" x14ac:dyDescent="0.2">
      <c r="A300" s="87"/>
      <c r="B300" s="88"/>
      <c r="C300" s="88"/>
      <c r="D300" s="96"/>
      <c r="E300" s="75"/>
      <c r="F300" s="473"/>
    </row>
    <row r="301" spans="1:6" ht="13.5" thickBot="1" x14ac:dyDescent="0.25">
      <c r="A301" s="87"/>
      <c r="B301" s="88"/>
      <c r="C301" s="88"/>
      <c r="D301" s="98"/>
      <c r="E301" s="77"/>
      <c r="F301" s="473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5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73"/>
    </row>
    <row r="327" spans="1:6" x14ac:dyDescent="0.2">
      <c r="A327" s="87"/>
      <c r="B327" s="88"/>
      <c r="C327" s="88"/>
      <c r="D327" s="96"/>
      <c r="E327" s="75"/>
      <c r="F327" s="473"/>
    </row>
    <row r="328" spans="1:6" ht="13.5" thickBot="1" x14ac:dyDescent="0.25">
      <c r="A328" s="87"/>
      <c r="B328" s="88"/>
      <c r="C328" s="88"/>
      <c r="D328" s="98"/>
      <c r="E328" s="77"/>
      <c r="F328" s="473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5" workbookViewId="0">
      <selection activeCell="C47" sqref="C47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">
      <c r="A4">
        <v>2</v>
      </c>
      <c r="B4" s="90">
        <v>45284</v>
      </c>
      <c r="C4" s="90">
        <v>45338</v>
      </c>
      <c r="D4" s="90"/>
      <c r="E4" s="90"/>
      <c r="F4" s="90">
        <f t="shared" ref="F4:F22" si="0">+E4-D4+C4-B4</f>
        <v>54</v>
      </c>
    </row>
    <row r="5" spans="1:24" x14ac:dyDescent="0.2">
      <c r="A5">
        <v>3</v>
      </c>
      <c r="B5" s="90">
        <v>34397</v>
      </c>
      <c r="C5" s="90">
        <v>34338</v>
      </c>
      <c r="D5" s="90"/>
      <c r="E5" s="90"/>
      <c r="F5" s="90">
        <f t="shared" si="0"/>
        <v>-59</v>
      </c>
    </row>
    <row r="6" spans="1:24" x14ac:dyDescent="0.2">
      <c r="A6">
        <v>4</v>
      </c>
      <c r="B6" s="90">
        <v>64090</v>
      </c>
      <c r="C6" s="90">
        <v>66519</v>
      </c>
      <c r="D6" s="90"/>
      <c r="E6" s="90"/>
      <c r="F6" s="90">
        <f t="shared" si="0"/>
        <v>2429</v>
      </c>
      <c r="I6" t="s">
        <v>235</v>
      </c>
      <c r="P6" t="s">
        <v>236</v>
      </c>
    </row>
    <row r="7" spans="1:24" x14ac:dyDescent="0.2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52"/>
      <c r="J9" s="330"/>
      <c r="K9" s="330"/>
      <c r="L9" s="330"/>
      <c r="M9" s="451"/>
      <c r="N9" s="451"/>
      <c r="O9" s="451"/>
      <c r="P9" s="452"/>
      <c r="Q9" s="330"/>
      <c r="R9" s="330"/>
      <c r="S9" s="330"/>
      <c r="T9" s="451"/>
      <c r="U9" s="451"/>
    </row>
    <row r="10" spans="1:24" x14ac:dyDescent="0.2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52">
        <v>37012</v>
      </c>
      <c r="J10" s="330">
        <v>1103057</v>
      </c>
      <c r="K10" s="330">
        <v>1120793</v>
      </c>
      <c r="L10" s="330">
        <f>+K10-J10</f>
        <v>17736</v>
      </c>
      <c r="M10" s="451">
        <v>4.01</v>
      </c>
      <c r="N10" s="451">
        <f>+L10*M10</f>
        <v>71121.36</v>
      </c>
      <c r="O10" s="451"/>
      <c r="P10" s="452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1">
        <v>4.01</v>
      </c>
      <c r="U10" s="451">
        <f>+S10*T10</f>
        <v>71081.259999999995</v>
      </c>
      <c r="W10" s="453">
        <v>37012</v>
      </c>
      <c r="X10">
        <v>4.01</v>
      </c>
    </row>
    <row r="11" spans="1:24" x14ac:dyDescent="0.2">
      <c r="A11">
        <v>9</v>
      </c>
      <c r="B11" s="90">
        <v>62594</v>
      </c>
      <c r="C11" s="90">
        <v>62519</v>
      </c>
      <c r="D11" s="90"/>
      <c r="E11" s="90"/>
      <c r="F11" s="90">
        <f t="shared" si="0"/>
        <v>-75</v>
      </c>
      <c r="I11" s="452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1">
        <v>3.51</v>
      </c>
      <c r="N11" s="451">
        <f>+L11*M11</f>
        <v>96809.31</v>
      </c>
      <c r="O11" s="451"/>
      <c r="P11" s="452">
        <v>37043</v>
      </c>
      <c r="Q11" s="330">
        <v>-153623</v>
      </c>
      <c r="R11" s="330">
        <v>-88473</v>
      </c>
      <c r="S11" s="330">
        <f t="shared" si="1"/>
        <v>65150</v>
      </c>
      <c r="T11" s="451">
        <v>3.51</v>
      </c>
      <c r="U11" s="451">
        <f>+S11*T11</f>
        <v>228676.5</v>
      </c>
      <c r="W11" s="453">
        <v>37043</v>
      </c>
      <c r="X11">
        <v>3.51</v>
      </c>
    </row>
    <row r="12" spans="1:24" x14ac:dyDescent="0.2">
      <c r="A12">
        <v>10</v>
      </c>
      <c r="B12" s="90">
        <v>62214</v>
      </c>
      <c r="C12" s="90">
        <v>62218</v>
      </c>
      <c r="D12" s="90"/>
      <c r="E12" s="90"/>
      <c r="F12" s="90">
        <f t="shared" si="0"/>
        <v>4</v>
      </c>
      <c r="I12" s="452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1">
        <v>2.94</v>
      </c>
      <c r="N12" s="451">
        <f>+L12*M12</f>
        <v>-114736.44</v>
      </c>
      <c r="O12" s="451"/>
      <c r="P12" s="452">
        <v>37104</v>
      </c>
      <c r="Q12" s="330">
        <v>-34269</v>
      </c>
      <c r="R12" s="330">
        <v>-27046</v>
      </c>
      <c r="S12" s="330">
        <f t="shared" si="1"/>
        <v>7223</v>
      </c>
      <c r="T12" s="451">
        <v>2.85</v>
      </c>
      <c r="U12" s="451">
        <f>+S12*T12</f>
        <v>20585.55</v>
      </c>
      <c r="W12" s="453">
        <v>37073</v>
      </c>
      <c r="X12">
        <v>2.94</v>
      </c>
    </row>
    <row r="13" spans="1:24" x14ac:dyDescent="0.2">
      <c r="A13">
        <v>11</v>
      </c>
      <c r="B13" s="90">
        <v>30610</v>
      </c>
      <c r="C13" s="90">
        <v>30338</v>
      </c>
      <c r="D13" s="90"/>
      <c r="E13" s="90"/>
      <c r="F13" s="90">
        <f t="shared" si="0"/>
        <v>-272</v>
      </c>
      <c r="I13" s="452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1">
        <v>2.85</v>
      </c>
      <c r="N13" s="451">
        <f>+L13*M13</f>
        <v>-55210.200000000004</v>
      </c>
      <c r="O13" s="451"/>
      <c r="P13" s="452">
        <v>37135</v>
      </c>
      <c r="Q13" s="330">
        <v>-1191628</v>
      </c>
      <c r="R13" s="330">
        <v>-1210937</v>
      </c>
      <c r="S13" s="330">
        <f t="shared" si="1"/>
        <v>-19309</v>
      </c>
      <c r="T13" s="451">
        <v>1.96</v>
      </c>
      <c r="U13" s="451">
        <f>+S13*T13</f>
        <v>-37845.64</v>
      </c>
      <c r="W13" s="453">
        <v>37104</v>
      </c>
      <c r="X13">
        <v>2.85</v>
      </c>
    </row>
    <row r="14" spans="1:24" x14ac:dyDescent="0.2">
      <c r="A14">
        <v>12</v>
      </c>
      <c r="B14" s="88">
        <v>30325</v>
      </c>
      <c r="C14" s="90">
        <v>30338</v>
      </c>
      <c r="D14" s="88">
        <v>-31967</v>
      </c>
      <c r="E14" s="88">
        <v>-31700</v>
      </c>
      <c r="F14" s="90">
        <f t="shared" si="0"/>
        <v>280</v>
      </c>
      <c r="I14" s="452">
        <v>37135</v>
      </c>
      <c r="J14" s="330">
        <v>1109912</v>
      </c>
      <c r="K14" s="330">
        <v>1111335</v>
      </c>
      <c r="L14" s="330">
        <f>+K14-J14</f>
        <v>1423</v>
      </c>
      <c r="M14" s="451">
        <v>1.96</v>
      </c>
      <c r="N14" s="454">
        <f>+L14*M14</f>
        <v>2789.08</v>
      </c>
      <c r="O14" s="451"/>
      <c r="P14" s="452"/>
      <c r="Q14" s="330"/>
      <c r="R14" s="330"/>
      <c r="S14" s="330">
        <f t="shared" si="1"/>
        <v>0</v>
      </c>
      <c r="T14" s="451"/>
      <c r="U14" s="451"/>
      <c r="W14" s="453">
        <v>37135</v>
      </c>
      <c r="X14">
        <v>1.96</v>
      </c>
    </row>
    <row r="15" spans="1:24" x14ac:dyDescent="0.2">
      <c r="A15">
        <v>13</v>
      </c>
      <c r="B15" s="88">
        <v>30332</v>
      </c>
      <c r="C15" s="88">
        <v>30338</v>
      </c>
      <c r="D15" s="88">
        <v>-32619</v>
      </c>
      <c r="E15" s="88">
        <v>-31700</v>
      </c>
      <c r="F15" s="90">
        <f t="shared" si="0"/>
        <v>925</v>
      </c>
      <c r="I15" s="452"/>
      <c r="J15" s="330"/>
      <c r="K15" s="330"/>
      <c r="L15" s="330"/>
      <c r="M15" s="451"/>
      <c r="N15" s="451"/>
      <c r="O15" s="451"/>
      <c r="P15" s="452"/>
      <c r="Q15" s="330"/>
      <c r="R15" s="330"/>
      <c r="S15" s="330">
        <f t="shared" si="1"/>
        <v>0</v>
      </c>
      <c r="T15" s="451"/>
      <c r="U15" s="451"/>
    </row>
    <row r="16" spans="1:24" x14ac:dyDescent="0.2">
      <c r="A16">
        <v>14</v>
      </c>
      <c r="B16" s="88">
        <v>30283</v>
      </c>
      <c r="C16" s="88">
        <v>30338</v>
      </c>
      <c r="D16" s="88">
        <v>-33085</v>
      </c>
      <c r="E16" s="88">
        <v>-31700</v>
      </c>
      <c r="F16" s="90">
        <f t="shared" si="0"/>
        <v>1440</v>
      </c>
      <c r="I16" s="452" t="s">
        <v>237</v>
      </c>
      <c r="J16" s="330"/>
      <c r="K16" s="330"/>
      <c r="L16" s="330">
        <f>SUM(L10:L15)</f>
        <v>-11658</v>
      </c>
      <c r="M16" s="451"/>
      <c r="N16" s="451">
        <f>SUM(N9:N15)</f>
        <v>773.10999999997694</v>
      </c>
      <c r="O16" s="451"/>
      <c r="P16" s="452" t="s">
        <v>237</v>
      </c>
      <c r="Q16" s="330"/>
      <c r="R16" s="330"/>
      <c r="S16" s="330">
        <f>SUM(S9:S15)</f>
        <v>70790</v>
      </c>
      <c r="T16" s="451"/>
      <c r="U16" s="451">
        <f>SUM(U9:U15)</f>
        <v>282497.67</v>
      </c>
    </row>
    <row r="17" spans="1:21" x14ac:dyDescent="0.2">
      <c r="A17">
        <v>15</v>
      </c>
      <c r="B17" s="88">
        <v>29984</v>
      </c>
      <c r="C17" s="88">
        <v>30338</v>
      </c>
      <c r="D17" s="330">
        <v>-647</v>
      </c>
      <c r="E17" s="330"/>
      <c r="F17" s="90">
        <f t="shared" si="0"/>
        <v>1001</v>
      </c>
    </row>
    <row r="18" spans="1:21" x14ac:dyDescent="0.2">
      <c r="A18">
        <v>16</v>
      </c>
      <c r="B18" s="88">
        <v>48253</v>
      </c>
      <c r="C18" s="88">
        <v>48338</v>
      </c>
      <c r="D18" s="330"/>
      <c r="E18" s="330"/>
      <c r="F18" s="90">
        <f t="shared" si="0"/>
        <v>85</v>
      </c>
      <c r="I18" s="452" t="s">
        <v>238</v>
      </c>
      <c r="J18" s="330"/>
      <c r="K18" s="330"/>
      <c r="L18" s="330">
        <v>19880</v>
      </c>
      <c r="M18" s="451"/>
      <c r="N18" s="451"/>
      <c r="O18" s="451"/>
      <c r="P18" s="452" t="s">
        <v>238</v>
      </c>
      <c r="Q18" s="330"/>
      <c r="R18" s="330"/>
      <c r="S18" s="330">
        <v>37185</v>
      </c>
      <c r="T18" s="451"/>
      <c r="U18" s="451"/>
    </row>
    <row r="19" spans="1:21" x14ac:dyDescent="0.2">
      <c r="A19">
        <v>17</v>
      </c>
      <c r="B19" s="88">
        <v>30456</v>
      </c>
      <c r="C19" s="88">
        <v>30338</v>
      </c>
      <c r="D19" s="330"/>
      <c r="E19" s="330"/>
      <c r="F19" s="90">
        <f t="shared" si="0"/>
        <v>-118</v>
      </c>
      <c r="I19" s="452"/>
      <c r="J19" s="330"/>
      <c r="K19" s="330"/>
      <c r="L19" s="330"/>
      <c r="M19" s="451"/>
      <c r="N19" s="451"/>
      <c r="O19" s="451"/>
      <c r="P19" s="452"/>
      <c r="Q19" s="330"/>
      <c r="R19" s="330"/>
      <c r="S19" s="330"/>
      <c r="T19" s="451"/>
      <c r="U19" s="451"/>
    </row>
    <row r="20" spans="1:21" x14ac:dyDescent="0.2">
      <c r="A20">
        <v>18</v>
      </c>
      <c r="B20" s="330">
        <v>43183</v>
      </c>
      <c r="C20" s="330">
        <v>43338</v>
      </c>
      <c r="D20" s="330">
        <v>-14965</v>
      </c>
      <c r="E20" s="330">
        <v>-14800</v>
      </c>
      <c r="F20" s="90">
        <f t="shared" si="0"/>
        <v>320</v>
      </c>
      <c r="I20" s="452"/>
      <c r="J20" s="330"/>
      <c r="K20" s="330"/>
      <c r="L20" s="330"/>
      <c r="M20" s="451"/>
      <c r="N20" s="451"/>
      <c r="O20" s="451"/>
      <c r="P20" s="452"/>
      <c r="Q20" s="330"/>
      <c r="R20" s="330"/>
      <c r="S20" s="330"/>
      <c r="T20" s="451"/>
      <c r="U20" s="451"/>
    </row>
    <row r="21" spans="1:21" x14ac:dyDescent="0.2">
      <c r="A21">
        <v>19</v>
      </c>
      <c r="B21" s="330">
        <v>53211</v>
      </c>
      <c r="C21" s="330">
        <v>53338</v>
      </c>
      <c r="D21" s="330">
        <v>-5264</v>
      </c>
      <c r="E21" s="330">
        <v>-5000</v>
      </c>
      <c r="F21" s="90">
        <f t="shared" si="0"/>
        <v>391</v>
      </c>
      <c r="I21" s="452"/>
      <c r="J21" s="330"/>
      <c r="K21" s="330"/>
      <c r="L21" s="330"/>
      <c r="M21" s="451"/>
      <c r="N21" s="451"/>
      <c r="O21" s="451"/>
      <c r="P21" s="452"/>
      <c r="Q21" s="330"/>
      <c r="R21" s="330"/>
      <c r="S21" s="330"/>
      <c r="T21" s="451"/>
      <c r="U21" s="451"/>
    </row>
    <row r="22" spans="1:21" x14ac:dyDescent="0.2">
      <c r="A22">
        <v>20</v>
      </c>
      <c r="B22" s="433">
        <v>53307</v>
      </c>
      <c r="C22" s="330">
        <v>53338</v>
      </c>
      <c r="D22" s="330">
        <v>-5074</v>
      </c>
      <c r="E22" s="330">
        <v>-5000</v>
      </c>
      <c r="F22" s="90">
        <f t="shared" si="0"/>
        <v>105</v>
      </c>
      <c r="I22" s="452"/>
      <c r="J22" s="330"/>
      <c r="K22" s="330"/>
      <c r="L22" s="330"/>
      <c r="M22" s="451"/>
      <c r="N22" s="451"/>
      <c r="O22" s="451"/>
      <c r="P22" s="452"/>
      <c r="Q22" s="330"/>
      <c r="R22" s="330"/>
      <c r="S22" s="330"/>
      <c r="T22" s="451"/>
      <c r="U22" s="451"/>
    </row>
    <row r="23" spans="1:21" x14ac:dyDescent="0.2">
      <c r="A23">
        <v>21</v>
      </c>
      <c r="B23" s="330"/>
      <c r="C23" s="330"/>
      <c r="D23" s="330"/>
      <c r="E23" s="330"/>
      <c r="F23" s="90">
        <f t="shared" ref="F23:F33" si="2">+E23-D23+C23-B23</f>
        <v>0</v>
      </c>
      <c r="I23" s="452"/>
      <c r="J23" s="330"/>
      <c r="K23" s="330"/>
      <c r="L23" s="330"/>
      <c r="M23" s="451"/>
      <c r="N23" s="451"/>
      <c r="O23" s="451"/>
      <c r="P23" s="452"/>
      <c r="Q23" s="330"/>
      <c r="R23" s="330"/>
      <c r="S23" s="330"/>
      <c r="T23" s="451"/>
      <c r="U23" s="451"/>
    </row>
    <row r="24" spans="1:21" x14ac:dyDescent="0.2">
      <c r="A24">
        <v>22</v>
      </c>
      <c r="B24" s="330"/>
      <c r="C24" s="330"/>
      <c r="D24" s="330"/>
      <c r="E24" s="330"/>
      <c r="F24" s="90">
        <f t="shared" si="2"/>
        <v>0</v>
      </c>
      <c r="I24" s="87"/>
      <c r="J24" s="87"/>
      <c r="K24" s="87"/>
      <c r="L24" s="87"/>
      <c r="M24" s="451"/>
      <c r="N24" s="451"/>
      <c r="O24" s="451"/>
      <c r="P24" s="87"/>
      <c r="Q24" s="87"/>
      <c r="R24" s="87"/>
      <c r="S24" s="330"/>
      <c r="T24" s="451"/>
      <c r="U24" s="451"/>
    </row>
    <row r="25" spans="1:21" x14ac:dyDescent="0.2">
      <c r="A25">
        <v>23</v>
      </c>
      <c r="B25" s="330"/>
      <c r="C25" s="330"/>
      <c r="D25" s="330"/>
      <c r="E25" s="330"/>
      <c r="F25" s="90">
        <f t="shared" si="2"/>
        <v>0</v>
      </c>
      <c r="I25" s="87"/>
      <c r="J25" s="87"/>
      <c r="K25" s="87"/>
      <c r="L25" s="87"/>
      <c r="M25" s="451"/>
      <c r="N25" s="451"/>
      <c r="O25" s="451"/>
      <c r="P25" s="87"/>
      <c r="Q25" s="87"/>
      <c r="R25" s="87"/>
      <c r="S25" s="330"/>
      <c r="T25" s="451"/>
      <c r="U25" s="451"/>
    </row>
    <row r="26" spans="1:21" x14ac:dyDescent="0.2">
      <c r="A26">
        <v>24</v>
      </c>
      <c r="B26" s="330"/>
      <c r="C26" s="330"/>
      <c r="D26" s="330"/>
      <c r="E26" s="330"/>
      <c r="F26" s="90">
        <f t="shared" si="2"/>
        <v>0</v>
      </c>
      <c r="I26" s="87"/>
      <c r="J26" s="87"/>
      <c r="K26" s="87"/>
      <c r="L26" s="87"/>
      <c r="M26" s="451"/>
      <c r="N26" s="451"/>
      <c r="O26" s="451"/>
      <c r="P26" s="87"/>
      <c r="Q26" s="87"/>
      <c r="R26" s="87"/>
      <c r="S26" s="330"/>
      <c r="T26" s="451"/>
      <c r="U26" s="451"/>
    </row>
    <row r="27" spans="1:21" x14ac:dyDescent="0.2">
      <c r="A27">
        <v>25</v>
      </c>
      <c r="B27" s="330"/>
      <c r="C27" s="330"/>
      <c r="D27" s="330"/>
      <c r="E27" s="330"/>
      <c r="F27" s="90">
        <f t="shared" si="2"/>
        <v>0</v>
      </c>
      <c r="I27" s="87"/>
      <c r="J27" s="87"/>
      <c r="K27" s="87"/>
      <c r="L27" s="87"/>
      <c r="M27" s="451"/>
      <c r="N27" s="451"/>
      <c r="O27" s="451"/>
      <c r="P27" s="87"/>
      <c r="Q27" s="87"/>
      <c r="R27" s="87"/>
      <c r="S27" s="330"/>
      <c r="T27" s="451"/>
      <c r="U27" s="451"/>
    </row>
    <row r="28" spans="1:21" x14ac:dyDescent="0.2">
      <c r="A28">
        <v>26</v>
      </c>
      <c r="B28" s="330"/>
      <c r="C28" s="330"/>
      <c r="D28" s="14"/>
      <c r="E28" s="14"/>
      <c r="F28" s="90">
        <f t="shared" si="2"/>
        <v>0</v>
      </c>
      <c r="I28" s="87"/>
      <c r="J28" s="87"/>
      <c r="K28" s="87"/>
      <c r="L28" s="87"/>
      <c r="M28" s="451"/>
      <c r="N28" s="451"/>
      <c r="O28" s="451"/>
      <c r="P28" s="87"/>
      <c r="Q28" s="87"/>
      <c r="R28" s="87"/>
      <c r="S28" s="87"/>
      <c r="T28" s="451"/>
      <c r="U28" s="451"/>
    </row>
    <row r="29" spans="1:21" x14ac:dyDescent="0.2">
      <c r="A29">
        <v>27</v>
      </c>
      <c r="B29" s="330"/>
      <c r="C29" s="330"/>
      <c r="D29" s="14"/>
      <c r="E29" s="14"/>
      <c r="F29" s="90">
        <f t="shared" si="2"/>
        <v>0</v>
      </c>
      <c r="I29" s="87"/>
      <c r="J29" s="87"/>
      <c r="K29" s="87"/>
      <c r="L29" s="87"/>
      <c r="M29" s="451"/>
      <c r="N29" s="451"/>
      <c r="O29" s="451"/>
      <c r="P29" s="87"/>
      <c r="Q29" s="87"/>
      <c r="R29" s="87"/>
      <c r="S29" s="87"/>
      <c r="T29" s="451"/>
      <c r="U29" s="451"/>
    </row>
    <row r="30" spans="1:21" x14ac:dyDescent="0.2">
      <c r="A30">
        <v>28</v>
      </c>
      <c r="B30" s="433"/>
      <c r="C30" s="330"/>
      <c r="D30" s="14"/>
      <c r="E30" s="14"/>
      <c r="F30" s="90">
        <f t="shared" si="2"/>
        <v>0</v>
      </c>
      <c r="I30" s="87"/>
      <c r="J30" s="87"/>
      <c r="K30" s="87"/>
      <c r="L30" s="87"/>
      <c r="M30" s="451"/>
      <c r="N30" s="451"/>
      <c r="O30" s="451"/>
      <c r="P30" s="87"/>
      <c r="Q30" s="87"/>
      <c r="R30" s="87"/>
      <c r="S30" s="87"/>
      <c r="T30" s="451"/>
      <c r="U30" s="451"/>
    </row>
    <row r="31" spans="1:21" x14ac:dyDescent="0.2">
      <c r="A31">
        <v>29</v>
      </c>
      <c r="B31" s="330"/>
      <c r="C31" s="330"/>
      <c r="D31" s="14"/>
      <c r="E31" s="14"/>
      <c r="F31" s="90">
        <f t="shared" si="2"/>
        <v>0</v>
      </c>
      <c r="I31" s="87"/>
      <c r="J31" s="87"/>
      <c r="K31" s="87"/>
      <c r="L31" s="87"/>
      <c r="M31" s="451"/>
      <c r="N31" s="451"/>
      <c r="O31" s="451"/>
      <c r="P31" s="87"/>
      <c r="Q31" s="87"/>
      <c r="R31" s="87"/>
      <c r="S31" s="87"/>
      <c r="T31" s="451"/>
      <c r="U31" s="451"/>
    </row>
    <row r="32" spans="1:21" x14ac:dyDescent="0.2">
      <c r="A32">
        <v>30</v>
      </c>
      <c r="B32" s="330"/>
      <c r="C32" s="330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">
      <c r="A33">
        <v>31</v>
      </c>
      <c r="B33" s="330"/>
      <c r="C33" s="330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">
      <c r="B34" s="287">
        <f>SUM(B3:B33)</f>
        <v>948716</v>
      </c>
      <c r="C34" s="287">
        <f>SUM(C3:C33)</f>
        <v>959322</v>
      </c>
      <c r="D34" s="14">
        <f>SUM(D3:D33)</f>
        <v>-188879</v>
      </c>
      <c r="E34" s="14">
        <f>SUM(E3:E33)</f>
        <v>-179900</v>
      </c>
      <c r="F34" s="14">
        <f>SUM(F3:F33)</f>
        <v>19585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4"/>
      <c r="M36" s="259"/>
      <c r="N36" s="259"/>
      <c r="O36" s="259"/>
      <c r="T36" s="259"/>
      <c r="U36" s="259"/>
    </row>
    <row r="37" spans="1:21" x14ac:dyDescent="0.2">
      <c r="A37" s="256">
        <v>37256</v>
      </c>
      <c r="B37" s="14"/>
      <c r="C37" s="14"/>
      <c r="D37" s="14"/>
      <c r="E37" s="14"/>
      <c r="F37" s="492">
        <f>8222+107019</f>
        <v>115241</v>
      </c>
      <c r="M37" s="259"/>
      <c r="N37" s="259"/>
      <c r="O37" s="259"/>
      <c r="T37" s="259"/>
      <c r="U37" s="259"/>
    </row>
    <row r="38" spans="1:21" x14ac:dyDescent="0.2">
      <c r="A38" s="589">
        <v>37276</v>
      </c>
      <c r="B38" s="14"/>
      <c r="C38" s="14"/>
      <c r="D38" s="14"/>
      <c r="E38" s="14"/>
      <c r="F38" s="150">
        <f>+F37+F34</f>
        <v>134826</v>
      </c>
      <c r="M38" s="259"/>
      <c r="N38" s="259"/>
      <c r="O38" s="259"/>
    </row>
    <row r="39" spans="1:21" x14ac:dyDescent="0.2">
      <c r="F39" s="293"/>
      <c r="M39" s="259"/>
      <c r="N39" s="259"/>
      <c r="O39" s="259"/>
    </row>
    <row r="40" spans="1:21" x14ac:dyDescent="0.2">
      <c r="F40" s="293"/>
      <c r="I40" s="348"/>
      <c r="M40" s="259"/>
      <c r="N40" s="259"/>
      <c r="O40" s="259"/>
    </row>
    <row r="41" spans="1:21" x14ac:dyDescent="0.2">
      <c r="F41" s="293"/>
      <c r="I41" s="348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">
      <c r="A43" s="49">
        <f>+A37</f>
        <v>37256</v>
      </c>
      <c r="B43" s="32"/>
      <c r="C43" s="32"/>
      <c r="D43" s="495">
        <v>296376</v>
      </c>
      <c r="F43" s="293"/>
      <c r="G43" s="31"/>
      <c r="I43" s="348"/>
      <c r="M43" s="259"/>
      <c r="N43" s="259"/>
      <c r="O43" s="259"/>
    </row>
    <row r="44" spans="1:21" x14ac:dyDescent="0.2">
      <c r="A44" s="49">
        <f>+A38</f>
        <v>37276</v>
      </c>
      <c r="B44" s="32"/>
      <c r="C44" s="32"/>
      <c r="D44" s="380">
        <f>+F34*'by type_area'!G4</f>
        <v>41911.9</v>
      </c>
      <c r="F44" s="293"/>
      <c r="I44" s="348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338287.9</v>
      </c>
      <c r="F45" s="293"/>
      <c r="I45" s="511"/>
      <c r="M45" s="259"/>
      <c r="N45" s="259"/>
      <c r="O45" s="259"/>
    </row>
    <row r="46" spans="1:21" x14ac:dyDescent="0.2">
      <c r="F46" s="293"/>
      <c r="I46" s="348"/>
      <c r="M46" s="259"/>
      <c r="N46" s="259"/>
      <c r="O46" s="259"/>
    </row>
    <row r="47" spans="1:21" x14ac:dyDescent="0.2">
      <c r="F47" s="293"/>
      <c r="M47" s="259"/>
      <c r="N47" s="259"/>
      <c r="O47" s="259"/>
    </row>
    <row r="48" spans="1:21" x14ac:dyDescent="0.2">
      <c r="F48" s="293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19" workbookViewId="0">
      <selection activeCell="B23" sqref="B23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">
      <c r="A11" s="10">
        <v>8</v>
      </c>
      <c r="B11" s="11">
        <v>-20572</v>
      </c>
      <c r="C11" s="11">
        <v>-20000</v>
      </c>
      <c r="D11" s="25">
        <f t="shared" si="0"/>
        <v>572</v>
      </c>
    </row>
    <row r="12" spans="1:4" x14ac:dyDescent="0.2">
      <c r="A12" s="10">
        <v>9</v>
      </c>
      <c r="B12" s="11">
        <v>-20237</v>
      </c>
      <c r="C12" s="11">
        <v>-20000</v>
      </c>
      <c r="D12" s="25">
        <f t="shared" si="0"/>
        <v>237</v>
      </c>
    </row>
    <row r="13" spans="1:4" x14ac:dyDescent="0.2">
      <c r="A13" s="10">
        <v>10</v>
      </c>
      <c r="B13" s="11">
        <v>-20998</v>
      </c>
      <c r="C13" s="11">
        <v>-20000</v>
      </c>
      <c r="D13" s="25">
        <f t="shared" si="0"/>
        <v>998</v>
      </c>
    </row>
    <row r="14" spans="1:4" x14ac:dyDescent="0.2">
      <c r="A14" s="10">
        <v>11</v>
      </c>
      <c r="B14" s="11">
        <v>-20735</v>
      </c>
      <c r="C14" s="11">
        <v>-20000</v>
      </c>
      <c r="D14" s="25">
        <f t="shared" si="0"/>
        <v>735</v>
      </c>
    </row>
    <row r="15" spans="1:4" x14ac:dyDescent="0.2">
      <c r="A15" s="10">
        <v>12</v>
      </c>
      <c r="B15" s="11">
        <v>-21003</v>
      </c>
      <c r="C15" s="11">
        <v>-20000</v>
      </c>
      <c r="D15" s="25">
        <f t="shared" si="0"/>
        <v>1003</v>
      </c>
    </row>
    <row r="16" spans="1:4" x14ac:dyDescent="0.2">
      <c r="A16" s="10">
        <v>13</v>
      </c>
      <c r="B16" s="11">
        <v>-20001</v>
      </c>
      <c r="C16" s="11">
        <v>-20000</v>
      </c>
      <c r="D16" s="25">
        <f t="shared" si="0"/>
        <v>1</v>
      </c>
    </row>
    <row r="17" spans="1:4" x14ac:dyDescent="0.2">
      <c r="A17" s="10">
        <v>14</v>
      </c>
      <c r="B17" s="11">
        <v>-19998</v>
      </c>
      <c r="C17" s="11">
        <v>-20000</v>
      </c>
      <c r="D17" s="25">
        <f t="shared" si="0"/>
        <v>-2</v>
      </c>
    </row>
    <row r="18" spans="1:4" x14ac:dyDescent="0.2">
      <c r="A18" s="10">
        <v>15</v>
      </c>
      <c r="B18" s="11">
        <v>-20002</v>
      </c>
      <c r="C18" s="11">
        <v>-19718</v>
      </c>
      <c r="D18" s="25">
        <f t="shared" si="0"/>
        <v>284</v>
      </c>
    </row>
    <row r="19" spans="1:4" x14ac:dyDescent="0.2">
      <c r="A19" s="10">
        <v>16</v>
      </c>
      <c r="B19" s="11">
        <v>-19993</v>
      </c>
      <c r="C19" s="11">
        <v>-19779</v>
      </c>
      <c r="D19" s="25">
        <f t="shared" si="0"/>
        <v>214</v>
      </c>
    </row>
    <row r="20" spans="1:4" x14ac:dyDescent="0.2">
      <c r="A20" s="10">
        <v>17</v>
      </c>
      <c r="B20" s="11">
        <v>-20493</v>
      </c>
      <c r="C20" s="11">
        <v>-20000</v>
      </c>
      <c r="D20" s="25">
        <f t="shared" si="0"/>
        <v>493</v>
      </c>
    </row>
    <row r="21" spans="1:4" x14ac:dyDescent="0.2">
      <c r="A21" s="10">
        <v>18</v>
      </c>
      <c r="B21" s="11">
        <v>-20182</v>
      </c>
      <c r="C21" s="11">
        <v>-20000</v>
      </c>
      <c r="D21" s="25">
        <f t="shared" si="0"/>
        <v>182</v>
      </c>
    </row>
    <row r="22" spans="1:4" x14ac:dyDescent="0.2">
      <c r="A22" s="10">
        <v>19</v>
      </c>
      <c r="B22" s="11">
        <v>-19793</v>
      </c>
      <c r="C22" s="11">
        <v>-19655</v>
      </c>
      <c r="D22" s="25">
        <f t="shared" si="0"/>
        <v>138</v>
      </c>
    </row>
    <row r="23" spans="1:4" x14ac:dyDescent="0.2">
      <c r="A23" s="10">
        <v>20</v>
      </c>
      <c r="B23" s="129">
        <v>-19798</v>
      </c>
      <c r="C23" s="11">
        <v>-19652</v>
      </c>
      <c r="D23" s="25">
        <f t="shared" si="0"/>
        <v>146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-377984</v>
      </c>
      <c r="C35" s="11">
        <f>SUM(C4:C34)</f>
        <v>-368512</v>
      </c>
      <c r="D35" s="11">
        <f>SUM(D4:D34)</f>
        <v>9472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37256</v>
      </c>
      <c r="D38" s="499">
        <v>186823</v>
      </c>
    </row>
    <row r="39" spans="1:4" x14ac:dyDescent="0.2">
      <c r="A39" s="2"/>
      <c r="D39" s="24"/>
    </row>
    <row r="40" spans="1:4" x14ac:dyDescent="0.2">
      <c r="A40" s="57">
        <v>37276</v>
      </c>
      <c r="D40" s="51">
        <f>+D38+D35</f>
        <v>196295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37256</v>
      </c>
      <c r="B45" s="32"/>
      <c r="C45" s="32"/>
      <c r="D45" s="498">
        <v>199813</v>
      </c>
    </row>
    <row r="46" spans="1:4" x14ac:dyDescent="0.2">
      <c r="A46" s="49">
        <f>+A40</f>
        <v>37276</v>
      </c>
      <c r="B46" s="32"/>
      <c r="C46" s="32"/>
      <c r="D46" s="380">
        <f>+D35*'by type_area'!G4</f>
        <v>20270.080000000002</v>
      </c>
    </row>
    <row r="47" spans="1:4" x14ac:dyDescent="0.2">
      <c r="A47" s="32"/>
      <c r="B47" s="32"/>
      <c r="C47" s="32"/>
      <c r="D47" s="200">
        <f>+D46+D45</f>
        <v>220083.08000000002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G40" sqref="G40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3645</v>
      </c>
      <c r="G6" s="11">
        <v>7800</v>
      </c>
      <c r="H6" s="11"/>
      <c r="I6" s="11"/>
      <c r="J6" s="11">
        <f t="shared" si="0"/>
        <v>5848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5612</v>
      </c>
      <c r="G7" s="11">
        <v>7800</v>
      </c>
      <c r="H7" s="11"/>
      <c r="I7" s="11"/>
      <c r="J7" s="11">
        <f t="shared" si="0"/>
        <v>4244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7669</v>
      </c>
      <c r="G8" s="11">
        <v>7800</v>
      </c>
      <c r="H8" s="11"/>
      <c r="I8" s="11"/>
      <c r="J8" s="11">
        <f t="shared" si="0"/>
        <v>-712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7973</v>
      </c>
      <c r="G9" s="11">
        <v>7800</v>
      </c>
      <c r="H9" s="11"/>
      <c r="I9" s="11"/>
      <c r="J9" s="11">
        <f t="shared" si="0"/>
        <v>-432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7892</v>
      </c>
      <c r="G10" s="11">
        <v>7800</v>
      </c>
      <c r="H10" s="11"/>
      <c r="I10" s="11"/>
      <c r="J10" s="11">
        <f t="shared" si="0"/>
        <v>-814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7851</v>
      </c>
      <c r="G11" s="11">
        <v>7800</v>
      </c>
      <c r="H11" s="11"/>
      <c r="I11" s="11"/>
      <c r="J11" s="11">
        <f t="shared" si="0"/>
        <v>159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10910</v>
      </c>
      <c r="C12" s="11">
        <v>10500</v>
      </c>
      <c r="D12" s="11">
        <v>8098</v>
      </c>
      <c r="E12" s="11">
        <v>7800</v>
      </c>
      <c r="F12" s="11">
        <v>7846</v>
      </c>
      <c r="G12" s="11">
        <v>7800</v>
      </c>
      <c r="H12" s="11"/>
      <c r="I12" s="11"/>
      <c r="J12" s="11">
        <f t="shared" si="0"/>
        <v>-754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10835</v>
      </c>
      <c r="C13" s="11">
        <v>10414</v>
      </c>
      <c r="D13" s="11">
        <v>8179</v>
      </c>
      <c r="E13" s="11">
        <v>7800</v>
      </c>
      <c r="F13" s="11">
        <v>7955</v>
      </c>
      <c r="G13" s="11">
        <v>7800</v>
      </c>
      <c r="H13" s="11"/>
      <c r="I13" s="11"/>
      <c r="J13" s="11">
        <f t="shared" si="0"/>
        <v>-955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10923</v>
      </c>
      <c r="C14" s="11">
        <v>10500</v>
      </c>
      <c r="D14" s="11">
        <v>8046</v>
      </c>
      <c r="E14" s="11">
        <v>7800</v>
      </c>
      <c r="F14" s="11">
        <v>7285</v>
      </c>
      <c r="G14" s="11">
        <v>7800</v>
      </c>
      <c r="H14" s="11"/>
      <c r="I14" s="11"/>
      <c r="J14" s="11">
        <f t="shared" si="0"/>
        <v>-154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10260</v>
      </c>
      <c r="C15" s="11">
        <v>10500</v>
      </c>
      <c r="D15" s="11">
        <v>8250</v>
      </c>
      <c r="E15" s="11">
        <v>7800</v>
      </c>
      <c r="F15" s="11">
        <v>7013</v>
      </c>
      <c r="G15" s="11">
        <v>7800</v>
      </c>
      <c r="H15" s="11"/>
      <c r="I15" s="11"/>
      <c r="J15" s="11">
        <f t="shared" si="0"/>
        <v>577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10150</v>
      </c>
      <c r="C16" s="11">
        <v>10500</v>
      </c>
      <c r="D16" s="11">
        <v>8185</v>
      </c>
      <c r="E16" s="11">
        <v>7800</v>
      </c>
      <c r="F16" s="11">
        <v>6965</v>
      </c>
      <c r="G16" s="11">
        <v>7800</v>
      </c>
      <c r="H16" s="11"/>
      <c r="I16" s="11"/>
      <c r="J16" s="11">
        <f t="shared" si="0"/>
        <v>800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9670</v>
      </c>
      <c r="C17" s="11">
        <v>10500</v>
      </c>
      <c r="D17" s="11">
        <v>7899</v>
      </c>
      <c r="E17" s="11">
        <v>7800</v>
      </c>
      <c r="F17" s="11">
        <v>7876</v>
      </c>
      <c r="G17" s="11">
        <v>7800</v>
      </c>
      <c r="H17" s="11"/>
      <c r="I17" s="11"/>
      <c r="J17" s="11">
        <f t="shared" si="0"/>
        <v>655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9743</v>
      </c>
      <c r="C18" s="11">
        <v>10500</v>
      </c>
      <c r="D18" s="11">
        <v>8341</v>
      </c>
      <c r="E18" s="11">
        <v>7800</v>
      </c>
      <c r="F18" s="11">
        <v>4873</v>
      </c>
      <c r="G18" s="11">
        <v>7800</v>
      </c>
      <c r="H18" s="11"/>
      <c r="I18" s="11"/>
      <c r="J18" s="11">
        <f t="shared" si="0"/>
        <v>3143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9410</v>
      </c>
      <c r="C19" s="11">
        <v>9350</v>
      </c>
      <c r="D19" s="11">
        <v>8114</v>
      </c>
      <c r="E19" s="11">
        <v>7517</v>
      </c>
      <c r="F19" s="11">
        <v>7114</v>
      </c>
      <c r="G19" s="11">
        <v>6967</v>
      </c>
      <c r="H19" s="11"/>
      <c r="I19" s="11"/>
      <c r="J19" s="11">
        <f t="shared" si="0"/>
        <v>-804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10064</v>
      </c>
      <c r="C20" s="11">
        <v>9700</v>
      </c>
      <c r="D20" s="11">
        <v>7780</v>
      </c>
      <c r="E20" s="11">
        <v>7900</v>
      </c>
      <c r="F20" s="11">
        <v>8219</v>
      </c>
      <c r="G20" s="11">
        <v>7400</v>
      </c>
      <c r="H20" s="11"/>
      <c r="I20" s="11"/>
      <c r="J20" s="11">
        <f t="shared" si="0"/>
        <v>-1063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9644</v>
      </c>
      <c r="C21" s="11">
        <v>9700</v>
      </c>
      <c r="D21" s="11">
        <v>7586</v>
      </c>
      <c r="E21" s="11">
        <v>7900</v>
      </c>
      <c r="F21" s="11">
        <v>8311</v>
      </c>
      <c r="G21" s="11">
        <v>6400</v>
      </c>
      <c r="H21" s="11"/>
      <c r="I21" s="11"/>
      <c r="J21" s="11">
        <f t="shared" si="0"/>
        <v>-1541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9194</v>
      </c>
      <c r="C22" s="11">
        <v>9000</v>
      </c>
      <c r="D22" s="11">
        <v>8104</v>
      </c>
      <c r="E22" s="11">
        <v>8000</v>
      </c>
      <c r="F22" s="11">
        <v>7883</v>
      </c>
      <c r="G22" s="11">
        <v>7000</v>
      </c>
      <c r="H22" s="11"/>
      <c r="I22" s="11"/>
      <c r="J22" s="11">
        <f t="shared" si="0"/>
        <v>-1181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9281</v>
      </c>
      <c r="C23" s="11">
        <v>9000</v>
      </c>
      <c r="D23" s="11">
        <v>8051</v>
      </c>
      <c r="E23" s="11">
        <v>8000</v>
      </c>
      <c r="F23" s="11">
        <v>12314</v>
      </c>
      <c r="G23" s="11">
        <v>7000</v>
      </c>
      <c r="H23" s="11"/>
      <c r="I23" s="11"/>
      <c r="J23" s="11">
        <f t="shared" si="0"/>
        <v>-5646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204548</v>
      </c>
      <c r="C35" s="11">
        <f t="shared" ref="C35:I35" si="1">SUM(C4:C34)</f>
        <v>208164</v>
      </c>
      <c r="D35" s="11">
        <f t="shared" si="1"/>
        <v>161236</v>
      </c>
      <c r="E35" s="11">
        <f t="shared" si="1"/>
        <v>160317</v>
      </c>
      <c r="F35" s="11">
        <f t="shared" si="1"/>
        <v>134366</v>
      </c>
      <c r="G35" s="11">
        <f t="shared" si="1"/>
        <v>151767</v>
      </c>
      <c r="H35" s="11">
        <f t="shared" si="1"/>
        <v>0</v>
      </c>
      <c r="I35" s="11">
        <f t="shared" si="1"/>
        <v>0</v>
      </c>
      <c r="J35" s="11">
        <f>SUM(J4:J34)</f>
        <v>20098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2.14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43009.72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37256</v>
      </c>
      <c r="C39" s="25"/>
      <c r="E39" s="25"/>
      <c r="G39" s="25"/>
      <c r="I39" s="25"/>
      <c r="J39" s="542">
        <v>4536.21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22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37276</v>
      </c>
      <c r="J41" s="322">
        <f>+J39+J37</f>
        <v>47545.93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37256</v>
      </c>
      <c r="B46" s="32"/>
      <c r="C46" s="32"/>
      <c r="D46" s="532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37276</v>
      </c>
      <c r="B47" s="32"/>
      <c r="C47" s="32"/>
      <c r="D47" s="355">
        <f>+J35</f>
        <v>20098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-105440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332</v>
      </c>
      <c r="H4" s="14" t="s">
        <v>331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330</v>
      </c>
      <c r="I5" s="14" t="s">
        <v>333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-5234</v>
      </c>
      <c r="C6" s="24">
        <v>-5000</v>
      </c>
      <c r="D6" s="24">
        <f>+G6+H6+I6</f>
        <v>-14155</v>
      </c>
      <c r="E6" s="24">
        <v>-21274</v>
      </c>
      <c r="F6" s="24">
        <f>+C6+E6-B6-D6</f>
        <v>-6885</v>
      </c>
      <c r="G6" s="14">
        <v>-14149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-5328</v>
      </c>
      <c r="C7" s="24">
        <v>-5000</v>
      </c>
      <c r="D7" s="24">
        <f t="shared" ref="D7:D36" si="0">+G7+H7+I7</f>
        <v>-21286</v>
      </c>
      <c r="E7" s="24">
        <v>-21274</v>
      </c>
      <c r="F7" s="24">
        <f t="shared" ref="F7:F36" si="1">+C7+E7-B7-D7</f>
        <v>340</v>
      </c>
      <c r="G7" s="206">
        <v>-21280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-12230</v>
      </c>
      <c r="E8" s="24">
        <v>-11843</v>
      </c>
      <c r="F8" s="24">
        <f t="shared" si="1"/>
        <v>387</v>
      </c>
      <c r="G8" s="206">
        <v>-12124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-23517</v>
      </c>
      <c r="E9" s="24">
        <v>-23304</v>
      </c>
      <c r="F9" s="24">
        <f t="shared" si="1"/>
        <v>213</v>
      </c>
      <c r="G9" s="206">
        <v>-3519</v>
      </c>
      <c r="H9" s="14">
        <v>-19999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-14568</v>
      </c>
      <c r="E10" s="24">
        <v>-14046</v>
      </c>
      <c r="F10" s="24">
        <f t="shared" si="1"/>
        <v>522</v>
      </c>
      <c r="G10" s="206">
        <v>0</v>
      </c>
      <c r="H10" s="14">
        <v>-14568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-10066</v>
      </c>
      <c r="E11" s="24">
        <v>-14442</v>
      </c>
      <c r="F11" s="24">
        <f t="shared" si="1"/>
        <v>-4376</v>
      </c>
      <c r="G11" s="206">
        <v>0</v>
      </c>
      <c r="H11" s="14">
        <v>-10070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-18440</v>
      </c>
      <c r="E12" s="24">
        <v>-14046</v>
      </c>
      <c r="F12" s="24">
        <f t="shared" si="1"/>
        <v>4394</v>
      </c>
      <c r="G12" s="206">
        <v>-18440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-4424</v>
      </c>
      <c r="E13" s="24">
        <v>-40692</v>
      </c>
      <c r="F13" s="24">
        <f t="shared" si="1"/>
        <v>-36268</v>
      </c>
      <c r="G13" s="206">
        <v>-4423</v>
      </c>
      <c r="H13" s="14">
        <v>-1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-15474</v>
      </c>
      <c r="F14" s="24">
        <f t="shared" si="1"/>
        <v>-15474</v>
      </c>
      <c r="G14" s="206"/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-28</v>
      </c>
      <c r="E15" s="24">
        <v>-15473</v>
      </c>
      <c r="F15" s="24">
        <f t="shared" si="1"/>
        <v>-15445</v>
      </c>
      <c r="G15" s="206"/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-25154</v>
      </c>
      <c r="E16" s="24">
        <v>-25367</v>
      </c>
      <c r="F16" s="24">
        <f t="shared" si="1"/>
        <v>-213</v>
      </c>
      <c r="G16" s="206"/>
      <c r="H16" s="14">
        <v>-25154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-8</v>
      </c>
      <c r="E17" s="24">
        <v>-5474</v>
      </c>
      <c r="F17" s="24">
        <f t="shared" si="1"/>
        <v>-5466</v>
      </c>
      <c r="G17" s="206"/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-11554</v>
      </c>
      <c r="E18" s="24">
        <v>-5474</v>
      </c>
      <c r="F18" s="24">
        <f t="shared" si="1"/>
        <v>6080</v>
      </c>
      <c r="G18" s="206"/>
      <c r="H18" s="14">
        <v>-11554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0</v>
      </c>
      <c r="E19" s="24"/>
      <c r="F19" s="24">
        <f t="shared" si="1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0</v>
      </c>
      <c r="E20" s="24"/>
      <c r="F20" s="24">
        <f t="shared" si="1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0</v>
      </c>
      <c r="E21" s="24"/>
      <c r="F21" s="24">
        <f t="shared" si="1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4"/>
      <c r="F22" s="24">
        <f t="shared" si="1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4"/>
      <c r="F23" s="24">
        <f t="shared" si="1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4"/>
      <c r="F24" s="24">
        <f t="shared" si="1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4"/>
      <c r="F25" s="24">
        <f t="shared" si="1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4"/>
      <c r="F26" s="24">
        <f t="shared" si="1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4"/>
      <c r="F27" s="24">
        <f t="shared" si="1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4"/>
      <c r="F28" s="24">
        <f t="shared" si="1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4"/>
      <c r="F29" s="24">
        <f t="shared" si="1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-10562</v>
      </c>
      <c r="C37" s="24">
        <f>SUM(C6:C36)</f>
        <v>-10000</v>
      </c>
      <c r="D37" s="24">
        <f>SUM(D6:D36)</f>
        <v>-155430</v>
      </c>
      <c r="E37" s="24">
        <f>SUM(E6:E36)</f>
        <v>-228183</v>
      </c>
      <c r="F37" s="24">
        <f>SUM(F6:F36)</f>
        <v>-72191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2.14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-154488.74000000002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E40" s="14"/>
      <c r="F40" s="531">
        <v>417969.39</v>
      </c>
      <c r="G40" s="447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37268</v>
      </c>
      <c r="E41" s="14"/>
      <c r="F41" s="104">
        <f>+F40+F39</f>
        <v>263480.65000000002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>
        <f>+F41/2.01</f>
        <v>131084.90049751246</v>
      </c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37268</v>
      </c>
      <c r="B47" s="32"/>
      <c r="C47" s="32"/>
      <c r="D47" s="355">
        <f>+F37</f>
        <v>-72191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-67067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6" workbookViewId="0">
      <selection activeCell="A43" sqref="A43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5"/>
    </row>
    <row r="18" spans="1:10" x14ac:dyDescent="0.2">
      <c r="A18" s="10">
        <v>11</v>
      </c>
      <c r="B18" s="11"/>
      <c r="C18" s="11"/>
      <c r="D18" s="11"/>
      <c r="E18" s="11">
        <v>200</v>
      </c>
      <c r="F18" s="25">
        <f t="shared" si="0"/>
        <v>200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>
        <v>3000</v>
      </c>
      <c r="F24" s="25">
        <f t="shared" si="0"/>
        <v>3000</v>
      </c>
    </row>
    <row r="25" spans="1:10" x14ac:dyDescent="0.2">
      <c r="A25" s="10">
        <v>18</v>
      </c>
      <c r="B25" s="11"/>
      <c r="C25" s="11"/>
      <c r="D25" s="11"/>
      <c r="E25" s="11">
        <v>3000</v>
      </c>
      <c r="F25" s="25">
        <f t="shared" si="0"/>
        <v>3000</v>
      </c>
    </row>
    <row r="26" spans="1:10" x14ac:dyDescent="0.2">
      <c r="A26" s="10">
        <v>19</v>
      </c>
      <c r="B26" s="11"/>
      <c r="C26" s="11"/>
      <c r="D26" s="11"/>
      <c r="E26" s="11">
        <v>3000</v>
      </c>
      <c r="F26" s="25">
        <f t="shared" si="0"/>
        <v>3000</v>
      </c>
    </row>
    <row r="27" spans="1:10" x14ac:dyDescent="0.2">
      <c r="A27" s="10">
        <v>20</v>
      </c>
      <c r="B27" s="11"/>
      <c r="C27" s="11"/>
      <c r="D27" s="11"/>
      <c r="E27" s="11">
        <v>3000</v>
      </c>
      <c r="F27" s="25">
        <f t="shared" si="0"/>
        <v>3000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12200</v>
      </c>
      <c r="F39" s="25">
        <f>SUM(F8:F38)</f>
        <v>12200</v>
      </c>
    </row>
    <row r="40" spans="1:6" x14ac:dyDescent="0.2">
      <c r="A40" s="26"/>
      <c r="C40" s="14"/>
      <c r="F40" s="253">
        <f>+summary!G4</f>
        <v>2.14</v>
      </c>
    </row>
    <row r="41" spans="1:6" x14ac:dyDescent="0.2">
      <c r="F41" s="138">
        <f>+F40*F39</f>
        <v>26108</v>
      </c>
    </row>
    <row r="42" spans="1:6" x14ac:dyDescent="0.2">
      <c r="A42" s="57">
        <v>37256</v>
      </c>
      <c r="C42" s="15"/>
      <c r="F42" s="501">
        <v>34262</v>
      </c>
    </row>
    <row r="43" spans="1:6" x14ac:dyDescent="0.2">
      <c r="A43" s="57">
        <v>37276</v>
      </c>
      <c r="C43" s="48"/>
      <c r="F43" s="138">
        <f>+F42+F41</f>
        <v>60370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37256</v>
      </c>
      <c r="B48" s="32"/>
      <c r="C48" s="32"/>
      <c r="D48" s="496">
        <v>748</v>
      </c>
    </row>
    <row r="49" spans="1:4" x14ac:dyDescent="0.2">
      <c r="A49" s="49">
        <f>+A43</f>
        <v>37276</v>
      </c>
      <c r="B49" s="32"/>
      <c r="C49" s="32"/>
      <c r="D49" s="355">
        <f>+F39</f>
        <v>12200</v>
      </c>
    </row>
    <row r="50" spans="1:4" x14ac:dyDescent="0.2">
      <c r="A50" s="32"/>
      <c r="B50" s="32"/>
      <c r="C50" s="32"/>
      <c r="D50" s="14">
        <f>+D49+D48</f>
        <v>12948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7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>
        <v>1259</v>
      </c>
      <c r="D17" s="25">
        <f t="shared" si="0"/>
        <v>1259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1259</v>
      </c>
      <c r="D39" s="25">
        <f>SUM(D8:D38)</f>
        <v>1259</v>
      </c>
    </row>
    <row r="40" spans="1:4" x14ac:dyDescent="0.2">
      <c r="A40" s="26"/>
      <c r="C40" s="14"/>
      <c r="D40" s="455"/>
    </row>
    <row r="41" spans="1:4" x14ac:dyDescent="0.2">
      <c r="A41" s="57">
        <v>37256</v>
      </c>
      <c r="C41" s="15"/>
      <c r="D41" s="462">
        <v>16328</v>
      </c>
    </row>
    <row r="42" spans="1:4" x14ac:dyDescent="0.2">
      <c r="A42" s="57">
        <v>37276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37256</v>
      </c>
      <c r="B47" s="32"/>
      <c r="C47" s="32"/>
      <c r="D47" s="466">
        <v>383278</v>
      </c>
    </row>
    <row r="48" spans="1:4" x14ac:dyDescent="0.2">
      <c r="A48" s="49">
        <f>+A42</f>
        <v>37276</v>
      </c>
      <c r="B48" s="32"/>
      <c r="C48" s="32"/>
      <c r="D48" s="380">
        <f>+D39*summary!G4</f>
        <v>2694.26</v>
      </c>
    </row>
    <row r="49" spans="1:4" x14ac:dyDescent="0.2">
      <c r="A49" s="32"/>
      <c r="B49" s="32"/>
      <c r="C49" s="32"/>
      <c r="D49" s="200">
        <f>+D48+D47</f>
        <v>385972.26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3" workbookViewId="0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7" t="s">
        <v>57</v>
      </c>
      <c r="L6" s="189"/>
      <c r="M6" s="2"/>
      <c r="N6" s="34"/>
    </row>
    <row r="7" spans="1:14" x14ac:dyDescent="0.2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8" t="s">
        <v>19</v>
      </c>
      <c r="I7" s="418" t="s">
        <v>20</v>
      </c>
      <c r="J7" s="419" t="s">
        <v>49</v>
      </c>
      <c r="K7" s="417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7">
        <v>5.62</v>
      </c>
      <c r="L8" s="422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7">
        <v>4.9800000000000004</v>
      </c>
      <c r="L9" s="422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7">
        <v>4.87</v>
      </c>
      <c r="L10" s="422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7">
        <v>3.82</v>
      </c>
      <c r="L11" s="422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7">
        <v>3.2</v>
      </c>
      <c r="L12" s="422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-85134</v>
      </c>
      <c r="C13" s="11">
        <v>-87137</v>
      </c>
      <c r="D13" s="25">
        <f t="shared" si="0"/>
        <v>-2003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7">
        <v>2.77</v>
      </c>
      <c r="L13" s="422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-85234</v>
      </c>
      <c r="C14" s="11">
        <v>-101799</v>
      </c>
      <c r="D14" s="25">
        <f t="shared" si="0"/>
        <v>-16565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7">
        <v>2.77</v>
      </c>
      <c r="L14" s="422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-87361</v>
      </c>
      <c r="C15" s="11">
        <v>-95299</v>
      </c>
      <c r="D15" s="25">
        <f t="shared" si="0"/>
        <v>-7938</v>
      </c>
      <c r="G15" s="443"/>
      <c r="H15" s="119"/>
      <c r="I15" s="119"/>
      <c r="J15" s="119"/>
      <c r="K15" s="417"/>
      <c r="L15" s="422"/>
      <c r="M15" s="104"/>
      <c r="N15" s="34"/>
    </row>
    <row r="16" spans="1:14" ht="15" customHeight="1" x14ac:dyDescent="0.2">
      <c r="A16" s="10">
        <v>11</v>
      </c>
      <c r="B16" s="11">
        <v>-89069</v>
      </c>
      <c r="C16" s="11">
        <v>-85299</v>
      </c>
      <c r="D16" s="25">
        <f t="shared" si="0"/>
        <v>3770</v>
      </c>
      <c r="G16" s="444"/>
      <c r="H16" s="34"/>
      <c r="I16" s="34"/>
      <c r="J16" s="189"/>
      <c r="K16" s="417"/>
      <c r="L16" s="189"/>
      <c r="M16" s="2"/>
      <c r="N16" s="34"/>
    </row>
    <row r="17" spans="1:14" ht="15" customHeight="1" x14ac:dyDescent="0.2">
      <c r="A17" s="10">
        <v>12</v>
      </c>
      <c r="B17" s="11">
        <v>-86933</v>
      </c>
      <c r="C17" s="11">
        <v>-86648</v>
      </c>
      <c r="D17" s="25">
        <f t="shared" si="0"/>
        <v>285</v>
      </c>
      <c r="G17" s="444"/>
      <c r="H17" s="34"/>
      <c r="I17" s="34"/>
      <c r="J17" s="310">
        <f>SUM(J8:J16)</f>
        <v>130492</v>
      </c>
      <c r="K17" s="417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-85505</v>
      </c>
      <c r="C18" s="11">
        <v>-85277</v>
      </c>
      <c r="D18" s="25">
        <f t="shared" si="0"/>
        <v>228</v>
      </c>
      <c r="G18" s="34"/>
      <c r="H18" s="34"/>
      <c r="I18" s="34"/>
      <c r="J18" s="189"/>
      <c r="K18" s="417"/>
      <c r="L18" s="189"/>
      <c r="M18" s="2"/>
      <c r="N18" s="34"/>
    </row>
    <row r="19" spans="1:14" x14ac:dyDescent="0.2">
      <c r="A19" s="10">
        <v>14</v>
      </c>
      <c r="B19" s="11">
        <v>-88136</v>
      </c>
      <c r="C19" s="11">
        <v>-85286</v>
      </c>
      <c r="D19" s="25">
        <f t="shared" si="0"/>
        <v>2850</v>
      </c>
      <c r="G19" s="118" t="s">
        <v>184</v>
      </c>
      <c r="H19" s="119">
        <f>+B37</f>
        <v>-1576475</v>
      </c>
      <c r="I19" s="119">
        <f>+C37</f>
        <v>-1633484</v>
      </c>
      <c r="J19" s="119">
        <f>+I19-H19</f>
        <v>-57009</v>
      </c>
      <c r="K19" s="417">
        <f>+D38</f>
        <v>2.14</v>
      </c>
      <c r="L19" s="422">
        <f>+K19*J19</f>
        <v>-121999.26000000001</v>
      </c>
      <c r="M19" s="2"/>
      <c r="N19" s="34"/>
    </row>
    <row r="20" spans="1:14" x14ac:dyDescent="0.2">
      <c r="A20" s="10">
        <v>15</v>
      </c>
      <c r="B20" s="11">
        <v>-88250</v>
      </c>
      <c r="C20" s="11">
        <v>-90299</v>
      </c>
      <c r="D20" s="25">
        <f t="shared" si="0"/>
        <v>-2049</v>
      </c>
      <c r="G20" s="118"/>
      <c r="H20" s="119"/>
      <c r="I20" s="119"/>
      <c r="J20" s="119"/>
      <c r="K20" s="417"/>
      <c r="L20" s="422"/>
      <c r="M20" s="2"/>
      <c r="N20" s="34"/>
    </row>
    <row r="21" spans="1:14" x14ac:dyDescent="0.2">
      <c r="A21" s="10">
        <v>16</v>
      </c>
      <c r="B21" s="11">
        <v>-81967</v>
      </c>
      <c r="C21" s="11">
        <v>-85299</v>
      </c>
      <c r="D21" s="25">
        <f t="shared" si="0"/>
        <v>-3332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-57277</v>
      </c>
      <c r="C22" s="11">
        <v>-85299</v>
      </c>
      <c r="D22" s="25">
        <f t="shared" si="0"/>
        <v>-28022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-44766</v>
      </c>
      <c r="C23" s="11">
        <v>-62649</v>
      </c>
      <c r="D23" s="25">
        <f t="shared" si="0"/>
        <v>-17883</v>
      </c>
      <c r="G23" s="101"/>
      <c r="H23" s="24"/>
      <c r="I23" s="24"/>
      <c r="J23" s="110"/>
      <c r="K23" s="413"/>
      <c r="L23" s="110"/>
      <c r="M23" s="2"/>
      <c r="N23" s="34"/>
    </row>
    <row r="24" spans="1:14" x14ac:dyDescent="0.2">
      <c r="A24" s="10">
        <v>19</v>
      </c>
      <c r="B24" s="129">
        <v>-44717</v>
      </c>
      <c r="C24" s="11">
        <v>-50000</v>
      </c>
      <c r="D24" s="25">
        <f t="shared" si="0"/>
        <v>-5283</v>
      </c>
      <c r="G24" s="2" t="s">
        <v>185</v>
      </c>
      <c r="H24" s="24"/>
      <c r="I24" s="24"/>
      <c r="J24" s="24">
        <f>+J19+J17</f>
        <v>73483</v>
      </c>
      <c r="K24" s="413"/>
      <c r="L24" s="110">
        <f>+L19+L17</f>
        <v>-40314.160000000178</v>
      </c>
      <c r="M24" s="2"/>
      <c r="N24" s="34"/>
    </row>
    <row r="25" spans="1:14" x14ac:dyDescent="0.2">
      <c r="A25" s="10">
        <v>20</v>
      </c>
      <c r="B25" s="129">
        <v>-43786</v>
      </c>
      <c r="C25" s="11">
        <v>-50000</v>
      </c>
      <c r="D25" s="25">
        <f t="shared" si="0"/>
        <v>-6214</v>
      </c>
      <c r="G25" s="2"/>
      <c r="H25" s="24"/>
      <c r="I25" s="24"/>
      <c r="J25" s="110"/>
      <c r="K25" s="413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13"/>
      <c r="L26" s="24">
        <f>+L24/K19</f>
        <v>-18838.392523364568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13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13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-1576475</v>
      </c>
      <c r="C37" s="11">
        <f>SUM(C6:C36)</f>
        <v>-1633484</v>
      </c>
      <c r="D37" s="25">
        <f>SUM(D6:D36)</f>
        <v>-57009</v>
      </c>
    </row>
    <row r="38" spans="1:4" x14ac:dyDescent="0.2">
      <c r="A38" s="26"/>
      <c r="C38" s="14"/>
      <c r="D38" s="329">
        <f>+summary!G4</f>
        <v>2.14</v>
      </c>
    </row>
    <row r="39" spans="1:4" x14ac:dyDescent="0.2">
      <c r="D39" s="138">
        <f>+D38*D37</f>
        <v>-121999.26000000001</v>
      </c>
    </row>
    <row r="40" spans="1:4" x14ac:dyDescent="0.2">
      <c r="A40" s="57">
        <v>37256</v>
      </c>
      <c r="C40" s="15"/>
      <c r="D40" s="537">
        <v>178976.97</v>
      </c>
    </row>
    <row r="41" spans="1:4" x14ac:dyDescent="0.2">
      <c r="A41" s="57">
        <v>37276</v>
      </c>
      <c r="C41" s="48"/>
      <c r="D41" s="138">
        <f>+D40+D39</f>
        <v>56977.709999999992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32">
        <v>173146</v>
      </c>
    </row>
    <row r="46" spans="1:4" x14ac:dyDescent="0.2">
      <c r="A46" s="49">
        <f>+A41</f>
        <v>37276</v>
      </c>
      <c r="B46" s="32"/>
      <c r="C46" s="32"/>
      <c r="D46" s="355">
        <f>+D37</f>
        <v>-57009</v>
      </c>
    </row>
    <row r="47" spans="1:4" x14ac:dyDescent="0.2">
      <c r="A47" s="32"/>
      <c r="B47" s="32"/>
      <c r="C47" s="32"/>
      <c r="D47" s="14">
        <f>+D46+D45</f>
        <v>116137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34" workbookViewId="0">
      <selection activeCell="A42" sqref="A42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">
      <c r="A14" s="10">
        <v>9</v>
      </c>
      <c r="B14" s="129">
        <v>31999</v>
      </c>
      <c r="C14" s="11">
        <v>32012</v>
      </c>
      <c r="D14" s="25">
        <f t="shared" si="0"/>
        <v>13</v>
      </c>
    </row>
    <row r="15" spans="1:5" x14ac:dyDescent="0.2">
      <c r="A15" s="10">
        <v>10</v>
      </c>
      <c r="B15" s="129">
        <v>33291</v>
      </c>
      <c r="C15" s="11">
        <v>32013</v>
      </c>
      <c r="D15" s="25">
        <f t="shared" si="0"/>
        <v>-1278</v>
      </c>
    </row>
    <row r="16" spans="1:5" x14ac:dyDescent="0.2">
      <c r="A16" s="10">
        <v>11</v>
      </c>
      <c r="B16" s="129">
        <v>35895</v>
      </c>
      <c r="C16" s="11">
        <v>32013</v>
      </c>
      <c r="D16" s="25">
        <f t="shared" si="0"/>
        <v>-3882</v>
      </c>
    </row>
    <row r="17" spans="1:4" x14ac:dyDescent="0.2">
      <c r="A17" s="10">
        <v>12</v>
      </c>
      <c r="B17" s="129">
        <v>33881</v>
      </c>
      <c r="C17" s="11">
        <v>32013</v>
      </c>
      <c r="D17" s="25">
        <f t="shared" si="0"/>
        <v>-1868</v>
      </c>
    </row>
    <row r="18" spans="1:4" x14ac:dyDescent="0.2">
      <c r="A18" s="10">
        <v>13</v>
      </c>
      <c r="B18" s="129">
        <v>34615</v>
      </c>
      <c r="C18" s="11">
        <v>32013</v>
      </c>
      <c r="D18" s="25">
        <f t="shared" si="0"/>
        <v>-2602</v>
      </c>
    </row>
    <row r="19" spans="1:4" x14ac:dyDescent="0.2">
      <c r="A19" s="10">
        <v>14</v>
      </c>
      <c r="B19" s="129">
        <v>33685</v>
      </c>
      <c r="C19" s="11">
        <v>32013</v>
      </c>
      <c r="D19" s="25">
        <f t="shared" si="0"/>
        <v>-1672</v>
      </c>
    </row>
    <row r="20" spans="1:4" x14ac:dyDescent="0.2">
      <c r="A20" s="10">
        <v>15</v>
      </c>
      <c r="B20" s="129">
        <v>25246</v>
      </c>
      <c r="C20" s="11">
        <v>32013</v>
      </c>
      <c r="D20" s="25">
        <f t="shared" si="0"/>
        <v>6767</v>
      </c>
    </row>
    <row r="21" spans="1:4" x14ac:dyDescent="0.2">
      <c r="A21" s="10">
        <v>16</v>
      </c>
      <c r="B21" s="11">
        <v>37058</v>
      </c>
      <c r="C21" s="11">
        <v>31127</v>
      </c>
      <c r="D21" s="25">
        <f t="shared" si="0"/>
        <v>-5931</v>
      </c>
    </row>
    <row r="22" spans="1:4" x14ac:dyDescent="0.2">
      <c r="A22" s="10">
        <v>17</v>
      </c>
      <c r="B22" s="11">
        <v>36319</v>
      </c>
      <c r="C22" s="11">
        <v>31127</v>
      </c>
      <c r="D22" s="25">
        <f t="shared" si="0"/>
        <v>-5192</v>
      </c>
    </row>
    <row r="23" spans="1:4" x14ac:dyDescent="0.2">
      <c r="A23" s="10">
        <v>18</v>
      </c>
      <c r="B23" s="11">
        <v>32175</v>
      </c>
      <c r="C23" s="11">
        <v>31127</v>
      </c>
      <c r="D23" s="25">
        <f t="shared" si="0"/>
        <v>-1048</v>
      </c>
    </row>
    <row r="24" spans="1:4" x14ac:dyDescent="0.2">
      <c r="A24" s="10">
        <v>19</v>
      </c>
      <c r="B24" s="11">
        <v>30143</v>
      </c>
      <c r="C24" s="11">
        <v>28727</v>
      </c>
      <c r="D24" s="25">
        <f t="shared" si="0"/>
        <v>-1416</v>
      </c>
    </row>
    <row r="25" spans="1:4" x14ac:dyDescent="0.2">
      <c r="A25" s="10">
        <v>20</v>
      </c>
      <c r="B25" s="11">
        <v>27997</v>
      </c>
      <c r="C25" s="11">
        <v>28727</v>
      </c>
      <c r="D25" s="25">
        <f t="shared" si="0"/>
        <v>730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629547</v>
      </c>
      <c r="C37" s="11">
        <f>SUM(C6:C36)</f>
        <v>622968</v>
      </c>
      <c r="D37" s="25">
        <f>SUM(D6:D36)</f>
        <v>-6579</v>
      </c>
    </row>
    <row r="38" spans="1:4" x14ac:dyDescent="0.2">
      <c r="A38" s="26"/>
      <c r="B38" s="31"/>
      <c r="C38" s="14"/>
      <c r="D38" s="329">
        <f>+summary!G5</f>
        <v>2.15</v>
      </c>
    </row>
    <row r="39" spans="1:4" x14ac:dyDescent="0.2">
      <c r="D39" s="138">
        <f>+D38*D37</f>
        <v>-14144.849999999999</v>
      </c>
    </row>
    <row r="40" spans="1:4" x14ac:dyDescent="0.2">
      <c r="A40" s="57">
        <v>37256</v>
      </c>
      <c r="C40" s="15"/>
      <c r="D40" s="537">
        <v>85001.93</v>
      </c>
    </row>
    <row r="41" spans="1:4" x14ac:dyDescent="0.2">
      <c r="A41" s="57">
        <v>37276</v>
      </c>
      <c r="C41" s="48"/>
      <c r="D41" s="138">
        <f>+D40+D39</f>
        <v>70857.079999999987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32">
        <v>54581</v>
      </c>
    </row>
    <row r="46" spans="1:4" x14ac:dyDescent="0.2">
      <c r="A46" s="49">
        <f>+A41</f>
        <v>37276</v>
      </c>
      <c r="B46" s="32"/>
      <c r="C46" s="32"/>
      <c r="D46" s="355">
        <f>+D37</f>
        <v>-6579</v>
      </c>
    </row>
    <row r="47" spans="1:4" x14ac:dyDescent="0.2">
      <c r="A47" s="32"/>
      <c r="B47" s="32"/>
      <c r="C47" s="32"/>
      <c r="D47" s="14">
        <f>+D46+D45</f>
        <v>48002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6" workbookViewId="0">
      <selection activeCell="A40" sqref="A40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12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4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11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11" t="s">
        <v>39</v>
      </c>
      <c r="N4" s="4" t="s">
        <v>19</v>
      </c>
      <c r="O4" s="4" t="s">
        <v>20</v>
      </c>
      <c r="P4" s="409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251</v>
      </c>
      <c r="N5" s="14"/>
      <c r="O5" s="14"/>
      <c r="P5" s="14">
        <v>-34361</v>
      </c>
      <c r="Q5" s="364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11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4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11">
        <v>36892</v>
      </c>
      <c r="N7" s="24">
        <v>18949781</v>
      </c>
      <c r="O7" s="14">
        <v>18975457</v>
      </c>
      <c r="P7" s="14">
        <f t="shared" si="1"/>
        <v>25676</v>
      </c>
      <c r="Q7" s="364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11">
        <v>36923</v>
      </c>
      <c r="N8" s="24">
        <v>15256233</v>
      </c>
      <c r="O8" s="14">
        <v>15290953</v>
      </c>
      <c r="P8" s="14">
        <f t="shared" si="1"/>
        <v>34720</v>
      </c>
      <c r="Q8" s="364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11">
        <v>36951</v>
      </c>
      <c r="N9" s="24">
        <v>17049350</v>
      </c>
      <c r="O9" s="14">
        <v>17089226</v>
      </c>
      <c r="P9" s="14">
        <f t="shared" si="1"/>
        <v>39876</v>
      </c>
      <c r="Q9" s="364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11">
        <v>36982</v>
      </c>
      <c r="N10" s="24">
        <v>17652369</v>
      </c>
      <c r="O10" s="14">
        <v>17743987</v>
      </c>
      <c r="P10" s="14">
        <f t="shared" si="1"/>
        <v>91618</v>
      </c>
      <c r="Q10" s="364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105839</v>
      </c>
      <c r="I11" s="11">
        <v>117742</v>
      </c>
      <c r="J11" s="11">
        <f t="shared" si="0"/>
        <v>13137</v>
      </c>
      <c r="M11" s="411">
        <v>37012</v>
      </c>
      <c r="N11" s="24">
        <v>16124989</v>
      </c>
      <c r="O11" s="14">
        <v>16282021</v>
      </c>
      <c r="P11" s="14">
        <f t="shared" si="1"/>
        <v>157032</v>
      </c>
      <c r="Q11" s="364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292995</v>
      </c>
      <c r="C12" s="11">
        <v>286176</v>
      </c>
      <c r="D12" s="11">
        <v>41960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-6881</v>
      </c>
      <c r="M12" s="411">
        <v>37043</v>
      </c>
      <c r="N12" s="24">
        <v>15928675</v>
      </c>
      <c r="O12" s="14">
        <v>15936227</v>
      </c>
      <c r="P12" s="14">
        <f t="shared" si="1"/>
        <v>7552</v>
      </c>
      <c r="Q12" s="364">
        <v>2.58</v>
      </c>
      <c r="R12" s="200">
        <f t="shared" si="2"/>
        <v>19484.16</v>
      </c>
      <c r="S12" s="488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316062</v>
      </c>
      <c r="C13" s="11">
        <v>311012</v>
      </c>
      <c r="D13" s="129">
        <v>41004</v>
      </c>
      <c r="E13" s="11">
        <v>38434</v>
      </c>
      <c r="F13" s="129">
        <v>42602</v>
      </c>
      <c r="G13" s="11">
        <v>43615</v>
      </c>
      <c r="H13" s="129">
        <v>130628</v>
      </c>
      <c r="I13" s="11">
        <v>126730</v>
      </c>
      <c r="J13" s="11">
        <f t="shared" si="0"/>
        <v>-10505</v>
      </c>
      <c r="M13" s="411">
        <v>37073</v>
      </c>
      <c r="N13" s="24">
        <v>16669639</v>
      </c>
      <c r="O13" s="14">
        <v>16693576</v>
      </c>
      <c r="P13" s="14">
        <f t="shared" si="1"/>
        <v>23937</v>
      </c>
      <c r="Q13" s="364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312745</v>
      </c>
      <c r="C14" s="11">
        <v>310787</v>
      </c>
      <c r="D14" s="11">
        <v>40954</v>
      </c>
      <c r="E14" s="11">
        <v>39920</v>
      </c>
      <c r="F14" s="11">
        <v>42342</v>
      </c>
      <c r="G14" s="11">
        <v>43615</v>
      </c>
      <c r="H14" s="11">
        <v>120871</v>
      </c>
      <c r="I14" s="11">
        <v>118898</v>
      </c>
      <c r="J14" s="11">
        <f t="shared" si="0"/>
        <v>-3692</v>
      </c>
      <c r="M14" s="411">
        <v>37104</v>
      </c>
      <c r="N14" s="24">
        <v>17850737</v>
      </c>
      <c r="O14" s="14">
        <v>17815859</v>
      </c>
      <c r="P14" s="14">
        <f>+O14-N14</f>
        <v>-34878</v>
      </c>
      <c r="Q14" s="364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318188</v>
      </c>
      <c r="C15" s="11">
        <v>317298</v>
      </c>
      <c r="D15" s="11">
        <v>40993</v>
      </c>
      <c r="E15" s="11">
        <v>39423</v>
      </c>
      <c r="F15" s="11">
        <v>45440</v>
      </c>
      <c r="G15" s="11">
        <v>43615</v>
      </c>
      <c r="H15" s="11">
        <v>119456</v>
      </c>
      <c r="I15" s="11">
        <v>122363</v>
      </c>
      <c r="J15" s="11">
        <f t="shared" si="0"/>
        <v>-1378</v>
      </c>
      <c r="M15" s="411">
        <v>37135</v>
      </c>
      <c r="N15" s="24">
        <v>16552948</v>
      </c>
      <c r="O15" s="14">
        <v>16508018</v>
      </c>
      <c r="P15" s="14">
        <f>+O15-N15</f>
        <v>-44930</v>
      </c>
      <c r="Q15" s="364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324008</v>
      </c>
      <c r="C16" s="11">
        <v>324208</v>
      </c>
      <c r="D16" s="11">
        <v>41446</v>
      </c>
      <c r="E16" s="11">
        <v>40674</v>
      </c>
      <c r="F16" s="11">
        <v>44799</v>
      </c>
      <c r="G16" s="11">
        <v>49115</v>
      </c>
      <c r="H16" s="11">
        <v>125758</v>
      </c>
      <c r="I16" s="11">
        <v>123746</v>
      </c>
      <c r="J16" s="11">
        <f t="shared" si="0"/>
        <v>1732</v>
      </c>
      <c r="M16" s="411">
        <v>37165</v>
      </c>
      <c r="N16" s="24">
        <v>17924814</v>
      </c>
      <c r="O16" s="14">
        <v>17872479</v>
      </c>
      <c r="P16" s="14">
        <f>+O16-N16</f>
        <v>-52335</v>
      </c>
      <c r="Q16" s="364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310479</v>
      </c>
      <c r="C17" s="11">
        <v>307199</v>
      </c>
      <c r="D17" s="11">
        <v>42030</v>
      </c>
      <c r="E17" s="11">
        <v>40772</v>
      </c>
      <c r="F17" s="11">
        <v>45484</v>
      </c>
      <c r="G17" s="11">
        <v>47542</v>
      </c>
      <c r="H17" s="11">
        <v>131012</v>
      </c>
      <c r="I17" s="11">
        <v>128288</v>
      </c>
      <c r="J17" s="11">
        <f t="shared" si="0"/>
        <v>-5204</v>
      </c>
      <c r="M17" s="411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4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290862</v>
      </c>
      <c r="C18" s="11">
        <v>273401</v>
      </c>
      <c r="D18" s="11">
        <v>41858</v>
      </c>
      <c r="E18" s="11">
        <v>41317</v>
      </c>
      <c r="F18" s="11">
        <v>44939</v>
      </c>
      <c r="G18" s="11">
        <v>46913</v>
      </c>
      <c r="H18" s="11">
        <v>123364</v>
      </c>
      <c r="I18" s="11">
        <v>124424</v>
      </c>
      <c r="J18" s="11">
        <f t="shared" si="0"/>
        <v>-14968</v>
      </c>
      <c r="M18" s="411">
        <v>37229</v>
      </c>
      <c r="N18" s="24"/>
      <c r="O18" s="14"/>
      <c r="P18" s="14">
        <f>+O18-N18</f>
        <v>0</v>
      </c>
      <c r="Q18" s="364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315187</v>
      </c>
      <c r="C19" s="11">
        <v>318355</v>
      </c>
      <c r="D19" s="11">
        <v>41948</v>
      </c>
      <c r="E19" s="11">
        <v>42502</v>
      </c>
      <c r="F19" s="11">
        <v>43146</v>
      </c>
      <c r="G19" s="11">
        <v>48615</v>
      </c>
      <c r="H19" s="11">
        <v>130089</v>
      </c>
      <c r="I19" s="11">
        <v>133203</v>
      </c>
      <c r="J19" s="11">
        <f t="shared" si="0"/>
        <v>12305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306228</v>
      </c>
      <c r="C20" s="11">
        <v>315134</v>
      </c>
      <c r="D20" s="11">
        <v>38819</v>
      </c>
      <c r="E20" s="11">
        <v>42762</v>
      </c>
      <c r="F20" s="11">
        <v>47048</v>
      </c>
      <c r="G20" s="11">
        <v>48615</v>
      </c>
      <c r="H20" s="11">
        <v>140278</v>
      </c>
      <c r="I20" s="11">
        <v>137918</v>
      </c>
      <c r="J20" s="11">
        <f t="shared" si="0"/>
        <v>12056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314325</v>
      </c>
      <c r="C21" s="11">
        <v>308834</v>
      </c>
      <c r="D21" s="11">
        <v>34315</v>
      </c>
      <c r="E21" s="11">
        <v>42205</v>
      </c>
      <c r="F21" s="11">
        <v>43287</v>
      </c>
      <c r="G21" s="11">
        <v>48505</v>
      </c>
      <c r="H21" s="11">
        <v>135595</v>
      </c>
      <c r="I21" s="11">
        <v>130464</v>
      </c>
      <c r="J21" s="11">
        <f t="shared" si="0"/>
        <v>2486</v>
      </c>
      <c r="M21" s="411"/>
      <c r="N21" s="24"/>
      <c r="O21" s="14"/>
      <c r="P21" s="14">
        <f>SUM(P5:P20)</f>
        <v>135708</v>
      </c>
      <c r="Q21" s="364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310482</v>
      </c>
      <c r="C22" s="11">
        <v>289905</v>
      </c>
      <c r="D22" s="11">
        <v>22017</v>
      </c>
      <c r="E22" s="11">
        <v>35667</v>
      </c>
      <c r="F22" s="11">
        <v>39712</v>
      </c>
      <c r="G22" s="11">
        <v>48497</v>
      </c>
      <c r="H22" s="11">
        <v>139137</v>
      </c>
      <c r="I22" s="11">
        <v>137882</v>
      </c>
      <c r="J22" s="11">
        <f t="shared" si="0"/>
        <v>603</v>
      </c>
      <c r="M22" s="411"/>
      <c r="N22" s="24"/>
      <c r="O22" s="14"/>
      <c r="P22" s="201">
        <v>1.98</v>
      </c>
      <c r="Q22" s="364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286477</v>
      </c>
      <c r="C23" s="11">
        <v>293201</v>
      </c>
      <c r="D23" s="129">
        <v>35547</v>
      </c>
      <c r="E23" s="11">
        <v>35667</v>
      </c>
      <c r="F23" s="11">
        <v>43888</v>
      </c>
      <c r="G23" s="11">
        <v>48505</v>
      </c>
      <c r="H23" s="129">
        <v>147895</v>
      </c>
      <c r="I23" s="11">
        <v>141348</v>
      </c>
      <c r="J23" s="11">
        <f t="shared" si="0"/>
        <v>4914</v>
      </c>
      <c r="M23" s="411"/>
      <c r="N23" s="14">
        <v>1378106</v>
      </c>
      <c r="O23" s="14">
        <v>1316146</v>
      </c>
      <c r="P23" s="201">
        <f>+P22*P21</f>
        <v>268701.84000000003</v>
      </c>
      <c r="Q23" s="364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11"/>
      <c r="N24" s="14">
        <v>9216070</v>
      </c>
      <c r="O24" s="14">
        <v>9272400</v>
      </c>
      <c r="P24" s="15"/>
      <c r="Q24" s="364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11"/>
      <c r="N25" s="24">
        <v>3546065</v>
      </c>
      <c r="O25" s="24">
        <v>3512740</v>
      </c>
      <c r="P25" s="110"/>
      <c r="Q25" s="413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13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13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13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13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13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13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64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4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4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5920224</v>
      </c>
      <c r="C35" s="11">
        <f t="shared" ref="C35:I35" si="3">SUM(C4:C34)</f>
        <v>5897186</v>
      </c>
      <c r="D35" s="11">
        <f t="shared" si="3"/>
        <v>769023</v>
      </c>
      <c r="E35" s="11">
        <f t="shared" si="3"/>
        <v>789479</v>
      </c>
      <c r="F35" s="11">
        <f t="shared" si="3"/>
        <v>834080</v>
      </c>
      <c r="G35" s="11">
        <f t="shared" si="3"/>
        <v>922501</v>
      </c>
      <c r="H35" s="11">
        <f t="shared" si="3"/>
        <v>2524050</v>
      </c>
      <c r="I35" s="11">
        <f t="shared" si="3"/>
        <v>2473814</v>
      </c>
      <c r="J35" s="11">
        <f>SUM(J4:J34)</f>
        <v>35603</v>
      </c>
      <c r="M35" s="32"/>
      <c r="N35" s="24"/>
      <c r="O35" s="32"/>
      <c r="P35" s="15"/>
      <c r="Q35" s="364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64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64"/>
      <c r="R37" s="110"/>
      <c r="S37" s="19"/>
      <c r="T37" s="104"/>
      <c r="U37" s="16"/>
      <c r="V37" s="15"/>
      <c r="W37" s="13"/>
    </row>
    <row r="38" spans="1:23" x14ac:dyDescent="0.2">
      <c r="A38" s="56">
        <v>37256</v>
      </c>
      <c r="C38" s="25"/>
      <c r="E38" s="25"/>
      <c r="G38" s="25"/>
      <c r="I38" s="25"/>
      <c r="J38" s="494">
        <v>0</v>
      </c>
      <c r="M38" s="32"/>
      <c r="N38" s="24"/>
      <c r="O38" s="32"/>
      <c r="P38" s="15"/>
      <c r="Q38" s="364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64"/>
      <c r="R39" s="110"/>
      <c r="S39" s="19"/>
      <c r="T39" s="104"/>
      <c r="U39" s="16"/>
      <c r="V39" s="15"/>
      <c r="W39" s="13"/>
    </row>
    <row r="40" spans="1:23" x14ac:dyDescent="0.2">
      <c r="A40" s="33">
        <v>37276</v>
      </c>
      <c r="J40" s="51">
        <f>+J38+J35</f>
        <v>35603</v>
      </c>
      <c r="M40" s="32"/>
      <c r="N40" s="24"/>
      <c r="O40" s="32"/>
      <c r="P40" s="15"/>
      <c r="Q40" s="364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64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64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64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4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4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37256</v>
      </c>
      <c r="B46" s="32"/>
      <c r="C46" s="32"/>
      <c r="D46" s="493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4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37276</v>
      </c>
      <c r="B47" s="32"/>
      <c r="C47" s="32"/>
      <c r="D47" s="380">
        <f>+J35*'by type_area'!G3</f>
        <v>75122.33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4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75122.33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4"/>
      <c r="R48" s="15"/>
      <c r="S48" s="19"/>
      <c r="T48" s="32"/>
    </row>
    <row r="49" spans="1:20" x14ac:dyDescent="0.2">
      <c r="A49" s="139"/>
      <c r="B49" s="119"/>
      <c r="C49" s="140"/>
      <c r="D49" s="381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4"/>
      <c r="R49" s="15"/>
      <c r="S49" s="32"/>
      <c r="T49" s="32"/>
    </row>
    <row r="50" spans="1:20" x14ac:dyDescent="0.2">
      <c r="A50" s="10"/>
      <c r="B50" s="11"/>
      <c r="C50" s="11"/>
      <c r="D50" s="382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4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4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4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4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4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4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4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4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4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4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4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4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4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4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4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4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4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4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3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3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3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3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3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3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3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3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3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3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3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3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3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3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13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13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13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13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13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13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13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3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4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4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4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4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4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4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4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4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4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4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4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4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4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4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4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4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4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4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4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14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9"/>
      <c r="Q255" s="143"/>
      <c r="R255" s="409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0"/>
      <c r="Q256" s="415"/>
      <c r="R256" s="410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3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3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3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3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3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3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3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3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3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3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3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3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3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3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3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3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3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3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3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3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3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3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3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3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3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3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3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3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3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3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3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3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14"/>
      <c r="S295" s="1"/>
    </row>
    <row r="296" spans="9:21" x14ac:dyDescent="0.2">
      <c r="K296" s="2"/>
      <c r="M296" s="30"/>
      <c r="N296" s="4"/>
      <c r="O296" s="4"/>
      <c r="P296" s="409"/>
      <c r="Q296" s="143"/>
      <c r="R296" s="409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10"/>
      <c r="Q297" s="415"/>
      <c r="R297" s="410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13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13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13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13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13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13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13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13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13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13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13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13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13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13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13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13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13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13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13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13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13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13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13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13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13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13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13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13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13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13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13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13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14"/>
      <c r="S337" s="1"/>
    </row>
    <row r="338" spans="11:21" x14ac:dyDescent="0.2">
      <c r="K338" s="2"/>
      <c r="M338" s="30"/>
      <c r="N338" s="4"/>
      <c r="O338" s="4"/>
      <c r="P338" s="409"/>
      <c r="Q338" s="143"/>
      <c r="R338" s="409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10"/>
      <c r="Q339" s="415"/>
      <c r="R339" s="410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13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13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13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13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13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13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13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13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13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13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13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13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13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13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13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13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13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13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13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13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13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13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13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13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13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13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13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13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13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13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13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13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14"/>
      <c r="S379" s="1"/>
    </row>
    <row r="380" spans="11:21" x14ac:dyDescent="0.2">
      <c r="K380" s="2"/>
      <c r="M380" s="30"/>
      <c r="N380" s="4"/>
      <c r="O380" s="4"/>
      <c r="P380" s="409"/>
      <c r="Q380" s="143"/>
      <c r="R380" s="409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10"/>
      <c r="Q381" s="415"/>
      <c r="R381" s="410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13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13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13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13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13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13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13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13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13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13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13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13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13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13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13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13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13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13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13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13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13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13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13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13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13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13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13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13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13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13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13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13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14"/>
      <c r="S423" s="1"/>
    </row>
    <row r="424" spans="11:21" x14ac:dyDescent="0.2">
      <c r="K424" s="2"/>
      <c r="M424" s="30"/>
      <c r="N424" s="4"/>
      <c r="O424" s="4"/>
      <c r="P424" s="409"/>
      <c r="Q424" s="143"/>
      <c r="R424" s="409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10"/>
      <c r="Q425" s="415"/>
      <c r="R425" s="410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13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13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13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13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13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13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13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13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13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13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13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13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13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13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13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13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13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13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13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13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13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13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13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13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13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13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13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13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13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13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13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13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14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9"/>
      <c r="Q466" s="143"/>
      <c r="R466" s="40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10"/>
      <c r="Q467" s="415"/>
      <c r="R467" s="41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1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1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1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1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1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1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1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1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1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1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1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1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1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1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1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1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1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1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1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1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1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1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1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1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1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1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1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1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1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1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1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1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0" workbookViewId="0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">
      <c r="A15" s="10">
        <v>10</v>
      </c>
      <c r="B15" s="11">
        <v>38336</v>
      </c>
      <c r="C15" s="11">
        <v>40659</v>
      </c>
      <c r="D15" s="25">
        <f t="shared" si="0"/>
        <v>2323</v>
      </c>
    </row>
    <row r="16" spans="1:4" x14ac:dyDescent="0.2">
      <c r="A16" s="10">
        <v>11</v>
      </c>
      <c r="B16" s="11">
        <v>45961</v>
      </c>
      <c r="C16" s="11">
        <v>45820</v>
      </c>
      <c r="D16" s="25">
        <f t="shared" si="0"/>
        <v>-141</v>
      </c>
    </row>
    <row r="17" spans="1:4" x14ac:dyDescent="0.2">
      <c r="A17" s="10">
        <v>12</v>
      </c>
      <c r="B17" s="11">
        <v>58658</v>
      </c>
      <c r="C17" s="11">
        <v>58864</v>
      </c>
      <c r="D17" s="25">
        <f t="shared" si="0"/>
        <v>206</v>
      </c>
    </row>
    <row r="18" spans="1:4" x14ac:dyDescent="0.2">
      <c r="A18" s="10">
        <v>13</v>
      </c>
      <c r="B18" s="11">
        <v>58648</v>
      </c>
      <c r="C18" s="11">
        <v>58864</v>
      </c>
      <c r="D18" s="25">
        <f t="shared" si="0"/>
        <v>216</v>
      </c>
    </row>
    <row r="19" spans="1:4" x14ac:dyDescent="0.2">
      <c r="A19" s="10">
        <v>14</v>
      </c>
      <c r="B19" s="11">
        <v>53073</v>
      </c>
      <c r="C19" s="11">
        <v>52864</v>
      </c>
      <c r="D19" s="25">
        <f t="shared" si="0"/>
        <v>-209</v>
      </c>
    </row>
    <row r="20" spans="1:4" x14ac:dyDescent="0.2">
      <c r="A20" s="10">
        <v>15</v>
      </c>
      <c r="B20" s="11">
        <v>43337</v>
      </c>
      <c r="C20" s="11">
        <v>45610</v>
      </c>
      <c r="D20" s="25">
        <f t="shared" si="0"/>
        <v>2273</v>
      </c>
    </row>
    <row r="21" spans="1:4" x14ac:dyDescent="0.2">
      <c r="A21" s="10">
        <v>16</v>
      </c>
      <c r="B21" s="11">
        <v>42964</v>
      </c>
      <c r="C21" s="11">
        <v>45253</v>
      </c>
      <c r="D21" s="25">
        <f t="shared" si="0"/>
        <v>2289</v>
      </c>
    </row>
    <row r="22" spans="1:4" x14ac:dyDescent="0.2">
      <c r="A22" s="10">
        <v>17</v>
      </c>
      <c r="B22" s="11">
        <v>48358</v>
      </c>
      <c r="C22" s="11">
        <v>50595</v>
      </c>
      <c r="D22" s="25">
        <f t="shared" si="0"/>
        <v>2237</v>
      </c>
    </row>
    <row r="23" spans="1:4" x14ac:dyDescent="0.2">
      <c r="A23" s="10">
        <v>18</v>
      </c>
      <c r="B23" s="11">
        <v>46348</v>
      </c>
      <c r="C23" s="11">
        <v>48259</v>
      </c>
      <c r="D23" s="25">
        <f t="shared" si="0"/>
        <v>1911</v>
      </c>
    </row>
    <row r="24" spans="1:4" x14ac:dyDescent="0.2">
      <c r="A24" s="10">
        <v>19</v>
      </c>
      <c r="B24" s="11">
        <v>57495</v>
      </c>
      <c r="C24" s="11">
        <v>59137</v>
      </c>
      <c r="D24" s="25">
        <f t="shared" si="0"/>
        <v>1642</v>
      </c>
    </row>
    <row r="25" spans="1:4" x14ac:dyDescent="0.2">
      <c r="A25" s="10">
        <v>20</v>
      </c>
      <c r="B25" s="129">
        <v>59012</v>
      </c>
      <c r="C25" s="11">
        <v>59137</v>
      </c>
      <c r="D25" s="25">
        <f t="shared" si="0"/>
        <v>125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950544</v>
      </c>
      <c r="C37" s="11">
        <f>SUM(C6:C36)</f>
        <v>948699</v>
      </c>
      <c r="D37" s="25">
        <f>SUM(D6:D36)</f>
        <v>-1845</v>
      </c>
    </row>
    <row r="38" spans="1:4" x14ac:dyDescent="0.2">
      <c r="A38" s="26"/>
      <c r="C38" s="14"/>
      <c r="D38" s="329">
        <f>+summary!G5</f>
        <v>2.15</v>
      </c>
    </row>
    <row r="39" spans="1:4" x14ac:dyDescent="0.2">
      <c r="D39" s="138">
        <f>+D38*D37</f>
        <v>-3966.75</v>
      </c>
    </row>
    <row r="40" spans="1:4" x14ac:dyDescent="0.2">
      <c r="A40" s="57">
        <v>37256</v>
      </c>
      <c r="C40" s="15"/>
      <c r="D40" s="540">
        <v>40735.550000000003</v>
      </c>
    </row>
    <row r="41" spans="1:4" x14ac:dyDescent="0.2">
      <c r="A41" s="57">
        <v>37276</v>
      </c>
      <c r="C41" s="48"/>
      <c r="D41" s="138">
        <f>+D40+D39</f>
        <v>36768.800000000003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19256</v>
      </c>
    </row>
    <row r="47" spans="1:4" x14ac:dyDescent="0.2">
      <c r="A47" s="49">
        <f>+A41</f>
        <v>37276</v>
      </c>
      <c r="B47" s="32"/>
      <c r="C47" s="32"/>
      <c r="D47" s="355">
        <f>+D37</f>
        <v>-1845</v>
      </c>
    </row>
    <row r="48" spans="1:4" x14ac:dyDescent="0.2">
      <c r="A48" s="32"/>
      <c r="B48" s="32"/>
      <c r="C48" s="32"/>
      <c r="D48" s="14">
        <f>+D47+D46</f>
        <v>17411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3" workbookViewId="0">
      <selection activeCell="B26" sqref="B26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31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-2</v>
      </c>
      <c r="C6" s="11"/>
      <c r="D6" s="25">
        <f>+C6-B6</f>
        <v>2</v>
      </c>
    </row>
    <row r="7" spans="1:13" x14ac:dyDescent="0.2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7" t="s">
        <v>174</v>
      </c>
      <c r="M13" s="189"/>
    </row>
    <row r="14" spans="1:13" x14ac:dyDescent="0.2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8" t="s">
        <v>19</v>
      </c>
      <c r="J14" s="418" t="s">
        <v>20</v>
      </c>
      <c r="K14" s="419" t="s">
        <v>49</v>
      </c>
      <c r="L14" s="417" t="s">
        <v>15</v>
      </c>
      <c r="M14" s="189" t="s">
        <v>27</v>
      </c>
    </row>
    <row r="15" spans="1:13" x14ac:dyDescent="0.2">
      <c r="A15" s="10">
        <v>10</v>
      </c>
      <c r="B15" s="11">
        <v>-532</v>
      </c>
      <c r="C15" s="11"/>
      <c r="D15" s="25">
        <f t="shared" si="0"/>
        <v>532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-566</v>
      </c>
      <c r="C16" s="11"/>
      <c r="D16" s="25">
        <f t="shared" si="0"/>
        <v>566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7">
        <v>8.2100000000000009</v>
      </c>
      <c r="M16" s="422">
        <f t="shared" ref="M16:M22" si="2">+L16*K16</f>
        <v>-148748.78000000003</v>
      </c>
    </row>
    <row r="17" spans="1:15" x14ac:dyDescent="0.2">
      <c r="A17" s="10">
        <v>12</v>
      </c>
      <c r="B17" s="11">
        <v>-634</v>
      </c>
      <c r="C17" s="11"/>
      <c r="D17" s="25">
        <f t="shared" si="0"/>
        <v>634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7">
        <v>5.62</v>
      </c>
      <c r="M17" s="422">
        <f t="shared" si="2"/>
        <v>-91100.2</v>
      </c>
    </row>
    <row r="18" spans="1:15" x14ac:dyDescent="0.2">
      <c r="A18" s="10">
        <v>13</v>
      </c>
      <c r="B18" s="11">
        <v>-2025</v>
      </c>
      <c r="C18" s="11"/>
      <c r="D18" s="25">
        <f t="shared" si="0"/>
        <v>2025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7">
        <v>4.9800000000000004</v>
      </c>
      <c r="M18" s="422">
        <f t="shared" si="2"/>
        <v>-118748.1</v>
      </c>
    </row>
    <row r="19" spans="1:15" x14ac:dyDescent="0.2">
      <c r="A19" s="10">
        <v>14</v>
      </c>
      <c r="B19" s="11">
        <v>-1925</v>
      </c>
      <c r="C19" s="11"/>
      <c r="D19" s="25">
        <f t="shared" si="0"/>
        <v>1925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7">
        <v>4.87</v>
      </c>
      <c r="M19" s="422">
        <f t="shared" si="2"/>
        <v>63012.93</v>
      </c>
      <c r="O19" s="259"/>
    </row>
    <row r="20" spans="1:15" x14ac:dyDescent="0.2">
      <c r="A20" s="10">
        <v>15</v>
      </c>
      <c r="B20" s="11">
        <v>-1795</v>
      </c>
      <c r="C20" s="11"/>
      <c r="D20" s="25">
        <f t="shared" si="0"/>
        <v>1795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7">
        <v>3.82</v>
      </c>
      <c r="M20" s="422">
        <f t="shared" si="2"/>
        <v>32531.119999999999</v>
      </c>
    </row>
    <row r="21" spans="1:15" x14ac:dyDescent="0.2">
      <c r="A21" s="10">
        <v>16</v>
      </c>
      <c r="B21" s="11">
        <v>-2006</v>
      </c>
      <c r="C21" s="11">
        <v>-681</v>
      </c>
      <c r="D21" s="25">
        <f t="shared" si="0"/>
        <v>1325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7">
        <v>3.2</v>
      </c>
      <c r="M21" s="422">
        <f t="shared" si="2"/>
        <v>-47644.800000000003</v>
      </c>
    </row>
    <row r="22" spans="1:15" x14ac:dyDescent="0.2">
      <c r="A22" s="10">
        <v>17</v>
      </c>
      <c r="B22" s="11">
        <v>-883</v>
      </c>
      <c r="C22" s="11"/>
      <c r="D22" s="25">
        <f t="shared" si="0"/>
        <v>883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7">
        <v>2.77</v>
      </c>
      <c r="M22" s="423">
        <f t="shared" si="2"/>
        <v>-43139.98</v>
      </c>
    </row>
    <row r="23" spans="1:15" ht="13.5" thickBot="1" x14ac:dyDescent="0.25">
      <c r="A23" s="10">
        <v>18</v>
      </c>
      <c r="B23" s="11">
        <v>-901</v>
      </c>
      <c r="C23" s="11"/>
      <c r="D23" s="25">
        <f t="shared" si="0"/>
        <v>901</v>
      </c>
      <c r="H23" s="34"/>
      <c r="I23" s="119"/>
      <c r="J23" s="119"/>
      <c r="K23" s="119"/>
      <c r="L23" s="420"/>
      <c r="M23" s="421">
        <f>SUM(M16:M22)</f>
        <v>-353837.81000000006</v>
      </c>
      <c r="O23" s="259"/>
    </row>
    <row r="24" spans="1:15" ht="13.5" thickTop="1" x14ac:dyDescent="0.2">
      <c r="A24" s="10">
        <v>19</v>
      </c>
      <c r="B24" s="11">
        <v>-930</v>
      </c>
      <c r="C24" s="11"/>
      <c r="D24" s="25">
        <f t="shared" si="0"/>
        <v>930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-1952</v>
      </c>
      <c r="C25" s="11"/>
      <c r="D25" s="25">
        <f t="shared" si="0"/>
        <v>1952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-23133</v>
      </c>
      <c r="C37" s="11">
        <f>SUM(C6:C36)</f>
        <v>908</v>
      </c>
      <c r="D37" s="25">
        <f>SUM(D6:D36)</f>
        <v>24041</v>
      </c>
    </row>
    <row r="38" spans="1:4" x14ac:dyDescent="0.2">
      <c r="A38" s="26"/>
      <c r="C38" s="14"/>
      <c r="D38" s="329">
        <f>+summary!G4</f>
        <v>2.14</v>
      </c>
    </row>
    <row r="39" spans="1:4" x14ac:dyDescent="0.2">
      <c r="D39" s="138">
        <f>+D38*D37</f>
        <v>51447.740000000005</v>
      </c>
    </row>
    <row r="40" spans="1:4" x14ac:dyDescent="0.2">
      <c r="A40" s="57">
        <v>37256</v>
      </c>
      <c r="C40" s="15"/>
      <c r="D40" s="537">
        <v>-355805</v>
      </c>
    </row>
    <row r="41" spans="1:4" x14ac:dyDescent="0.2">
      <c r="A41" s="57">
        <v>37276</v>
      </c>
      <c r="C41" s="48"/>
      <c r="D41" s="138">
        <f>+D40+D39</f>
        <v>-304357.26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37256</v>
      </c>
      <c r="B48" s="32"/>
      <c r="C48" s="32"/>
      <c r="D48" s="532">
        <v>-44621</v>
      </c>
    </row>
    <row r="49" spans="1:4" x14ac:dyDescent="0.2">
      <c r="A49" s="49">
        <f>+A41</f>
        <v>37276</v>
      </c>
      <c r="B49" s="32"/>
      <c r="C49" s="32"/>
      <c r="D49" s="355">
        <f>+D37</f>
        <v>24041</v>
      </c>
    </row>
    <row r="50" spans="1:4" x14ac:dyDescent="0.2">
      <c r="A50" s="32"/>
      <c r="B50" s="32"/>
      <c r="C50" s="32"/>
      <c r="D50" s="14">
        <f>+D49+D48</f>
        <v>-20580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0" workbookViewId="0">
      <selection activeCell="A49" sqref="A4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31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">
      <c r="A14" s="10">
        <v>9</v>
      </c>
      <c r="B14" s="11">
        <v>-25195</v>
      </c>
      <c r="C14" s="11">
        <v>-20832</v>
      </c>
      <c r="D14" s="25">
        <f t="shared" si="0"/>
        <v>4363</v>
      </c>
    </row>
    <row r="15" spans="1:4" x14ac:dyDescent="0.2">
      <c r="A15" s="10">
        <v>10</v>
      </c>
      <c r="B15" s="11">
        <v>-33303</v>
      </c>
      <c r="C15" s="11">
        <v>-32500</v>
      </c>
      <c r="D15" s="25">
        <f t="shared" si="0"/>
        <v>803</v>
      </c>
    </row>
    <row r="16" spans="1:4" x14ac:dyDescent="0.2">
      <c r="A16" s="10">
        <v>11</v>
      </c>
      <c r="B16" s="11">
        <v>-25560</v>
      </c>
      <c r="C16" s="11">
        <v>-26902</v>
      </c>
      <c r="D16" s="25">
        <f t="shared" si="0"/>
        <v>-1342</v>
      </c>
    </row>
    <row r="17" spans="1:4" x14ac:dyDescent="0.2">
      <c r="A17" s="10">
        <v>12</v>
      </c>
      <c r="B17" s="11">
        <v>-90</v>
      </c>
      <c r="C17" s="11"/>
      <c r="D17" s="25">
        <f t="shared" si="0"/>
        <v>90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>
        <v>-67</v>
      </c>
      <c r="C19" s="11">
        <v>-6981</v>
      </c>
      <c r="D19" s="25">
        <f t="shared" si="0"/>
        <v>-6914</v>
      </c>
    </row>
    <row r="20" spans="1:4" x14ac:dyDescent="0.2">
      <c r="A20" s="10">
        <v>15</v>
      </c>
      <c r="B20" s="11">
        <v>-36</v>
      </c>
      <c r="C20" s="11"/>
      <c r="D20" s="25">
        <f t="shared" si="0"/>
        <v>36</v>
      </c>
    </row>
    <row r="21" spans="1:4" x14ac:dyDescent="0.2">
      <c r="A21" s="10">
        <v>16</v>
      </c>
      <c r="B21" s="11">
        <v>-32</v>
      </c>
      <c r="C21" s="11"/>
      <c r="D21" s="25">
        <f t="shared" si="0"/>
        <v>32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>
        <v>-319</v>
      </c>
      <c r="C23" s="11"/>
      <c r="D23" s="25">
        <f t="shared" si="0"/>
        <v>319</v>
      </c>
    </row>
    <row r="24" spans="1:4" x14ac:dyDescent="0.2">
      <c r="A24" s="10">
        <v>19</v>
      </c>
      <c r="B24" s="11">
        <v>-142</v>
      </c>
      <c r="C24" s="11"/>
      <c r="D24" s="25">
        <f t="shared" si="0"/>
        <v>142</v>
      </c>
    </row>
    <row r="25" spans="1:4" x14ac:dyDescent="0.2">
      <c r="A25" s="10">
        <v>20</v>
      </c>
      <c r="B25" s="11">
        <v>-17917</v>
      </c>
      <c r="C25" s="11">
        <v>-11000</v>
      </c>
      <c r="D25" s="25">
        <f t="shared" si="0"/>
        <v>6917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-122441</v>
      </c>
      <c r="C37" s="11">
        <f>SUM(C6:C36)</f>
        <v>-156211</v>
      </c>
      <c r="D37" s="25">
        <f>SUM(D6:D36)</f>
        <v>-33770</v>
      </c>
    </row>
    <row r="38" spans="1:4" x14ac:dyDescent="0.2">
      <c r="A38" s="26"/>
      <c r="C38" s="14"/>
      <c r="D38" s="329">
        <f>+summary!G4</f>
        <v>2.14</v>
      </c>
    </row>
    <row r="39" spans="1:4" x14ac:dyDescent="0.2">
      <c r="D39" s="138">
        <f>+D38*D37</f>
        <v>-72267.8</v>
      </c>
    </row>
    <row r="40" spans="1:4" x14ac:dyDescent="0.2">
      <c r="A40" s="57">
        <v>37256</v>
      </c>
      <c r="C40" s="15"/>
      <c r="D40" s="537">
        <v>67742.52</v>
      </c>
    </row>
    <row r="41" spans="1:4" x14ac:dyDescent="0.2">
      <c r="A41" s="57">
        <v>37276</v>
      </c>
      <c r="C41" s="48"/>
      <c r="D41" s="138">
        <f>+D40+D39</f>
        <v>-4525.2799999999988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36151</v>
      </c>
    </row>
    <row r="47" spans="1:4" x14ac:dyDescent="0.2">
      <c r="A47" s="49">
        <f>+A41</f>
        <v>37276</v>
      </c>
      <c r="B47" s="32"/>
      <c r="C47" s="32"/>
      <c r="D47" s="355">
        <f>+D37</f>
        <v>-33770</v>
      </c>
    </row>
    <row r="48" spans="1:4" x14ac:dyDescent="0.2">
      <c r="A48" s="32"/>
      <c r="B48" s="32"/>
      <c r="C48" s="32"/>
      <c r="D48" s="14">
        <f>+D47+D46</f>
        <v>2381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10" workbookViewId="0">
      <selection activeCell="A25" sqref="A25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6">
        <v>-1</v>
      </c>
      <c r="C5" s="90">
        <v>-2394</v>
      </c>
      <c r="D5" s="90">
        <f>+C5-B5</f>
        <v>-2393</v>
      </c>
      <c r="E5" s="275"/>
      <c r="F5" s="273"/>
    </row>
    <row r="6" spans="1:13" x14ac:dyDescent="0.2">
      <c r="A6" s="87">
        <v>500046</v>
      </c>
      <c r="B6" s="90">
        <v>-11990</v>
      </c>
      <c r="C6" s="90"/>
      <c r="D6" s="90">
        <f t="shared" ref="D6:D11" si="0">+C6-B6</f>
        <v>11990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-18115</v>
      </c>
      <c r="C8" s="90">
        <v>-33415</v>
      </c>
      <c r="D8" s="90">
        <f t="shared" si="0"/>
        <v>-15300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-5703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2.14</v>
      </c>
      <c r="E13" s="277"/>
      <c r="F13" s="273"/>
    </row>
    <row r="14" spans="1:13" x14ac:dyDescent="0.2">
      <c r="A14" s="87"/>
      <c r="B14" s="88"/>
      <c r="C14" s="88"/>
      <c r="D14" s="96">
        <f>+D13*D12</f>
        <v>-12204.42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37256</v>
      </c>
      <c r="B16" s="88"/>
      <c r="C16" s="88"/>
      <c r="D16" s="538">
        <v>-537692.79</v>
      </c>
      <c r="E16" s="207"/>
      <c r="F16" s="66"/>
    </row>
    <row r="17" spans="1:7" x14ac:dyDescent="0.2">
      <c r="A17" s="87"/>
      <c r="B17" s="88"/>
      <c r="C17" s="88"/>
      <c r="D17" s="311"/>
      <c r="E17" s="207"/>
      <c r="F17" s="66"/>
    </row>
    <row r="18" spans="1:7" ht="13.5" thickBot="1" x14ac:dyDescent="0.25">
      <c r="A18" s="99">
        <v>37276</v>
      </c>
      <c r="B18" s="88"/>
      <c r="C18" s="88"/>
      <c r="D18" s="321">
        <f>+D16+D14</f>
        <v>-549897.21000000008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37256</v>
      </c>
      <c r="B22" s="32"/>
      <c r="C22" s="32"/>
      <c r="D22" s="532">
        <v>-36823</v>
      </c>
    </row>
    <row r="23" spans="1:7" x14ac:dyDescent="0.2">
      <c r="A23" s="49"/>
      <c r="B23" s="32"/>
      <c r="C23" s="32"/>
      <c r="D23" s="355">
        <f>+D12</f>
        <v>-5703</v>
      </c>
    </row>
    <row r="24" spans="1:7" x14ac:dyDescent="0.2">
      <c r="A24" s="49">
        <f>+A18</f>
        <v>37276</v>
      </c>
      <c r="B24" s="32"/>
      <c r="C24" s="32"/>
      <c r="D24" s="14">
        <f>+D23+D22</f>
        <v>-42526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33" workbookViewId="0">
      <selection activeCell="C49" sqref="C49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-175</v>
      </c>
      <c r="C6" s="11"/>
      <c r="D6" s="25">
        <f>+C6-B6</f>
        <v>175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">
      <c r="A14" s="10">
        <v>9</v>
      </c>
      <c r="B14" s="11">
        <v>-17552</v>
      </c>
      <c r="C14" s="11">
        <v>-15935</v>
      </c>
      <c r="D14" s="25">
        <f t="shared" si="0"/>
        <v>1617</v>
      </c>
    </row>
    <row r="15" spans="1:4" x14ac:dyDescent="0.2">
      <c r="A15" s="10">
        <v>10</v>
      </c>
      <c r="B15" s="11">
        <v>-9962</v>
      </c>
      <c r="C15" s="11">
        <v>-15500</v>
      </c>
      <c r="D15" s="25">
        <f t="shared" si="0"/>
        <v>-5538</v>
      </c>
    </row>
    <row r="16" spans="1:4" x14ac:dyDescent="0.2">
      <c r="A16" s="10">
        <v>11</v>
      </c>
      <c r="B16" s="11">
        <v>-70735</v>
      </c>
      <c r="C16" s="11">
        <v>-71187</v>
      </c>
      <c r="D16" s="25">
        <f t="shared" si="0"/>
        <v>-452</v>
      </c>
    </row>
    <row r="17" spans="1:4" x14ac:dyDescent="0.2">
      <c r="A17" s="10">
        <v>12</v>
      </c>
      <c r="B17" s="129">
        <v>-58208</v>
      </c>
      <c r="C17" s="11">
        <v>-59296</v>
      </c>
      <c r="D17" s="25">
        <f t="shared" si="0"/>
        <v>-1088</v>
      </c>
    </row>
    <row r="18" spans="1:4" x14ac:dyDescent="0.2">
      <c r="A18" s="10">
        <v>13</v>
      </c>
      <c r="B18" s="11">
        <v>-57826</v>
      </c>
      <c r="C18" s="11">
        <v>-59296</v>
      </c>
      <c r="D18" s="25">
        <f t="shared" si="0"/>
        <v>-1470</v>
      </c>
    </row>
    <row r="19" spans="1:4" x14ac:dyDescent="0.2">
      <c r="A19" s="10">
        <v>14</v>
      </c>
      <c r="B19" s="11">
        <v>-57796</v>
      </c>
      <c r="C19" s="11">
        <v>-59296</v>
      </c>
      <c r="D19" s="25">
        <f t="shared" si="0"/>
        <v>-1500</v>
      </c>
    </row>
    <row r="20" spans="1:4" x14ac:dyDescent="0.2">
      <c r="A20" s="10">
        <v>15</v>
      </c>
      <c r="B20" s="11">
        <v>-24830</v>
      </c>
      <c r="C20" s="11">
        <v>-25514</v>
      </c>
      <c r="D20" s="25">
        <f t="shared" si="0"/>
        <v>-684</v>
      </c>
    </row>
    <row r="21" spans="1:4" x14ac:dyDescent="0.2">
      <c r="A21" s="10">
        <v>16</v>
      </c>
      <c r="B21" s="11">
        <v>-29576</v>
      </c>
      <c r="C21" s="11">
        <v>-21882</v>
      </c>
      <c r="D21" s="25">
        <f t="shared" si="0"/>
        <v>7694</v>
      </c>
    </row>
    <row r="22" spans="1:4" x14ac:dyDescent="0.2">
      <c r="A22" s="10">
        <v>17</v>
      </c>
      <c r="B22" s="11">
        <v>-28848</v>
      </c>
      <c r="C22" s="11">
        <v>-30000</v>
      </c>
      <c r="D22" s="25">
        <f t="shared" si="0"/>
        <v>-1152</v>
      </c>
    </row>
    <row r="23" spans="1:4" x14ac:dyDescent="0.2">
      <c r="A23" s="10">
        <v>18</v>
      </c>
      <c r="B23" s="11">
        <v>-53049</v>
      </c>
      <c r="C23" s="11">
        <v>-55009</v>
      </c>
      <c r="D23" s="25">
        <f t="shared" si="0"/>
        <v>-1960</v>
      </c>
    </row>
    <row r="24" spans="1:4" x14ac:dyDescent="0.2">
      <c r="A24" s="10">
        <v>19</v>
      </c>
      <c r="B24" s="11">
        <v>-42986</v>
      </c>
      <c r="C24" s="11">
        <v>-43709</v>
      </c>
      <c r="D24" s="25">
        <f t="shared" si="0"/>
        <v>-723</v>
      </c>
    </row>
    <row r="25" spans="1:4" x14ac:dyDescent="0.2">
      <c r="A25" s="10">
        <v>20</v>
      </c>
      <c r="B25" s="11">
        <v>-42941</v>
      </c>
      <c r="C25" s="11">
        <v>-43709</v>
      </c>
      <c r="D25" s="25">
        <f t="shared" si="0"/>
        <v>-768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-553634</v>
      </c>
      <c r="C37" s="11">
        <f>SUM(C6:C36)</f>
        <v>-562417</v>
      </c>
      <c r="D37" s="25">
        <f>SUM(D6:D36)</f>
        <v>-8783</v>
      </c>
    </row>
    <row r="38" spans="1:4" x14ac:dyDescent="0.2">
      <c r="A38" s="26"/>
      <c r="C38" s="14"/>
      <c r="D38" s="342"/>
    </row>
    <row r="39" spans="1:4" x14ac:dyDescent="0.2">
      <c r="D39" s="138"/>
    </row>
    <row r="40" spans="1:4" x14ac:dyDescent="0.2">
      <c r="A40" s="57">
        <v>37256</v>
      </c>
      <c r="C40" s="15"/>
      <c r="D40" s="494">
        <v>-14315</v>
      </c>
    </row>
    <row r="41" spans="1:4" x14ac:dyDescent="0.2">
      <c r="A41" s="57">
        <v>37276</v>
      </c>
      <c r="C41" s="48"/>
      <c r="D41" s="25">
        <f>+D40+D37</f>
        <v>-23098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37256</v>
      </c>
      <c r="B45" s="32"/>
      <c r="C45" s="32"/>
      <c r="D45" s="493">
        <v>163235</v>
      </c>
    </row>
    <row r="46" spans="1:4" x14ac:dyDescent="0.2">
      <c r="A46" s="49">
        <f>+A41</f>
        <v>37276</v>
      </c>
      <c r="B46" s="32"/>
      <c r="C46" s="32"/>
      <c r="D46" s="380">
        <f>+D37*'by type_area'!G4</f>
        <v>-18795.620000000003</v>
      </c>
    </row>
    <row r="47" spans="1:4" x14ac:dyDescent="0.2">
      <c r="A47" s="32"/>
      <c r="B47" s="32"/>
      <c r="C47" s="32"/>
      <c r="D47" s="200">
        <f>+D46+D45</f>
        <v>144439.38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31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9">
        <f>+summary!G5</f>
        <v>2.15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37">
        <v>-203736.06</v>
      </c>
    </row>
    <row r="41" spans="1:4" x14ac:dyDescent="0.2">
      <c r="A41" s="57">
        <v>37256</v>
      </c>
      <c r="C41" s="48"/>
      <c r="D41" s="138">
        <f>+D40+D39</f>
        <v>-203736.06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-51454</v>
      </c>
    </row>
    <row r="47" spans="1:4" x14ac:dyDescent="0.2">
      <c r="A47" s="49">
        <f>+A41</f>
        <v>37256</v>
      </c>
      <c r="B47" s="32"/>
      <c r="C47" s="32"/>
      <c r="D47" s="464">
        <f>+D37</f>
        <v>0</v>
      </c>
    </row>
    <row r="48" spans="1:4" x14ac:dyDescent="0.2">
      <c r="A48" s="32"/>
      <c r="B48" s="32"/>
      <c r="C48" s="32"/>
      <c r="D48" s="14">
        <f>+D47+D46</f>
        <v>-51454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5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-143</v>
      </c>
      <c r="C14" s="11">
        <v>-170</v>
      </c>
      <c r="D14" s="11"/>
      <c r="E14" s="11"/>
      <c r="F14" s="11">
        <v>-729</v>
      </c>
      <c r="G14" s="11">
        <v>-1050</v>
      </c>
      <c r="H14" s="11"/>
      <c r="I14" s="11"/>
      <c r="J14" s="11">
        <f t="shared" si="0"/>
        <v>-348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-143</v>
      </c>
      <c r="C15" s="11">
        <v>-170</v>
      </c>
      <c r="D15" s="11"/>
      <c r="E15" s="11"/>
      <c r="F15" s="11">
        <v>-1037</v>
      </c>
      <c r="G15" s="11">
        <v>-1050</v>
      </c>
      <c r="H15" s="11"/>
      <c r="I15" s="11"/>
      <c r="J15" s="11">
        <f t="shared" si="0"/>
        <v>-40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-144</v>
      </c>
      <c r="C16" s="11">
        <v>-170</v>
      </c>
      <c r="D16" s="11"/>
      <c r="E16" s="11"/>
      <c r="F16" s="11">
        <v>-1043</v>
      </c>
      <c r="G16" s="11">
        <v>-1050</v>
      </c>
      <c r="H16" s="11"/>
      <c r="I16" s="11"/>
      <c r="J16" s="11">
        <f t="shared" si="0"/>
        <v>-33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>
        <v>-170</v>
      </c>
      <c r="D17" s="11"/>
      <c r="E17" s="11"/>
      <c r="F17" s="11">
        <v>-1049</v>
      </c>
      <c r="G17" s="11">
        <v>-1050</v>
      </c>
      <c r="H17" s="11"/>
      <c r="I17" s="11"/>
      <c r="J17" s="11">
        <f t="shared" si="0"/>
        <v>-171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-144</v>
      </c>
      <c r="C18" s="11">
        <v>-170</v>
      </c>
      <c r="D18" s="11"/>
      <c r="E18" s="11"/>
      <c r="F18" s="11">
        <v>-916</v>
      </c>
      <c r="G18" s="11">
        <v>-1050</v>
      </c>
      <c r="H18" s="11"/>
      <c r="I18" s="11"/>
      <c r="J18" s="11">
        <f t="shared" si="0"/>
        <v>-160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-144</v>
      </c>
      <c r="C19" s="11">
        <v>-170</v>
      </c>
      <c r="D19" s="11"/>
      <c r="E19" s="11"/>
      <c r="F19" s="11">
        <v>-1099</v>
      </c>
      <c r="G19" s="11">
        <v>-1050</v>
      </c>
      <c r="H19" s="11"/>
      <c r="I19" s="11"/>
      <c r="J19" s="11">
        <f t="shared" si="0"/>
        <v>23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-157</v>
      </c>
      <c r="C20" s="11">
        <v>-170</v>
      </c>
      <c r="D20" s="11"/>
      <c r="E20" s="11"/>
      <c r="F20" s="11">
        <v>-824</v>
      </c>
      <c r="G20" s="11">
        <v>-1050</v>
      </c>
      <c r="H20" s="11"/>
      <c r="I20" s="11"/>
      <c r="J20" s="11">
        <f t="shared" si="0"/>
        <v>-239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-159</v>
      </c>
      <c r="C21" s="11">
        <v>-170</v>
      </c>
      <c r="D21" s="11"/>
      <c r="E21" s="11"/>
      <c r="F21" s="11">
        <v>-772</v>
      </c>
      <c r="G21" s="11">
        <v>-1050</v>
      </c>
      <c r="H21" s="11"/>
      <c r="I21" s="11"/>
      <c r="J21" s="11">
        <f t="shared" si="0"/>
        <v>-289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-158</v>
      </c>
      <c r="C22" s="11">
        <v>-170</v>
      </c>
      <c r="D22" s="11"/>
      <c r="E22" s="11"/>
      <c r="F22" s="11">
        <v>-851</v>
      </c>
      <c r="G22" s="11">
        <v>-1050</v>
      </c>
      <c r="H22" s="11"/>
      <c r="I22" s="11"/>
      <c r="J22" s="11">
        <f t="shared" si="0"/>
        <v>-211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-191</v>
      </c>
      <c r="C23" s="11">
        <v>-170</v>
      </c>
      <c r="D23" s="11"/>
      <c r="E23" s="11"/>
      <c r="F23" s="11">
        <v>-950</v>
      </c>
      <c r="G23" s="11">
        <v>-1050</v>
      </c>
      <c r="H23" s="11"/>
      <c r="I23" s="11"/>
      <c r="J23" s="11">
        <f t="shared" si="0"/>
        <v>-79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>
        <v>-166</v>
      </c>
      <c r="C24" s="11">
        <v>-170</v>
      </c>
      <c r="D24" s="11"/>
      <c r="E24" s="11"/>
      <c r="F24" s="11">
        <v>-1033</v>
      </c>
      <c r="G24" s="11">
        <v>-1050</v>
      </c>
      <c r="H24" s="11"/>
      <c r="I24" s="11"/>
      <c r="J24" s="11">
        <f t="shared" si="0"/>
        <v>-21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>
        <v>-155</v>
      </c>
      <c r="C25" s="11">
        <v>-170</v>
      </c>
      <c r="D25" s="11"/>
      <c r="E25" s="11"/>
      <c r="F25" s="11">
        <v>-1036</v>
      </c>
      <c r="G25" s="11">
        <v>-1050</v>
      </c>
      <c r="H25" s="11"/>
      <c r="I25" s="11"/>
      <c r="J25" s="11">
        <f t="shared" si="0"/>
        <v>-29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-3091</v>
      </c>
      <c r="C37" s="11">
        <f t="shared" ref="C37:I37" si="1">SUM(C6:C36)</f>
        <v>-3400</v>
      </c>
      <c r="D37" s="11">
        <f t="shared" si="1"/>
        <v>0</v>
      </c>
      <c r="E37" s="11">
        <f t="shared" si="1"/>
        <v>0</v>
      </c>
      <c r="F37" s="11">
        <f t="shared" si="1"/>
        <v>-21855</v>
      </c>
      <c r="G37" s="11">
        <f t="shared" si="1"/>
        <v>-21000</v>
      </c>
      <c r="H37" s="11">
        <f t="shared" si="1"/>
        <v>0</v>
      </c>
      <c r="I37" s="11">
        <f t="shared" si="1"/>
        <v>0</v>
      </c>
      <c r="J37" s="11">
        <f>SUM(J6:J36)</f>
        <v>546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2.14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1168.44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37256</v>
      </c>
      <c r="C41" s="25"/>
      <c r="E41" s="25"/>
      <c r="G41" s="25"/>
      <c r="I41" s="25"/>
      <c r="J41" s="542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22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37276</v>
      </c>
      <c r="J43" s="322">
        <f>+J41+J39</f>
        <v>-34371.89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37256</v>
      </c>
      <c r="B48" s="32"/>
      <c r="C48" s="32"/>
      <c r="D48" s="532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37276</v>
      </c>
      <c r="B49" s="32"/>
      <c r="C49" s="32"/>
      <c r="D49" s="355">
        <f>+J37</f>
        <v>546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-2888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7" workbookViewId="0">
      <selection activeCell="A49" sqref="A49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302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304</v>
      </c>
      <c r="C4" s="4"/>
      <c r="D4" s="38" t="s">
        <v>305</v>
      </c>
      <c r="E4" s="4"/>
      <c r="F4" s="38" t="s">
        <v>306</v>
      </c>
      <c r="G4" s="4"/>
      <c r="H4" s="38" t="s">
        <v>307</v>
      </c>
      <c r="I4" s="4"/>
      <c r="J4" s="38" t="s">
        <v>308</v>
      </c>
      <c r="K4" s="4"/>
      <c r="L4" s="38" t="s">
        <v>309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506"/>
      <c r="C6" s="11"/>
      <c r="D6" s="506"/>
      <c r="E6" s="11"/>
      <c r="F6" s="506"/>
      <c r="G6" s="11"/>
      <c r="H6" s="506"/>
      <c r="I6" s="11"/>
      <c r="J6" s="506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506"/>
      <c r="C7" s="11"/>
      <c r="D7" s="506"/>
      <c r="E7" s="11"/>
      <c r="F7" s="506"/>
      <c r="G7" s="11"/>
      <c r="H7" s="506"/>
      <c r="I7" s="11"/>
      <c r="J7" s="506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506"/>
      <c r="C8" s="11"/>
      <c r="D8" s="506"/>
      <c r="E8" s="11"/>
      <c r="F8" s="506"/>
      <c r="G8" s="11"/>
      <c r="H8" s="506"/>
      <c r="I8" s="11"/>
      <c r="J8" s="506"/>
      <c r="K8" s="11"/>
      <c r="L8" s="11">
        <v>-911</v>
      </c>
      <c r="M8" s="11">
        <v>-581</v>
      </c>
      <c r="N8" s="11">
        <f t="shared" si="0"/>
        <v>330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506"/>
      <c r="C9" s="11"/>
      <c r="D9" s="506"/>
      <c r="E9" s="11"/>
      <c r="F9" s="506"/>
      <c r="G9" s="11"/>
      <c r="H9" s="506"/>
      <c r="I9" s="11"/>
      <c r="J9" s="506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506"/>
      <c r="C10" s="11"/>
      <c r="D10" s="506"/>
      <c r="E10" s="11"/>
      <c r="F10" s="506"/>
      <c r="G10" s="11"/>
      <c r="H10" s="506"/>
      <c r="I10" s="11"/>
      <c r="J10" s="506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506"/>
      <c r="C11" s="11"/>
      <c r="D11" s="506"/>
      <c r="E11" s="11"/>
      <c r="F11" s="506"/>
      <c r="G11" s="11"/>
      <c r="H11" s="506"/>
      <c r="I11" s="11"/>
      <c r="J11" s="506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506"/>
      <c r="C12" s="11"/>
      <c r="D12" s="506"/>
      <c r="E12" s="11"/>
      <c r="F12" s="506"/>
      <c r="G12" s="11"/>
      <c r="H12" s="506"/>
      <c r="I12" s="11"/>
      <c r="J12" s="506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506"/>
      <c r="C13" s="11"/>
      <c r="D13" s="506"/>
      <c r="E13" s="11"/>
      <c r="F13" s="506"/>
      <c r="G13" s="11"/>
      <c r="H13" s="506"/>
      <c r="I13" s="11"/>
      <c r="J13" s="506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506"/>
      <c r="C14" s="11"/>
      <c r="D14" s="506"/>
      <c r="E14" s="11"/>
      <c r="F14" s="506"/>
      <c r="G14" s="11"/>
      <c r="H14" s="506"/>
      <c r="I14" s="11"/>
      <c r="J14" s="506"/>
      <c r="K14" s="11"/>
      <c r="L14" s="11">
        <v>-884</v>
      </c>
      <c r="M14" s="11">
        <v>-581</v>
      </c>
      <c r="N14" s="11">
        <f t="shared" si="0"/>
        <v>303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506"/>
      <c r="C15" s="11"/>
      <c r="D15" s="506"/>
      <c r="E15" s="11"/>
      <c r="F15" s="506"/>
      <c r="G15" s="11"/>
      <c r="H15" s="506"/>
      <c r="I15" s="11"/>
      <c r="J15" s="506"/>
      <c r="K15" s="11"/>
      <c r="L15" s="11">
        <v>-856</v>
      </c>
      <c r="M15" s="11">
        <v>-581</v>
      </c>
      <c r="N15" s="11">
        <f t="shared" si="0"/>
        <v>275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506"/>
      <c r="C16" s="11"/>
      <c r="D16" s="506"/>
      <c r="E16" s="11"/>
      <c r="F16" s="506"/>
      <c r="G16" s="11"/>
      <c r="H16" s="506"/>
      <c r="I16" s="11"/>
      <c r="J16" s="506"/>
      <c r="K16" s="11"/>
      <c r="L16" s="11">
        <v>-595</v>
      </c>
      <c r="M16" s="11">
        <v>-581</v>
      </c>
      <c r="N16" s="11">
        <f>+M16+K16+I16+G16+E16+C16-L16-J16-H16-F16-D16-B16</f>
        <v>14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506"/>
      <c r="C17" s="11"/>
      <c r="D17" s="506"/>
      <c r="E17" s="11"/>
      <c r="F17" s="506"/>
      <c r="G17" s="11"/>
      <c r="H17" s="506"/>
      <c r="I17" s="11"/>
      <c r="J17" s="506"/>
      <c r="K17" s="11"/>
      <c r="L17" s="11">
        <v>-581</v>
      </c>
      <c r="M17" s="11">
        <v>-581</v>
      </c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506"/>
      <c r="C18" s="11"/>
      <c r="D18" s="506"/>
      <c r="E18" s="11"/>
      <c r="F18" s="506"/>
      <c r="G18" s="11"/>
      <c r="H18" s="506"/>
      <c r="I18" s="11"/>
      <c r="J18" s="506"/>
      <c r="K18" s="11"/>
      <c r="L18" s="11">
        <v>-639</v>
      </c>
      <c r="M18" s="11">
        <v>-778</v>
      </c>
      <c r="N18" s="11">
        <f>+M18+K18+I18+G18+E18+C18-L18-J18-H18-F18-D18-B18</f>
        <v>-139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506"/>
      <c r="C19" s="11"/>
      <c r="D19" s="506"/>
      <c r="E19" s="11"/>
      <c r="F19" s="506"/>
      <c r="G19" s="11"/>
      <c r="H19" s="506"/>
      <c r="I19" s="11"/>
      <c r="J19" s="506"/>
      <c r="K19" s="11"/>
      <c r="L19" s="11">
        <v>-677</v>
      </c>
      <c r="M19" s="11">
        <v>-778</v>
      </c>
      <c r="N19" s="11">
        <f>+M19+K19+I19+G19+E19+C19-L19-J19-H19-F19-D19-B19</f>
        <v>-101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506"/>
      <c r="C20" s="11"/>
      <c r="D20" s="506"/>
      <c r="E20" s="11"/>
      <c r="F20" s="506"/>
      <c r="G20" s="11"/>
      <c r="H20" s="506"/>
      <c r="I20" s="11"/>
      <c r="J20" s="506"/>
      <c r="K20" s="11"/>
      <c r="L20" s="11">
        <v>-865</v>
      </c>
      <c r="M20" s="11">
        <v>-778</v>
      </c>
      <c r="N20" s="11">
        <f>+M20+K20+I20+G20+E20+C20-L20-J20-H20-F20-D20-B20</f>
        <v>87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506"/>
      <c r="C21" s="11"/>
      <c r="D21" s="506"/>
      <c r="E21" s="11"/>
      <c r="F21" s="506"/>
      <c r="G21" s="11"/>
      <c r="H21" s="506"/>
      <c r="I21" s="11"/>
      <c r="J21" s="506"/>
      <c r="K21" s="11"/>
      <c r="L21" s="11">
        <v>-591</v>
      </c>
      <c r="M21" s="11">
        <v>-778</v>
      </c>
      <c r="N21" s="11">
        <f t="shared" si="0"/>
        <v>-187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506"/>
      <c r="C22" s="11"/>
      <c r="D22" s="506"/>
      <c r="E22" s="11"/>
      <c r="F22" s="506"/>
      <c r="G22" s="11"/>
      <c r="H22" s="506"/>
      <c r="I22" s="11"/>
      <c r="J22" s="506"/>
      <c r="K22" s="11"/>
      <c r="L22" s="11">
        <v>-988</v>
      </c>
      <c r="M22" s="11">
        <v>-778</v>
      </c>
      <c r="N22" s="11">
        <f t="shared" si="0"/>
        <v>210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506"/>
      <c r="C23" s="11"/>
      <c r="D23" s="506"/>
      <c r="E23" s="11"/>
      <c r="F23" s="506"/>
      <c r="G23" s="11"/>
      <c r="H23" s="506"/>
      <c r="I23" s="11"/>
      <c r="J23" s="506"/>
      <c r="K23" s="11"/>
      <c r="L23" s="11">
        <v>-803</v>
      </c>
      <c r="M23" s="11">
        <v>-778</v>
      </c>
      <c r="N23" s="11">
        <f t="shared" si="0"/>
        <v>25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506"/>
      <c r="C24" s="11"/>
      <c r="D24" s="506"/>
      <c r="E24" s="11"/>
      <c r="F24" s="506"/>
      <c r="G24" s="11"/>
      <c r="H24" s="506"/>
      <c r="I24" s="11"/>
      <c r="J24" s="506"/>
      <c r="K24" s="11"/>
      <c r="L24" s="11">
        <v>-882</v>
      </c>
      <c r="M24" s="11">
        <v>-778</v>
      </c>
      <c r="N24" s="11">
        <f t="shared" si="0"/>
        <v>104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506"/>
      <c r="C25" s="11"/>
      <c r="D25" s="506"/>
      <c r="E25" s="11"/>
      <c r="F25" s="506"/>
      <c r="G25" s="11"/>
      <c r="H25" s="506"/>
      <c r="I25" s="11"/>
      <c r="J25" s="506"/>
      <c r="K25" s="11"/>
      <c r="L25" s="11">
        <v>-768</v>
      </c>
      <c r="M25" s="11">
        <v>-778</v>
      </c>
      <c r="N25" s="11">
        <f t="shared" si="0"/>
        <v>-10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506"/>
      <c r="C26" s="11"/>
      <c r="D26" s="506"/>
      <c r="E26" s="11"/>
      <c r="F26" s="506"/>
      <c r="G26" s="11"/>
      <c r="H26" s="506"/>
      <c r="I26" s="11"/>
      <c r="J26" s="506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506"/>
      <c r="C27" s="11"/>
      <c r="D27" s="506"/>
      <c r="E27" s="11"/>
      <c r="F27" s="506"/>
      <c r="G27" s="11"/>
      <c r="H27" s="506"/>
      <c r="I27" s="11"/>
      <c r="J27" s="506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506"/>
      <c r="C28" s="11"/>
      <c r="D28" s="506"/>
      <c r="E28" s="11"/>
      <c r="F28" s="506"/>
      <c r="G28" s="11"/>
      <c r="H28" s="506"/>
      <c r="I28" s="11"/>
      <c r="J28" s="506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506"/>
      <c r="C29" s="11"/>
      <c r="D29" s="506"/>
      <c r="E29" s="11"/>
      <c r="F29" s="506"/>
      <c r="G29" s="11"/>
      <c r="H29" s="506"/>
      <c r="I29" s="11"/>
      <c r="J29" s="506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506"/>
      <c r="C30" s="11"/>
      <c r="D30" s="506"/>
      <c r="E30" s="11"/>
      <c r="F30" s="506"/>
      <c r="G30" s="11"/>
      <c r="H30" s="506"/>
      <c r="I30" s="11"/>
      <c r="J30" s="506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-15626</v>
      </c>
      <c r="M37" s="11">
        <f>SUM(M6:M36)</f>
        <v>-13196</v>
      </c>
      <c r="N37" s="11">
        <f t="shared" si="1"/>
        <v>2430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2.14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5200.2000000000007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37256</v>
      </c>
      <c r="C41" s="25"/>
      <c r="E41" s="25"/>
      <c r="G41" s="25"/>
      <c r="I41" s="25"/>
      <c r="K41" s="25"/>
      <c r="M41" s="25"/>
      <c r="N41" s="542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22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37276</v>
      </c>
      <c r="N43" s="322">
        <f>+N41+N39</f>
        <v>36888.69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37256</v>
      </c>
      <c r="B48" s="32"/>
      <c r="C48" s="32"/>
      <c r="D48" s="532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37276</v>
      </c>
      <c r="B49" s="32"/>
      <c r="C49" s="32"/>
      <c r="D49" s="355">
        <f>+N37</f>
        <v>2430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14111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31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">
      <c r="A14" s="10">
        <v>9</v>
      </c>
      <c r="B14" s="11">
        <v>249</v>
      </c>
      <c r="C14" s="11">
        <v>150</v>
      </c>
      <c r="D14" s="25">
        <f t="shared" si="0"/>
        <v>-99</v>
      </c>
    </row>
    <row r="15" spans="1:4" x14ac:dyDescent="0.2">
      <c r="A15" s="10">
        <v>10</v>
      </c>
      <c r="B15" s="11">
        <v>205</v>
      </c>
      <c r="C15" s="11">
        <v>150</v>
      </c>
      <c r="D15" s="25">
        <f t="shared" si="0"/>
        <v>-55</v>
      </c>
    </row>
    <row r="16" spans="1:4" x14ac:dyDescent="0.2">
      <c r="A16" s="10">
        <v>11</v>
      </c>
      <c r="B16" s="11">
        <v>276</v>
      </c>
      <c r="C16" s="11">
        <v>150</v>
      </c>
      <c r="D16" s="25">
        <f t="shared" si="0"/>
        <v>-126</v>
      </c>
    </row>
    <row r="17" spans="1:4" x14ac:dyDescent="0.2">
      <c r="A17" s="10">
        <v>12</v>
      </c>
      <c r="B17" s="11">
        <v>238</v>
      </c>
      <c r="C17" s="11">
        <v>150</v>
      </c>
      <c r="D17" s="25">
        <f t="shared" si="0"/>
        <v>-88</v>
      </c>
    </row>
    <row r="18" spans="1:4" x14ac:dyDescent="0.2">
      <c r="A18" s="10">
        <v>13</v>
      </c>
      <c r="B18" s="11">
        <v>257</v>
      </c>
      <c r="C18" s="11">
        <v>150</v>
      </c>
      <c r="D18" s="25">
        <f t="shared" si="0"/>
        <v>-107</v>
      </c>
    </row>
    <row r="19" spans="1:4" x14ac:dyDescent="0.2">
      <c r="A19" s="10">
        <v>14</v>
      </c>
      <c r="B19" s="11">
        <v>221</v>
      </c>
      <c r="C19" s="11">
        <v>150</v>
      </c>
      <c r="D19" s="25">
        <f t="shared" si="0"/>
        <v>-71</v>
      </c>
    </row>
    <row r="20" spans="1:4" x14ac:dyDescent="0.2">
      <c r="A20" s="10">
        <v>15</v>
      </c>
      <c r="B20" s="11">
        <v>315</v>
      </c>
      <c r="C20" s="11">
        <v>150</v>
      </c>
      <c r="D20" s="25">
        <f t="shared" si="0"/>
        <v>-165</v>
      </c>
    </row>
    <row r="21" spans="1:4" x14ac:dyDescent="0.2">
      <c r="A21" s="10">
        <v>16</v>
      </c>
      <c r="B21" s="11">
        <v>253</v>
      </c>
      <c r="C21" s="11">
        <v>150</v>
      </c>
      <c r="D21" s="25">
        <f t="shared" si="0"/>
        <v>-103</v>
      </c>
    </row>
    <row r="22" spans="1:4" x14ac:dyDescent="0.2">
      <c r="A22" s="10">
        <v>17</v>
      </c>
      <c r="B22" s="11">
        <v>222</v>
      </c>
      <c r="C22" s="11">
        <v>150</v>
      </c>
      <c r="D22" s="25">
        <f t="shared" si="0"/>
        <v>-72</v>
      </c>
    </row>
    <row r="23" spans="1:4" x14ac:dyDescent="0.2">
      <c r="A23" s="10">
        <v>18</v>
      </c>
      <c r="B23" s="11">
        <v>204</v>
      </c>
      <c r="C23" s="11">
        <v>150</v>
      </c>
      <c r="D23" s="25">
        <f t="shared" si="0"/>
        <v>-54</v>
      </c>
    </row>
    <row r="24" spans="1:4" x14ac:dyDescent="0.2">
      <c r="A24" s="10">
        <v>19</v>
      </c>
      <c r="B24" s="11">
        <v>275</v>
      </c>
      <c r="C24" s="11">
        <v>150</v>
      </c>
      <c r="D24" s="25">
        <f t="shared" si="0"/>
        <v>-125</v>
      </c>
    </row>
    <row r="25" spans="1:4" x14ac:dyDescent="0.2">
      <c r="A25" s="10">
        <v>20</v>
      </c>
      <c r="B25" s="11">
        <v>286</v>
      </c>
      <c r="C25" s="11">
        <v>150</v>
      </c>
      <c r="D25" s="25">
        <f t="shared" si="0"/>
        <v>-136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4721</v>
      </c>
      <c r="C37" s="11">
        <f>SUM(C6:C36)</f>
        <v>3000</v>
      </c>
      <c r="D37" s="25">
        <f>SUM(D6:D36)</f>
        <v>-1721</v>
      </c>
    </row>
    <row r="38" spans="1:4" x14ac:dyDescent="0.2">
      <c r="A38" s="26"/>
      <c r="C38" s="14"/>
      <c r="D38" s="329">
        <f>+summary!G5</f>
        <v>2.15</v>
      </c>
    </row>
    <row r="39" spans="1:4" x14ac:dyDescent="0.2">
      <c r="D39" s="138">
        <f>+D38*D37</f>
        <v>-3700.1499999999996</v>
      </c>
    </row>
    <row r="40" spans="1:4" x14ac:dyDescent="0.2">
      <c r="A40" s="57">
        <v>37256</v>
      </c>
      <c r="C40" s="15"/>
      <c r="D40" s="537">
        <v>180048.98</v>
      </c>
    </row>
    <row r="41" spans="1:4" x14ac:dyDescent="0.2">
      <c r="A41" s="57">
        <v>37276</v>
      </c>
      <c r="C41" s="48"/>
      <c r="D41" s="138">
        <f>+D40+D39</f>
        <v>176348.83000000002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79013</v>
      </c>
    </row>
    <row r="47" spans="1:4" x14ac:dyDescent="0.2">
      <c r="A47" s="49">
        <f>+A41</f>
        <v>37276</v>
      </c>
      <c r="B47" s="32"/>
      <c r="C47" s="32"/>
      <c r="D47" s="355">
        <f>+D37</f>
        <v>-1721</v>
      </c>
    </row>
    <row r="48" spans="1:4" x14ac:dyDescent="0.2">
      <c r="A48" s="32"/>
      <c r="B48" s="32"/>
      <c r="C48" s="32"/>
      <c r="D48" s="14">
        <f>+D47+D46</f>
        <v>77292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31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">
      <c r="A14" s="10">
        <v>9</v>
      </c>
      <c r="B14" s="11">
        <v>35</v>
      </c>
      <c r="C14" s="11">
        <v>441</v>
      </c>
      <c r="D14" s="25">
        <f t="shared" si="0"/>
        <v>406</v>
      </c>
    </row>
    <row r="15" spans="1:4" x14ac:dyDescent="0.2">
      <c r="A15" s="10">
        <v>10</v>
      </c>
      <c r="B15" s="11">
        <v>1124</v>
      </c>
      <c r="C15" s="11">
        <v>441</v>
      </c>
      <c r="D15" s="25">
        <f t="shared" si="0"/>
        <v>-683</v>
      </c>
    </row>
    <row r="16" spans="1:4" x14ac:dyDescent="0.2">
      <c r="A16" s="10">
        <v>11</v>
      </c>
      <c r="B16" s="11">
        <v>1826</v>
      </c>
      <c r="C16" s="11">
        <v>88</v>
      </c>
      <c r="D16" s="25">
        <f t="shared" si="0"/>
        <v>-1738</v>
      </c>
    </row>
    <row r="17" spans="1:4" x14ac:dyDescent="0.2">
      <c r="A17" s="10">
        <v>12</v>
      </c>
      <c r="B17" s="11">
        <v>309</v>
      </c>
      <c r="C17" s="11">
        <v>88</v>
      </c>
      <c r="D17" s="25">
        <f t="shared" si="0"/>
        <v>-221</v>
      </c>
    </row>
    <row r="18" spans="1:4" x14ac:dyDescent="0.2">
      <c r="A18" s="10">
        <v>13</v>
      </c>
      <c r="B18" s="11">
        <v>726</v>
      </c>
      <c r="C18" s="11">
        <v>88</v>
      </c>
      <c r="D18" s="25">
        <f t="shared" si="0"/>
        <v>-638</v>
      </c>
    </row>
    <row r="19" spans="1:4" x14ac:dyDescent="0.2">
      <c r="A19" s="10">
        <v>14</v>
      </c>
      <c r="B19" s="11">
        <v>1551</v>
      </c>
      <c r="C19" s="11">
        <v>88</v>
      </c>
      <c r="D19" s="25">
        <f t="shared" si="0"/>
        <v>-1463</v>
      </c>
    </row>
    <row r="20" spans="1:4" x14ac:dyDescent="0.2">
      <c r="A20" s="10">
        <v>15</v>
      </c>
      <c r="B20" s="11">
        <v>1261</v>
      </c>
      <c r="C20" s="11">
        <v>88</v>
      </c>
      <c r="D20" s="25">
        <f t="shared" si="0"/>
        <v>-1173</v>
      </c>
    </row>
    <row r="21" spans="1:4" x14ac:dyDescent="0.2">
      <c r="A21" s="10">
        <v>16</v>
      </c>
      <c r="B21" s="11">
        <v>386</v>
      </c>
      <c r="C21" s="11">
        <v>88</v>
      </c>
      <c r="D21" s="25">
        <f t="shared" si="0"/>
        <v>-298</v>
      </c>
    </row>
    <row r="22" spans="1:4" x14ac:dyDescent="0.2">
      <c r="A22" s="10">
        <v>17</v>
      </c>
      <c r="B22" s="11">
        <v>33</v>
      </c>
      <c r="C22" s="11">
        <v>88</v>
      </c>
      <c r="D22" s="25">
        <f t="shared" si="0"/>
        <v>55</v>
      </c>
    </row>
    <row r="23" spans="1:4" x14ac:dyDescent="0.2">
      <c r="A23" s="10">
        <v>18</v>
      </c>
      <c r="B23" s="11">
        <v>56</v>
      </c>
      <c r="C23" s="11">
        <v>88</v>
      </c>
      <c r="D23" s="25">
        <f t="shared" si="0"/>
        <v>32</v>
      </c>
    </row>
    <row r="24" spans="1:4" x14ac:dyDescent="0.2">
      <c r="A24" s="10">
        <v>19</v>
      </c>
      <c r="B24" s="11">
        <v>86</v>
      </c>
      <c r="C24" s="11">
        <v>88</v>
      </c>
      <c r="D24" s="25">
        <f t="shared" si="0"/>
        <v>2</v>
      </c>
    </row>
    <row r="25" spans="1:4" x14ac:dyDescent="0.2">
      <c r="A25" s="10">
        <v>20</v>
      </c>
      <c r="B25" s="11">
        <v>3</v>
      </c>
      <c r="C25" s="11">
        <v>88</v>
      </c>
      <c r="D25" s="25">
        <f t="shared" si="0"/>
        <v>85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8045</v>
      </c>
      <c r="C37" s="11">
        <f>SUM(C6:C36)</f>
        <v>5290</v>
      </c>
      <c r="D37" s="25">
        <f>SUM(D6:D36)</f>
        <v>-2755</v>
      </c>
    </row>
    <row r="38" spans="1:4" x14ac:dyDescent="0.2">
      <c r="A38" s="26"/>
      <c r="C38" s="14"/>
      <c r="D38" s="329">
        <f>+summary!G5</f>
        <v>2.15</v>
      </c>
    </row>
    <row r="39" spans="1:4" x14ac:dyDescent="0.2">
      <c r="D39" s="138">
        <f>+D38*D37</f>
        <v>-5923.25</v>
      </c>
    </row>
    <row r="40" spans="1:4" x14ac:dyDescent="0.2">
      <c r="A40" s="57">
        <v>37256</v>
      </c>
      <c r="C40" s="15"/>
      <c r="D40" s="537">
        <v>161292.49</v>
      </c>
    </row>
    <row r="41" spans="1:4" x14ac:dyDescent="0.2">
      <c r="A41" s="57">
        <v>37276</v>
      </c>
      <c r="C41" s="48"/>
      <c r="D41" s="138">
        <f>+D40+D39</f>
        <v>155369.24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33971</v>
      </c>
    </row>
    <row r="47" spans="1:4" x14ac:dyDescent="0.2">
      <c r="A47" s="49">
        <f>+A41</f>
        <v>37276</v>
      </c>
      <c r="B47" s="32"/>
      <c r="C47" s="32"/>
      <c r="D47" s="355">
        <f>+D37</f>
        <v>-2755</v>
      </c>
    </row>
    <row r="48" spans="1:4" x14ac:dyDescent="0.2">
      <c r="A48" s="32"/>
      <c r="B48" s="32"/>
      <c r="C48" s="32"/>
      <c r="D48" s="14">
        <f>+D47+D46</f>
        <v>31216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2" workbookViewId="0">
      <selection activeCell="D33" sqref="D33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">
      <c r="A14" s="41">
        <v>10</v>
      </c>
      <c r="B14" s="11">
        <v>-14997</v>
      </c>
      <c r="C14" s="11">
        <v>-15000</v>
      </c>
      <c r="D14" s="129">
        <v>-93909</v>
      </c>
      <c r="E14" s="11">
        <v>-93216</v>
      </c>
      <c r="F14" s="11">
        <f t="shared" si="0"/>
        <v>690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">
      <c r="A15" s="41">
        <v>11</v>
      </c>
      <c r="B15" s="11">
        <v>-613</v>
      </c>
      <c r="C15" s="11"/>
      <c r="D15" s="11">
        <v>-79398</v>
      </c>
      <c r="E15" s="11">
        <v>-78955</v>
      </c>
      <c r="F15" s="11">
        <f t="shared" si="0"/>
        <v>1056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">
      <c r="A16" s="41">
        <v>12</v>
      </c>
      <c r="B16" s="11">
        <v>-5137</v>
      </c>
      <c r="C16" s="11">
        <v>-5000</v>
      </c>
      <c r="D16" s="11">
        <v>-58921</v>
      </c>
      <c r="E16" s="11">
        <v>-59382</v>
      </c>
      <c r="F16" s="11">
        <f t="shared" si="0"/>
        <v>-324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">
      <c r="A17" s="41">
        <v>13</v>
      </c>
      <c r="B17" s="11">
        <v>-5527</v>
      </c>
      <c r="C17" s="11">
        <v>-5000</v>
      </c>
      <c r="D17" s="11">
        <v>-59922</v>
      </c>
      <c r="E17" s="11">
        <v>-59382</v>
      </c>
      <c r="F17" s="11">
        <f t="shared" si="0"/>
        <v>1067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">
      <c r="A18" s="41">
        <v>14</v>
      </c>
      <c r="B18" s="11">
        <v>-5814</v>
      </c>
      <c r="C18" s="11">
        <v>-5000</v>
      </c>
      <c r="D18" s="11">
        <v>-57766</v>
      </c>
      <c r="E18" s="11">
        <v>-57060</v>
      </c>
      <c r="F18" s="11">
        <f t="shared" si="0"/>
        <v>1520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">
      <c r="A19" s="41">
        <v>15</v>
      </c>
      <c r="B19" s="11"/>
      <c r="C19" s="11"/>
      <c r="D19" s="11">
        <v>-88029</v>
      </c>
      <c r="E19" s="11">
        <v>-87799</v>
      </c>
      <c r="F19" s="11">
        <f t="shared" si="0"/>
        <v>230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">
      <c r="A20" s="41">
        <v>16</v>
      </c>
      <c r="B20" s="11">
        <v>-4789</v>
      </c>
      <c r="C20" s="11">
        <v>-4155</v>
      </c>
      <c r="D20" s="11">
        <v>-81538</v>
      </c>
      <c r="E20" s="11">
        <v>-80882</v>
      </c>
      <c r="F20" s="11">
        <f t="shared" si="0"/>
        <v>1290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">
      <c r="A21" s="41">
        <v>17</v>
      </c>
      <c r="B21" s="11">
        <v>-22716</v>
      </c>
      <c r="C21" s="11">
        <v>-22154</v>
      </c>
      <c r="D21" s="11">
        <v>-91857</v>
      </c>
      <c r="E21" s="11">
        <v>-91315</v>
      </c>
      <c r="F21" s="11">
        <f t="shared" si="0"/>
        <v>1104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">
      <c r="A22" s="41">
        <v>18</v>
      </c>
      <c r="B22" s="11">
        <v>-324</v>
      </c>
      <c r="C22" s="11"/>
      <c r="D22" s="11">
        <v>-65366</v>
      </c>
      <c r="E22" s="11">
        <v>-64929</v>
      </c>
      <c r="F22" s="11">
        <f t="shared" si="0"/>
        <v>761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">
      <c r="A23" s="41">
        <v>19</v>
      </c>
      <c r="B23" s="11"/>
      <c r="C23" s="11"/>
      <c r="D23" s="11">
        <v>-70622</v>
      </c>
      <c r="E23" s="11">
        <v>-72649</v>
      </c>
      <c r="F23" s="11">
        <f t="shared" si="0"/>
        <v>-2027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">
      <c r="A24" s="41">
        <v>20</v>
      </c>
      <c r="B24" s="11"/>
      <c r="C24" s="11"/>
      <c r="D24" s="11">
        <v>-72881</v>
      </c>
      <c r="E24" s="11">
        <v>-72649</v>
      </c>
      <c r="F24" s="11">
        <f t="shared" si="0"/>
        <v>232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">
      <c r="A36" s="41"/>
      <c r="B36" s="11">
        <f>SUM(B5:B35)</f>
        <v>-204636</v>
      </c>
      <c r="C36" s="44">
        <f>SUM(C5:C35)</f>
        <v>-201068</v>
      </c>
      <c r="D36" s="43">
        <f>SUM(D5:D35)</f>
        <v>-1392089</v>
      </c>
      <c r="E36" s="43">
        <f>SUM(E5:E35)</f>
        <v>-1384691</v>
      </c>
      <c r="F36" s="11">
        <f>SUM(F5:F35)</f>
        <v>10966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6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">
      <c r="A39" s="32"/>
      <c r="B39" s="32"/>
      <c r="C39" s="15"/>
      <c r="D39" s="15"/>
      <c r="E39" s="15"/>
      <c r="F39" s="500">
        <f>+summary!G5</f>
        <v>2.15</v>
      </c>
      <c r="G39" s="32"/>
      <c r="H39" s="204"/>
      <c r="I39" s="150"/>
      <c r="J39" s="351"/>
      <c r="K39" s="457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">
      <c r="A40" s="32"/>
      <c r="B40" s="32"/>
      <c r="C40" s="48"/>
      <c r="D40" s="47"/>
      <c r="E40" s="48"/>
      <c r="F40" s="46">
        <f>+F39*F36</f>
        <v>23576.899999999998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">
      <c r="A41" s="32"/>
      <c r="B41" s="32"/>
      <c r="C41" s="47"/>
      <c r="D41" s="47"/>
      <c r="E41" s="47"/>
      <c r="F41" s="24"/>
      <c r="G41" s="32"/>
      <c r="H41" s="458"/>
      <c r="I41" s="206"/>
      <c r="J41" s="459"/>
      <c r="K41" s="459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">
      <c r="A42" s="57">
        <v>37256</v>
      </c>
      <c r="B42" s="32"/>
      <c r="C42" s="467"/>
      <c r="D42" s="111"/>
      <c r="E42" s="467"/>
      <c r="F42" s="499">
        <v>9676</v>
      </c>
      <c r="G42" s="32"/>
      <c r="H42" s="458"/>
      <c r="I42" s="206"/>
      <c r="J42" s="459"/>
      <c r="K42" s="459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">
      <c r="A43" s="57">
        <v>37276</v>
      </c>
      <c r="B43" s="32"/>
      <c r="C43" s="106"/>
      <c r="D43" s="106"/>
      <c r="E43" s="106"/>
      <c r="F43" s="24">
        <f>+F40+F42</f>
        <v>33252.899999999994</v>
      </c>
      <c r="H43" s="293"/>
      <c r="I43" s="293"/>
      <c r="J43" s="293"/>
      <c r="K43" s="293"/>
      <c r="L43" s="460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">
      <c r="A46" s="41"/>
      <c r="B46" s="11"/>
      <c r="C46" s="267"/>
      <c r="D46" s="102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">
      <c r="A47" s="32" t="s">
        <v>318</v>
      </c>
      <c r="B47" s="32"/>
      <c r="C47" s="32"/>
      <c r="D47" s="15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">
      <c r="A48" s="49">
        <f>+A42</f>
        <v>37256</v>
      </c>
      <c r="B48" s="32"/>
      <c r="C48" s="32"/>
      <c r="D48" s="516">
        <v>19943.240000000002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">
      <c r="A49" s="49">
        <f>+A43</f>
        <v>37276</v>
      </c>
      <c r="B49" s="32"/>
      <c r="C49" s="32"/>
      <c r="D49" s="76">
        <f>+F36</f>
        <v>10966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">
      <c r="A50" s="32"/>
      <c r="B50" s="32"/>
      <c r="C50" s="32"/>
      <c r="D50" s="75">
        <f>+D49+D48</f>
        <v>30909.24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">
      <c r="D51" s="259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C42" sqref="C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0" t="s">
        <v>213</v>
      </c>
      <c r="C3" s="208"/>
      <c r="D3" s="450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-1667</v>
      </c>
      <c r="C14" s="24">
        <v>-1613</v>
      </c>
      <c r="D14" s="24">
        <v>-2378</v>
      </c>
      <c r="E14" s="24">
        <v>-2000</v>
      </c>
      <c r="F14" s="24">
        <f t="shared" si="0"/>
        <v>432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-1953</v>
      </c>
      <c r="C15" s="24">
        <v>-1613</v>
      </c>
      <c r="D15" s="24">
        <v>-2547</v>
      </c>
      <c r="E15" s="24">
        <v>-2000</v>
      </c>
      <c r="F15" s="24">
        <f t="shared" si="0"/>
        <v>887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-2326</v>
      </c>
      <c r="C16" s="24">
        <v>-1613</v>
      </c>
      <c r="D16" s="24">
        <v>-2312</v>
      </c>
      <c r="E16" s="24">
        <v>-2000</v>
      </c>
      <c r="F16" s="24">
        <f t="shared" si="0"/>
        <v>1025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-2069</v>
      </c>
      <c r="C17" s="24">
        <v>-1613</v>
      </c>
      <c r="D17" s="24">
        <v>-136</v>
      </c>
      <c r="E17" s="24">
        <v>-2000</v>
      </c>
      <c r="F17" s="24">
        <f t="shared" si="0"/>
        <v>-1408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-2204</v>
      </c>
      <c r="C18" s="24">
        <v>-1613</v>
      </c>
      <c r="D18" s="24">
        <v>-781</v>
      </c>
      <c r="E18" s="24">
        <v>-2000</v>
      </c>
      <c r="F18" s="24">
        <f t="shared" si="0"/>
        <v>-628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-2256</v>
      </c>
      <c r="C19" s="24">
        <v>-1613</v>
      </c>
      <c r="D19" s="24">
        <v>-2627</v>
      </c>
      <c r="E19" s="24">
        <v>-2000</v>
      </c>
      <c r="F19" s="24">
        <f t="shared" si="0"/>
        <v>1270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-2266</v>
      </c>
      <c r="C20" s="24">
        <v>-1613</v>
      </c>
      <c r="D20" s="24">
        <v>-2448</v>
      </c>
      <c r="E20" s="24"/>
      <c r="F20" s="24">
        <f t="shared" si="0"/>
        <v>3101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-2143</v>
      </c>
      <c r="C21" s="24">
        <v>-1613</v>
      </c>
      <c r="D21" s="24">
        <v>-2667</v>
      </c>
      <c r="E21" s="24">
        <v>-2000</v>
      </c>
      <c r="F21" s="24">
        <f t="shared" si="0"/>
        <v>1197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-2422</v>
      </c>
      <c r="C22" s="24">
        <v>-1613</v>
      </c>
      <c r="D22" s="24">
        <v>-2536</v>
      </c>
      <c r="E22" s="24">
        <v>-2000</v>
      </c>
      <c r="F22" s="24">
        <f t="shared" si="0"/>
        <v>1345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-2214</v>
      </c>
      <c r="C23" s="24">
        <v>-1613</v>
      </c>
      <c r="D23" s="24">
        <v>-2557</v>
      </c>
      <c r="E23" s="24">
        <v>-2000</v>
      </c>
      <c r="F23" s="24">
        <f t="shared" si="0"/>
        <v>1158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-2318</v>
      </c>
      <c r="C24" s="24">
        <v>-1613</v>
      </c>
      <c r="D24" s="24">
        <v>-2477</v>
      </c>
      <c r="E24" s="24">
        <v>-2000</v>
      </c>
      <c r="F24" s="24">
        <f t="shared" si="0"/>
        <v>1182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-2323</v>
      </c>
      <c r="C25" s="24">
        <v>-1613</v>
      </c>
      <c r="D25" s="24">
        <v>-723</v>
      </c>
      <c r="E25" s="24">
        <v>-2000</v>
      </c>
      <c r="F25" s="24">
        <f t="shared" si="0"/>
        <v>-567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-43289</v>
      </c>
      <c r="C37" s="24">
        <f>SUM(C6:C36)</f>
        <v>-32260</v>
      </c>
      <c r="D37" s="24">
        <f>SUM(D6:D36)</f>
        <v>-40877</v>
      </c>
      <c r="E37" s="24">
        <f>SUM(E6:E36)</f>
        <v>-38000</v>
      </c>
      <c r="F37" s="24">
        <f>SUM(F6:F36)</f>
        <v>13906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2.14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29758.84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C40" s="322"/>
      <c r="D40" s="262"/>
      <c r="E40" s="262"/>
      <c r="F40" s="531">
        <v>-133395.24</v>
      </c>
      <c r="G40" s="447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37276</v>
      </c>
      <c r="C41" s="322"/>
      <c r="D41" s="262"/>
      <c r="E41" s="262"/>
      <c r="F41" s="104">
        <f>+F40+F39</f>
        <v>-103636.4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37276</v>
      </c>
      <c r="B47" s="32"/>
      <c r="C47" s="32"/>
      <c r="D47" s="355">
        <f>+F37</f>
        <v>13906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-29506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7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0" t="s">
        <v>221</v>
      </c>
      <c r="C3" s="208"/>
      <c r="D3" s="450" t="s">
        <v>223</v>
      </c>
      <c r="E3" s="207"/>
      <c r="F3" s="450" t="s">
        <v>225</v>
      </c>
      <c r="G3" s="207"/>
      <c r="H3" s="450" t="s">
        <v>227</v>
      </c>
      <c r="I3" s="207"/>
      <c r="J3" s="450" t="s">
        <v>229</v>
      </c>
      <c r="K3" s="207"/>
      <c r="L3" s="450" t="s">
        <v>231</v>
      </c>
      <c r="M3" s="207"/>
      <c r="N3" s="450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-2155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-2065</v>
      </c>
      <c r="C12" s="24">
        <v>-2135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-95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-2033</v>
      </c>
      <c r="C13" s="24">
        <v>-2135</v>
      </c>
      <c r="D13" s="24">
        <v>-2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-125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-2041</v>
      </c>
      <c r="C14" s="24">
        <v>-2135</v>
      </c>
      <c r="D14" s="24">
        <v>-2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-117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-2149</v>
      </c>
      <c r="C15" s="24">
        <v>-2135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-2104</v>
      </c>
      <c r="C16" s="24">
        <v>-2135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-56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-2098</v>
      </c>
      <c r="C17" s="24">
        <v>-2135</v>
      </c>
      <c r="D17" s="24"/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-62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-2095</v>
      </c>
      <c r="C18" s="24">
        <v>-2135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-65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-2107</v>
      </c>
      <c r="C19" s="24">
        <v>-2135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-53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-2037</v>
      </c>
      <c r="C20" s="24">
        <v>-2135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-123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-2142</v>
      </c>
      <c r="C21" s="24">
        <v>-2135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-18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-2099</v>
      </c>
      <c r="C22" s="24">
        <v>-2135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-61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-2195</v>
      </c>
      <c r="C23" s="24">
        <v>-2135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35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-2128</v>
      </c>
      <c r="C24" s="24">
        <v>-2135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-32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-2170</v>
      </c>
      <c r="C25" s="24">
        <v>-2135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-42577</v>
      </c>
      <c r="C37" s="24">
        <f t="shared" si="1"/>
        <v>-42700</v>
      </c>
      <c r="D37" s="24">
        <f t="shared" si="1"/>
        <v>-8</v>
      </c>
      <c r="E37" s="24">
        <f t="shared" si="1"/>
        <v>-500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-615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2.14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7"/>
      <c r="P39" s="104">
        <f>+P38*P37</f>
        <v>-1316.1000000000001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7">
        <v>37256</v>
      </c>
      <c r="E40" s="14"/>
      <c r="O40" s="447"/>
      <c r="P40" s="531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7">
        <v>37276</v>
      </c>
      <c r="E41" s="14"/>
      <c r="O41" s="447"/>
      <c r="P41" s="104">
        <f>+P40+P39</f>
        <v>92673.299999999988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32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37276</v>
      </c>
      <c r="B47" s="32"/>
      <c r="C47" s="32"/>
      <c r="D47" s="355">
        <f>+P37</f>
        <v>-615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38455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C5" sqref="C5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297</v>
      </c>
      <c r="C3" s="87"/>
      <c r="D3" s="87"/>
    </row>
    <row r="4" spans="1:4" x14ac:dyDescent="0.2">
      <c r="A4" s="3"/>
      <c r="B4" s="331" t="s">
        <v>296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">
      <c r="A14" s="10">
        <v>9</v>
      </c>
      <c r="B14" s="11">
        <v>-13585</v>
      </c>
      <c r="C14" s="11">
        <v>-14000</v>
      </c>
      <c r="D14" s="25">
        <f t="shared" si="0"/>
        <v>-415</v>
      </c>
    </row>
    <row r="15" spans="1:4" x14ac:dyDescent="0.2">
      <c r="A15" s="10">
        <v>10</v>
      </c>
      <c r="B15" s="11">
        <v>-13644</v>
      </c>
      <c r="C15" s="11">
        <v>-14000</v>
      </c>
      <c r="D15" s="25">
        <f t="shared" si="0"/>
        <v>-356</v>
      </c>
    </row>
    <row r="16" spans="1:4" x14ac:dyDescent="0.2">
      <c r="A16" s="10">
        <v>11</v>
      </c>
      <c r="B16" s="11">
        <v>-13501</v>
      </c>
      <c r="C16" s="11">
        <v>-14000</v>
      </c>
      <c r="D16" s="25">
        <f t="shared" si="0"/>
        <v>-499</v>
      </c>
    </row>
    <row r="17" spans="1:4" x14ac:dyDescent="0.2">
      <c r="A17" s="10">
        <v>12</v>
      </c>
      <c r="B17" s="11">
        <v>-15295</v>
      </c>
      <c r="C17" s="11">
        <v>-14000</v>
      </c>
      <c r="D17" s="25">
        <f t="shared" si="0"/>
        <v>1295</v>
      </c>
    </row>
    <row r="18" spans="1:4" x14ac:dyDescent="0.2">
      <c r="A18" s="10">
        <v>13</v>
      </c>
      <c r="B18" s="11">
        <v>-14142</v>
      </c>
      <c r="C18" s="11">
        <v>-14000</v>
      </c>
      <c r="D18" s="25">
        <f t="shared" si="0"/>
        <v>142</v>
      </c>
    </row>
    <row r="19" spans="1:4" x14ac:dyDescent="0.2">
      <c r="A19" s="10">
        <v>14</v>
      </c>
      <c r="B19" s="11">
        <v>-14021</v>
      </c>
      <c r="C19" s="11">
        <v>-14000</v>
      </c>
      <c r="D19" s="25">
        <f t="shared" si="0"/>
        <v>21</v>
      </c>
    </row>
    <row r="20" spans="1:4" x14ac:dyDescent="0.2">
      <c r="A20" s="10">
        <v>15</v>
      </c>
      <c r="B20" s="11">
        <v>-14016</v>
      </c>
      <c r="C20" s="11">
        <v>-14000</v>
      </c>
      <c r="D20" s="25">
        <f t="shared" si="0"/>
        <v>16</v>
      </c>
    </row>
    <row r="21" spans="1:4" x14ac:dyDescent="0.2">
      <c r="A21" s="10">
        <v>16</v>
      </c>
      <c r="B21" s="11">
        <v>-12589</v>
      </c>
      <c r="C21" s="11">
        <v>-14000</v>
      </c>
      <c r="D21" s="25">
        <f t="shared" si="0"/>
        <v>-1411</v>
      </c>
    </row>
    <row r="22" spans="1:4" x14ac:dyDescent="0.2">
      <c r="A22" s="10">
        <v>17</v>
      </c>
      <c r="B22" s="11">
        <v>-13832</v>
      </c>
      <c r="C22" s="11">
        <v>-14000</v>
      </c>
      <c r="D22" s="25">
        <f t="shared" si="0"/>
        <v>-168</v>
      </c>
    </row>
    <row r="23" spans="1:4" x14ac:dyDescent="0.2">
      <c r="A23" s="10">
        <v>18</v>
      </c>
      <c r="B23" s="11">
        <v>-25911</v>
      </c>
      <c r="C23" s="11">
        <v>-25928</v>
      </c>
      <c r="D23" s="25">
        <f t="shared" si="0"/>
        <v>-17</v>
      </c>
    </row>
    <row r="24" spans="1:4" x14ac:dyDescent="0.2">
      <c r="A24" s="10">
        <v>19</v>
      </c>
      <c r="B24" s="11">
        <v>-14237</v>
      </c>
      <c r="C24" s="11">
        <v>-14000</v>
      </c>
      <c r="D24" s="25">
        <f t="shared" si="0"/>
        <v>237</v>
      </c>
    </row>
    <row r="25" spans="1:4" x14ac:dyDescent="0.2">
      <c r="A25" s="10">
        <v>20</v>
      </c>
      <c r="B25" s="11">
        <v>-13946</v>
      </c>
      <c r="C25" s="11">
        <v>-14000</v>
      </c>
      <c r="D25" s="25">
        <f t="shared" si="0"/>
        <v>-54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-287598</v>
      </c>
      <c r="C37" s="11">
        <f>SUM(C6:C36)</f>
        <v>-291928</v>
      </c>
      <c r="D37" s="25">
        <f>SUM(D6:D36)</f>
        <v>-4330</v>
      </c>
    </row>
    <row r="38" spans="1:4" x14ac:dyDescent="0.2">
      <c r="A38" s="26"/>
      <c r="C38" s="14"/>
      <c r="D38" s="329">
        <f>+summary!G4</f>
        <v>2.14</v>
      </c>
    </row>
    <row r="39" spans="1:4" x14ac:dyDescent="0.2">
      <c r="D39" s="138">
        <f>+D38*D37</f>
        <v>-9266.2000000000007</v>
      </c>
    </row>
    <row r="40" spans="1:4" x14ac:dyDescent="0.2">
      <c r="A40" s="57">
        <v>37256</v>
      </c>
      <c r="C40" s="15"/>
      <c r="D40" s="537">
        <v>-15514.53</v>
      </c>
    </row>
    <row r="41" spans="1:4" x14ac:dyDescent="0.2">
      <c r="A41" s="57">
        <v>37276</v>
      </c>
      <c r="C41" s="48"/>
      <c r="D41" s="138">
        <f>+D40+D39</f>
        <v>-24780.730000000003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5596</v>
      </c>
    </row>
    <row r="47" spans="1:4" x14ac:dyDescent="0.2">
      <c r="A47" s="49">
        <f>+A41</f>
        <v>37276</v>
      </c>
      <c r="B47" s="32"/>
      <c r="C47" s="32"/>
      <c r="D47" s="355">
        <f>+D37</f>
        <v>-4330</v>
      </c>
    </row>
    <row r="48" spans="1:4" x14ac:dyDescent="0.2">
      <c r="A48" s="32"/>
      <c r="B48" s="32"/>
      <c r="C48" s="32"/>
      <c r="D48" s="14">
        <f>+D47+D46</f>
        <v>1266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322</v>
      </c>
      <c r="C3" s="87"/>
      <c r="D3" s="87"/>
    </row>
    <row r="4" spans="1:4" x14ac:dyDescent="0.2">
      <c r="A4" s="3"/>
      <c r="B4" s="331" t="s">
        <v>323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3030</v>
      </c>
      <c r="C37" s="11">
        <f>SUM(C6:C36)</f>
        <v>2752</v>
      </c>
      <c r="D37" s="25">
        <f>SUM(D6:D36)</f>
        <v>-278</v>
      </c>
    </row>
    <row r="38" spans="1:4" x14ac:dyDescent="0.2">
      <c r="A38" s="26"/>
      <c r="C38" s="14"/>
      <c r="D38" s="329">
        <f>+summary!G5</f>
        <v>2.15</v>
      </c>
    </row>
    <row r="39" spans="1:4" x14ac:dyDescent="0.2">
      <c r="D39" s="138">
        <f>+D38*D37</f>
        <v>-597.69999999999993</v>
      </c>
    </row>
    <row r="40" spans="1:4" x14ac:dyDescent="0.2">
      <c r="A40" s="57">
        <v>37256</v>
      </c>
      <c r="C40" s="15"/>
      <c r="D40" s="537">
        <v>43180.07</v>
      </c>
    </row>
    <row r="41" spans="1:4" x14ac:dyDescent="0.2">
      <c r="A41" s="57">
        <v>37257</v>
      </c>
      <c r="C41" s="48"/>
      <c r="D41" s="138">
        <f>+D40+D39</f>
        <v>42582.37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14850</v>
      </c>
    </row>
    <row r="47" spans="1:4" x14ac:dyDescent="0.2">
      <c r="A47" s="49">
        <f>+A41</f>
        <v>37257</v>
      </c>
      <c r="B47" s="32"/>
      <c r="C47" s="32"/>
      <c r="D47" s="355">
        <f>+D37</f>
        <v>-278</v>
      </c>
    </row>
    <row r="48" spans="1:4" x14ac:dyDescent="0.2">
      <c r="A48" s="32"/>
      <c r="B48" s="32"/>
      <c r="C48" s="32"/>
      <c r="D48" s="14">
        <f>+D47+D46</f>
        <v>14572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A29" sqref="A29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64" t="s">
        <v>302</v>
      </c>
    </row>
    <row r="3" spans="1:37" x14ac:dyDescent="0.2">
      <c r="B3" s="470">
        <v>10518</v>
      </c>
      <c r="D3" s="470">
        <v>13276</v>
      </c>
      <c r="F3" s="470">
        <v>13475</v>
      </c>
      <c r="H3" s="470">
        <v>500176</v>
      </c>
      <c r="J3" s="470">
        <v>500390</v>
      </c>
      <c r="L3" s="470">
        <v>500612</v>
      </c>
    </row>
    <row r="4" spans="1:37" x14ac:dyDescent="0.2">
      <c r="B4" s="565" t="s">
        <v>304</v>
      </c>
      <c r="C4" s="566"/>
      <c r="D4" s="567" t="s">
        <v>305</v>
      </c>
      <c r="E4" s="566"/>
      <c r="F4" s="567" t="s">
        <v>306</v>
      </c>
      <c r="G4" s="566"/>
      <c r="H4" s="567" t="s">
        <v>307</v>
      </c>
      <c r="I4" s="566"/>
      <c r="J4" s="567" t="s">
        <v>308</v>
      </c>
      <c r="K4" s="566"/>
      <c r="L4" s="567" t="s">
        <v>309</v>
      </c>
      <c r="M4" s="566"/>
      <c r="N4" s="566"/>
    </row>
    <row r="5" spans="1:37" x14ac:dyDescent="0.2">
      <c r="A5" s="568" t="s">
        <v>10</v>
      </c>
      <c r="B5" s="471" t="s">
        <v>19</v>
      </c>
      <c r="C5" s="471" t="s">
        <v>20</v>
      </c>
      <c r="D5" s="471" t="s">
        <v>19</v>
      </c>
      <c r="E5" s="471" t="s">
        <v>20</v>
      </c>
      <c r="F5" s="471" t="s">
        <v>19</v>
      </c>
      <c r="G5" s="471" t="s">
        <v>20</v>
      </c>
      <c r="H5" s="471" t="s">
        <v>19</v>
      </c>
      <c r="I5" s="471" t="s">
        <v>20</v>
      </c>
      <c r="J5" s="471" t="s">
        <v>19</v>
      </c>
      <c r="K5" s="471" t="s">
        <v>20</v>
      </c>
      <c r="L5" s="471" t="s">
        <v>19</v>
      </c>
      <c r="M5" s="471" t="s">
        <v>20</v>
      </c>
      <c r="N5" s="471"/>
      <c r="P5" s="569"/>
      <c r="Q5" s="569"/>
      <c r="R5" s="569"/>
      <c r="S5" s="569"/>
      <c r="T5" s="569"/>
      <c r="V5" s="570"/>
      <c r="AA5" s="571"/>
      <c r="AB5" s="569"/>
      <c r="AC5" s="569"/>
      <c r="AD5" s="569"/>
      <c r="AE5" s="569"/>
      <c r="AF5" s="569"/>
      <c r="AH5" s="570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9"/>
      <c r="Q6" s="569"/>
      <c r="R6" s="569"/>
      <c r="S6" s="569"/>
      <c r="T6" s="569"/>
      <c r="U6" s="572"/>
      <c r="V6" s="570"/>
      <c r="Y6" s="573"/>
      <c r="AA6" s="571"/>
      <c r="AB6" s="569"/>
      <c r="AC6" s="569"/>
      <c r="AD6" s="569"/>
      <c r="AE6" s="569"/>
      <c r="AF6" s="569"/>
      <c r="AG6" s="572"/>
      <c r="AH6" s="570"/>
      <c r="AK6" s="573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74"/>
      <c r="AB7" s="575"/>
      <c r="AC7" s="575"/>
      <c r="AD7" s="575"/>
      <c r="AE7" s="575"/>
      <c r="AF7" s="575"/>
      <c r="AG7" s="19"/>
      <c r="AH7" s="576"/>
      <c r="AI7" s="252"/>
      <c r="AJ7" s="264"/>
      <c r="AK7" s="573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75"/>
      <c r="Q8" s="575"/>
      <c r="R8" s="575"/>
      <c r="S8" s="575"/>
      <c r="T8" s="575"/>
      <c r="U8" s="19"/>
      <c r="V8" s="576"/>
      <c r="W8" s="252"/>
      <c r="X8" s="264"/>
      <c r="Y8" s="573"/>
      <c r="AA8" s="574"/>
      <c r="AB8" s="575"/>
      <c r="AC8" s="575"/>
      <c r="AD8" s="575"/>
      <c r="AE8" s="575"/>
      <c r="AF8" s="575"/>
      <c r="AG8" s="19"/>
      <c r="AH8" s="576"/>
      <c r="AI8" s="252"/>
      <c r="AJ8" s="264"/>
      <c r="AK8" s="573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75"/>
      <c r="S9" s="28"/>
      <c r="T9" s="575"/>
      <c r="U9" s="19"/>
      <c r="V9" s="576"/>
      <c r="W9" s="252"/>
      <c r="X9" s="264"/>
      <c r="Y9" s="573"/>
      <c r="AA9" s="574"/>
      <c r="AB9" s="575"/>
      <c r="AC9" s="575"/>
      <c r="AD9" s="575"/>
      <c r="AE9" s="575"/>
      <c r="AF9" s="575"/>
      <c r="AG9" s="19"/>
      <c r="AH9" s="576"/>
      <c r="AI9" s="252"/>
      <c r="AJ9" s="264"/>
      <c r="AK9" s="573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75"/>
      <c r="S10" s="28"/>
      <c r="T10" s="575"/>
      <c r="U10" s="19"/>
      <c r="V10" s="576"/>
      <c r="W10" s="252"/>
      <c r="X10" s="264"/>
      <c r="Y10" s="573"/>
      <c r="AA10" s="574"/>
      <c r="AB10" s="575"/>
      <c r="AC10" s="575"/>
      <c r="AD10" s="575"/>
      <c r="AE10" s="575"/>
      <c r="AF10" s="575"/>
      <c r="AG10" s="19"/>
      <c r="AH10" s="576"/>
      <c r="AI10" s="252"/>
      <c r="AJ10" s="264"/>
      <c r="AK10" s="573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75"/>
      <c r="S11" s="28"/>
      <c r="T11" s="575"/>
      <c r="U11" s="19"/>
      <c r="V11" s="576"/>
      <c r="W11" s="252"/>
      <c r="X11" s="264"/>
      <c r="Y11" s="573"/>
      <c r="AA11" s="574"/>
      <c r="AB11" s="575"/>
      <c r="AC11" s="575"/>
      <c r="AD11" s="575"/>
      <c r="AE11" s="575"/>
      <c r="AF11" s="575"/>
      <c r="AG11" s="19"/>
      <c r="AH11" s="576"/>
      <c r="AI11" s="252"/>
      <c r="AJ11" s="264"/>
      <c r="AK11" s="573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75"/>
      <c r="S12" s="28"/>
      <c r="T12" s="575"/>
      <c r="U12" s="19"/>
      <c r="V12" s="576"/>
      <c r="W12" s="252"/>
      <c r="X12" s="264"/>
      <c r="Y12" s="573"/>
      <c r="AA12" s="574"/>
      <c r="AB12" s="575"/>
      <c r="AC12" s="575"/>
      <c r="AD12" s="575"/>
      <c r="AE12" s="575"/>
      <c r="AF12" s="575"/>
      <c r="AG12" s="19"/>
      <c r="AH12" s="576"/>
      <c r="AI12" s="252"/>
      <c r="AJ12" s="264"/>
      <c r="AK12" s="573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75"/>
      <c r="S13" s="577"/>
      <c r="T13" s="575"/>
      <c r="U13" s="19"/>
      <c r="V13" s="576"/>
      <c r="W13" s="252"/>
      <c r="X13" s="264"/>
      <c r="Y13" s="573"/>
      <c r="AA13" s="574"/>
      <c r="AB13" s="575"/>
      <c r="AC13" s="575"/>
      <c r="AD13" s="575"/>
      <c r="AE13" s="575"/>
      <c r="AF13" s="575"/>
      <c r="AG13" s="19"/>
      <c r="AH13" s="576"/>
      <c r="AI13" s="252"/>
      <c r="AJ13" s="264"/>
      <c r="AK13" s="573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75"/>
      <c r="S14" s="577"/>
      <c r="T14" s="575"/>
      <c r="U14" s="19"/>
      <c r="V14" s="576"/>
      <c r="W14" s="252"/>
      <c r="X14" s="264"/>
      <c r="Y14" s="573"/>
      <c r="AA14" s="574"/>
      <c r="AB14" s="575"/>
      <c r="AC14" s="575"/>
      <c r="AD14" s="575"/>
      <c r="AE14" s="575"/>
      <c r="AF14" s="575"/>
      <c r="AG14" s="19"/>
      <c r="AH14" s="576"/>
      <c r="AI14" s="252"/>
      <c r="AJ14" s="264"/>
      <c r="AK14" s="573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75"/>
      <c r="S15" s="577"/>
      <c r="T15" s="575"/>
      <c r="U15" s="19"/>
      <c r="V15" s="576"/>
      <c r="W15" s="252"/>
      <c r="X15" s="264"/>
      <c r="Y15" s="573"/>
      <c r="AA15" s="574"/>
      <c r="AB15" s="575"/>
      <c r="AC15" s="575"/>
      <c r="AD15" s="575"/>
      <c r="AE15" s="575"/>
      <c r="AF15" s="575"/>
      <c r="AG15" s="19"/>
      <c r="AH15" s="576"/>
      <c r="AI15" s="252"/>
      <c r="AJ15" s="264"/>
      <c r="AK15" s="573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75"/>
      <c r="S16" s="577"/>
      <c r="T16" s="575"/>
      <c r="U16" s="19"/>
      <c r="V16" s="576"/>
      <c r="W16" s="252"/>
      <c r="X16" s="264"/>
      <c r="Y16" s="573"/>
      <c r="AA16" s="574"/>
      <c r="AB16" s="575"/>
      <c r="AC16" s="575"/>
      <c r="AD16" s="575"/>
      <c r="AE16" s="575"/>
      <c r="AF16" s="575"/>
      <c r="AG16" s="19"/>
      <c r="AH16" s="576"/>
      <c r="AI16" s="252"/>
      <c r="AJ16" s="264"/>
      <c r="AK16" s="573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75"/>
      <c r="S17" s="577"/>
      <c r="T17" s="575"/>
      <c r="U17" s="19"/>
      <c r="V17" s="576"/>
      <c r="W17" s="252"/>
      <c r="X17" s="264"/>
      <c r="Y17" s="573"/>
      <c r="AA17" s="574"/>
      <c r="AB17" s="575"/>
      <c r="AC17" s="575"/>
      <c r="AD17" s="575"/>
      <c r="AE17" s="575"/>
      <c r="AF17" s="575"/>
      <c r="AG17" s="19"/>
      <c r="AH17" s="576"/>
      <c r="AI17" s="252"/>
      <c r="AJ17" s="264"/>
      <c r="AK17" s="573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75"/>
      <c r="S18" s="577"/>
      <c r="T18" s="575"/>
      <c r="U18" s="19"/>
      <c r="V18" s="576"/>
      <c r="W18" s="252"/>
      <c r="X18" s="264"/>
      <c r="Y18" s="573"/>
      <c r="AA18" s="574"/>
      <c r="AB18" s="575"/>
      <c r="AF18" s="575"/>
      <c r="AG18" s="19"/>
      <c r="AH18" s="576"/>
      <c r="AI18" s="252"/>
      <c r="AJ18" s="264"/>
      <c r="AK18" s="573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75"/>
      <c r="T19" s="575"/>
      <c r="U19" s="19"/>
      <c r="V19" s="576"/>
      <c r="W19" s="252"/>
      <c r="X19" s="264"/>
      <c r="Y19" s="573"/>
      <c r="AA19" s="574"/>
      <c r="AB19" s="575"/>
      <c r="AF19" s="575"/>
      <c r="AG19" s="19"/>
      <c r="AH19" s="576"/>
      <c r="AI19" s="252"/>
      <c r="AJ19" s="264"/>
      <c r="AK19" s="573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75"/>
      <c r="T20" s="575"/>
      <c r="U20" s="19"/>
      <c r="V20" s="576"/>
      <c r="W20" s="252"/>
      <c r="X20" s="264"/>
      <c r="Y20" s="573"/>
      <c r="AA20" s="574"/>
      <c r="AB20" s="575"/>
      <c r="AF20" s="575"/>
      <c r="AG20" s="19"/>
      <c r="AH20" s="576"/>
      <c r="AI20" s="252"/>
      <c r="AJ20" s="264"/>
      <c r="AK20" s="573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74"/>
      <c r="AB21" s="575"/>
      <c r="AF21" s="575"/>
      <c r="AG21" s="19"/>
      <c r="AH21" s="576"/>
      <c r="AI21" s="252"/>
      <c r="AJ21" s="264"/>
      <c r="AK21" s="573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74"/>
      <c r="AB22" s="51"/>
      <c r="AF22" s="575"/>
      <c r="AG22" s="19"/>
      <c r="AH22" s="576"/>
      <c r="AI22" s="252"/>
      <c r="AJ22" s="264"/>
      <c r="AK22" s="573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75"/>
      <c r="Q23" s="575"/>
      <c r="R23" s="575"/>
      <c r="S23" s="575"/>
      <c r="T23" s="575"/>
      <c r="U23" s="19"/>
      <c r="V23" s="576"/>
      <c r="W23" s="252"/>
      <c r="X23" s="264"/>
      <c r="Y23" s="573"/>
      <c r="AA23" s="574"/>
      <c r="AB23" s="51"/>
      <c r="AF23" s="575"/>
      <c r="AG23" s="19"/>
      <c r="AH23" s="576"/>
      <c r="AI23" s="252"/>
      <c r="AJ23" s="264"/>
      <c r="AK23" s="573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75"/>
      <c r="Q24" s="575"/>
      <c r="R24" s="575"/>
      <c r="S24" s="575"/>
      <c r="T24" s="575"/>
      <c r="U24" s="19"/>
      <c r="V24" s="576"/>
      <c r="W24" s="252"/>
      <c r="X24" s="264"/>
      <c r="Y24" s="573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75"/>
      <c r="Q25" s="575"/>
      <c r="R25" s="575"/>
      <c r="S25" s="575"/>
      <c r="T25" s="575"/>
      <c r="U25" s="19"/>
      <c r="V25" s="576"/>
      <c r="W25" s="252"/>
      <c r="X25" s="264"/>
      <c r="Y25" s="573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75"/>
      <c r="Q26" s="575"/>
      <c r="R26" s="575"/>
      <c r="S26" s="575"/>
      <c r="T26" s="575"/>
      <c r="U26" s="19"/>
      <c r="V26" s="576"/>
      <c r="W26" s="252"/>
      <c r="X26" s="264"/>
      <c r="Y26" s="573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75"/>
      <c r="Q27" s="575"/>
      <c r="R27" s="575"/>
      <c r="S27" s="575"/>
      <c r="T27" s="575"/>
      <c r="U27" s="19"/>
      <c r="V27" s="576"/>
      <c r="W27" s="252"/>
      <c r="X27" s="264"/>
      <c r="Y27" s="573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75"/>
      <c r="Q28" s="575"/>
      <c r="R28" s="575"/>
      <c r="S28" s="575"/>
      <c r="T28" s="575"/>
      <c r="U28" s="19"/>
      <c r="V28" s="576"/>
      <c r="W28" s="252"/>
      <c r="X28" s="264"/>
      <c r="Y28" s="573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75"/>
      <c r="Q29" s="575"/>
      <c r="R29" s="575"/>
      <c r="S29" s="575"/>
      <c r="T29" s="575"/>
      <c r="U29" s="19"/>
      <c r="V29" s="576"/>
      <c r="W29" s="252"/>
      <c r="X29" s="264"/>
      <c r="Y29" s="573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75"/>
      <c r="Q30" s="575"/>
      <c r="R30" s="575"/>
      <c r="S30" s="575"/>
      <c r="T30" s="575"/>
      <c r="U30" s="19"/>
      <c r="V30" s="576"/>
      <c r="W30" s="252"/>
      <c r="X30" s="264"/>
      <c r="Y30" s="573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75"/>
      <c r="Q31" s="575"/>
      <c r="R31" s="575"/>
      <c r="S31" s="575"/>
      <c r="T31" s="575"/>
      <c r="U31" s="19"/>
      <c r="V31" s="576"/>
      <c r="W31" s="252"/>
      <c r="X31" s="264"/>
      <c r="Y31" s="573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75"/>
      <c r="Q32" s="575"/>
      <c r="R32" s="575"/>
      <c r="S32" s="575"/>
      <c r="T32" s="575"/>
      <c r="U32" s="19"/>
      <c r="V32" s="576"/>
      <c r="W32" s="252"/>
      <c r="X32" s="264"/>
      <c r="Y32" s="573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75"/>
      <c r="Q33" s="575"/>
      <c r="R33" s="575"/>
      <c r="S33" s="575"/>
      <c r="T33" s="575"/>
      <c r="U33" s="19"/>
      <c r="V33" s="576"/>
      <c r="W33" s="252"/>
      <c r="X33" s="264"/>
      <c r="Y33" s="573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75"/>
      <c r="T34" s="575"/>
      <c r="U34" s="19"/>
      <c r="V34" s="576"/>
      <c r="W34" s="252"/>
      <c r="X34" s="264"/>
      <c r="Y34" s="573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75"/>
      <c r="T35" s="575"/>
      <c r="U35" s="19"/>
      <c r="V35" s="576"/>
      <c r="W35" s="252"/>
      <c r="X35" s="264"/>
      <c r="Y35" s="573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75"/>
      <c r="T36" s="575"/>
      <c r="U36" s="19"/>
      <c r="V36" s="576"/>
      <c r="W36" s="252"/>
      <c r="X36" s="264"/>
      <c r="Y36" s="573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75"/>
      <c r="T37" s="575"/>
      <c r="U37" s="19"/>
      <c r="V37" s="576"/>
      <c r="W37" s="252"/>
      <c r="X37" s="264"/>
      <c r="Y37" s="573"/>
    </row>
    <row r="38" spans="1:25" x14ac:dyDescent="0.2">
      <c r="N38" s="264">
        <f>+summary!G4</f>
        <v>2.14</v>
      </c>
      <c r="P38" s="51"/>
      <c r="T38" s="575"/>
      <c r="U38" s="19"/>
      <c r="V38" s="576"/>
      <c r="W38" s="252"/>
      <c r="X38" s="264"/>
      <c r="Y38" s="573"/>
    </row>
    <row r="39" spans="1:25" x14ac:dyDescent="0.2">
      <c r="H39" s="262"/>
      <c r="I39" s="262"/>
      <c r="J39" s="262"/>
      <c r="K39" s="262"/>
      <c r="L39" s="262"/>
      <c r="M39" s="262"/>
      <c r="N39" s="479">
        <f>+N38*N37</f>
        <v>0</v>
      </c>
      <c r="P39" s="51"/>
      <c r="T39" s="575"/>
      <c r="U39" s="19"/>
      <c r="V39" s="576"/>
      <c r="W39" s="252"/>
      <c r="X39" s="264"/>
      <c r="Y39" s="573"/>
    </row>
    <row r="40" spans="1:25" x14ac:dyDescent="0.2">
      <c r="N40" s="332"/>
      <c r="P40" s="575"/>
      <c r="T40" s="575"/>
      <c r="U40" s="19"/>
      <c r="V40" s="576"/>
      <c r="W40" s="252"/>
      <c r="X40" s="264"/>
      <c r="Y40" s="573"/>
    </row>
    <row r="41" spans="1:25" x14ac:dyDescent="0.2">
      <c r="A41" s="263">
        <v>37256</v>
      </c>
      <c r="C41" s="131"/>
      <c r="E41" s="131"/>
      <c r="G41" s="131"/>
      <c r="I41" s="131"/>
      <c r="K41" s="131"/>
      <c r="M41" s="131"/>
      <c r="N41" s="578">
        <v>107948.28</v>
      </c>
      <c r="P41" s="575"/>
      <c r="T41" s="575"/>
      <c r="U41" s="19"/>
      <c r="V41" s="576"/>
      <c r="W41" s="252"/>
      <c r="X41" s="264"/>
      <c r="Y41" s="573"/>
    </row>
    <row r="42" spans="1:25" x14ac:dyDescent="0.2">
      <c r="N42" s="322"/>
      <c r="P42" s="575"/>
      <c r="T42" s="575"/>
      <c r="U42" s="19"/>
      <c r="V42" s="576"/>
      <c r="W42" s="252"/>
      <c r="X42" s="264"/>
      <c r="Y42" s="573"/>
    </row>
    <row r="43" spans="1:25" x14ac:dyDescent="0.2">
      <c r="A43" s="263">
        <v>37256</v>
      </c>
      <c r="N43" s="322">
        <f>+N41+N39</f>
        <v>107948.28</v>
      </c>
      <c r="P43" s="575"/>
      <c r="T43" s="575"/>
      <c r="U43" s="19"/>
      <c r="V43" s="576"/>
      <c r="W43" s="252"/>
      <c r="X43" s="264"/>
      <c r="Y43" s="573"/>
    </row>
    <row r="44" spans="1:25" x14ac:dyDescent="0.2">
      <c r="N44" s="332"/>
      <c r="P44" s="575"/>
      <c r="T44" s="575"/>
      <c r="U44" s="19"/>
      <c r="V44" s="576"/>
      <c r="W44" s="252"/>
      <c r="X44" s="264"/>
      <c r="Y44" s="573"/>
    </row>
    <row r="45" spans="1:25" x14ac:dyDescent="0.2">
      <c r="P45" s="575"/>
      <c r="T45" s="575"/>
      <c r="U45" s="19"/>
      <c r="V45" s="576"/>
      <c r="W45" s="252"/>
      <c r="X45" s="264"/>
      <c r="Y45" s="573"/>
    </row>
    <row r="46" spans="1:25" x14ac:dyDescent="0.2">
      <c r="B46" s="470"/>
      <c r="D46" s="470"/>
      <c r="F46" s="470"/>
      <c r="H46" s="470"/>
      <c r="J46" s="470"/>
      <c r="L46" s="470"/>
      <c r="O46" s="574"/>
      <c r="P46" s="51"/>
      <c r="T46" s="575"/>
      <c r="U46" s="19"/>
      <c r="V46" s="576"/>
      <c r="W46" s="252"/>
      <c r="X46" s="264"/>
      <c r="Y46" s="573"/>
    </row>
    <row r="47" spans="1:25" x14ac:dyDescent="0.2">
      <c r="A47" s="249" t="s">
        <v>149</v>
      </c>
      <c r="B47" s="249"/>
      <c r="C47" s="249"/>
      <c r="D47" s="249"/>
      <c r="E47" s="566"/>
      <c r="F47" s="566"/>
      <c r="G47" s="566"/>
      <c r="H47" s="566"/>
      <c r="I47" s="566"/>
      <c r="J47" s="566"/>
      <c r="K47" s="566"/>
      <c r="L47" s="566"/>
      <c r="M47" s="566"/>
      <c r="N47" s="566"/>
      <c r="O47" s="574"/>
      <c r="P47" s="51"/>
      <c r="T47" s="575"/>
      <c r="U47" s="19"/>
      <c r="V47" s="576"/>
      <c r="W47" s="252"/>
      <c r="X47" s="264"/>
      <c r="Y47" s="573"/>
    </row>
    <row r="48" spans="1:25" x14ac:dyDescent="0.2">
      <c r="A48" s="579">
        <f>+A41</f>
        <v>37256</v>
      </c>
      <c r="B48" s="249"/>
      <c r="C48" s="249"/>
      <c r="D48" s="580">
        <v>36315</v>
      </c>
      <c r="E48" s="471"/>
      <c r="F48" s="471"/>
      <c r="G48" s="471"/>
      <c r="H48" s="471"/>
      <c r="I48" s="471"/>
      <c r="J48" s="471"/>
      <c r="K48" s="471"/>
      <c r="L48" s="471"/>
      <c r="M48" s="471"/>
      <c r="N48" s="471"/>
      <c r="O48" s="574"/>
      <c r="T48" s="575"/>
      <c r="U48" s="19"/>
      <c r="V48" s="576"/>
      <c r="W48" s="252"/>
      <c r="X48" s="264"/>
      <c r="Y48" s="573"/>
    </row>
    <row r="49" spans="1:25" x14ac:dyDescent="0.2">
      <c r="A49" s="579">
        <f>+A43</f>
        <v>37256</v>
      </c>
      <c r="B49" s="249"/>
      <c r="C49" s="249"/>
      <c r="D49" s="464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74"/>
      <c r="T49" s="575"/>
      <c r="U49" s="19"/>
      <c r="V49" s="576"/>
      <c r="W49" s="252"/>
      <c r="X49" s="264"/>
      <c r="Y49" s="573"/>
    </row>
    <row r="50" spans="1:25" x14ac:dyDescent="0.2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74"/>
      <c r="U50" s="19"/>
    </row>
    <row r="51" spans="1:25" x14ac:dyDescent="0.2">
      <c r="A51" s="581"/>
      <c r="B51" s="582"/>
      <c r="C51" s="484"/>
      <c r="D51" s="484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74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74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74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74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74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74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74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74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74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74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74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74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74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74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74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74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74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74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74"/>
      <c r="P70" s="575"/>
      <c r="Q70" s="575"/>
      <c r="R70" s="575"/>
      <c r="S70" s="575"/>
      <c r="T70" s="575"/>
      <c r="U70" s="28"/>
      <c r="V70" s="583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74"/>
      <c r="P71" s="575"/>
      <c r="Q71" s="575"/>
      <c r="R71" s="575"/>
      <c r="S71" s="575"/>
      <c r="T71" s="575"/>
      <c r="U71" s="28"/>
      <c r="V71" s="583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74"/>
      <c r="P72" s="575"/>
      <c r="Q72" s="575"/>
      <c r="R72" s="575"/>
      <c r="S72" s="575"/>
      <c r="T72" s="575"/>
      <c r="U72" s="28"/>
      <c r="V72" s="583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74"/>
      <c r="P73" s="575"/>
      <c r="Q73" s="575"/>
      <c r="R73" s="575"/>
      <c r="S73" s="575"/>
      <c r="T73" s="575"/>
      <c r="U73" s="28"/>
      <c r="V73" s="583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74"/>
      <c r="P74" s="575"/>
      <c r="Q74" s="575"/>
      <c r="R74" s="575"/>
      <c r="S74" s="575"/>
      <c r="T74" s="575"/>
      <c r="U74" s="28"/>
      <c r="V74" s="583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74"/>
      <c r="P75" s="575"/>
      <c r="Q75" s="575"/>
      <c r="R75" s="575"/>
      <c r="S75" s="575"/>
      <c r="T75" s="575"/>
      <c r="U75" s="28"/>
      <c r="V75" s="583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74"/>
      <c r="P76" s="575"/>
      <c r="Q76" s="575"/>
      <c r="R76" s="575"/>
      <c r="S76" s="575"/>
      <c r="T76" s="575"/>
      <c r="U76" s="28"/>
      <c r="V76" s="583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74"/>
      <c r="P77" s="575"/>
      <c r="Q77" s="575"/>
      <c r="R77" s="575"/>
      <c r="S77" s="575"/>
      <c r="T77" s="575"/>
      <c r="U77" s="28"/>
      <c r="V77" s="583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74"/>
      <c r="P78" s="575"/>
      <c r="Q78" s="575"/>
      <c r="R78" s="575"/>
      <c r="S78" s="575"/>
      <c r="T78" s="575"/>
      <c r="U78" s="28"/>
      <c r="V78" s="583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74"/>
      <c r="P79" s="575"/>
      <c r="Q79" s="575"/>
      <c r="R79" s="575"/>
      <c r="S79" s="575"/>
      <c r="T79" s="575"/>
      <c r="U79" s="28"/>
      <c r="V79" s="583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74"/>
      <c r="P80" s="575"/>
      <c r="Q80" s="575"/>
      <c r="R80" s="575"/>
      <c r="S80" s="575"/>
      <c r="T80" s="575"/>
      <c r="U80" s="28"/>
      <c r="V80" s="583"/>
    </row>
    <row r="81" spans="1:22" x14ac:dyDescent="0.2">
      <c r="A81" s="261"/>
      <c r="C81" s="131"/>
      <c r="E81" s="131"/>
      <c r="G81" s="131"/>
      <c r="I81" s="131"/>
      <c r="K81" s="131"/>
      <c r="M81" s="131"/>
      <c r="O81" s="574"/>
      <c r="P81" s="575"/>
      <c r="Q81" s="575"/>
      <c r="R81" s="575"/>
      <c r="S81" s="575"/>
      <c r="T81" s="575"/>
      <c r="U81" s="28"/>
      <c r="V81" s="583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74"/>
      <c r="P82" s="575"/>
      <c r="Q82" s="575"/>
      <c r="R82" s="575"/>
      <c r="S82" s="575"/>
      <c r="T82" s="575"/>
      <c r="U82" s="28"/>
      <c r="V82" s="583"/>
    </row>
    <row r="83" spans="1:22" x14ac:dyDescent="0.2">
      <c r="A83" s="261"/>
      <c r="C83" s="131"/>
      <c r="E83" s="131"/>
      <c r="H83" s="584"/>
      <c r="I83" s="584"/>
      <c r="J83" s="584"/>
      <c r="K83" s="584"/>
      <c r="L83" s="584"/>
      <c r="M83" s="584"/>
      <c r="N83" s="131"/>
      <c r="O83" s="574"/>
      <c r="P83" s="575"/>
      <c r="Q83" s="575"/>
      <c r="R83" s="575"/>
      <c r="S83" s="575"/>
      <c r="T83" s="575"/>
      <c r="V83" s="583"/>
    </row>
    <row r="84" spans="1:22" x14ac:dyDescent="0.2">
      <c r="A84" s="261"/>
      <c r="O84" s="574"/>
      <c r="P84" s="575"/>
      <c r="Q84" s="575"/>
      <c r="R84" s="575"/>
      <c r="S84" s="575"/>
      <c r="T84" s="575"/>
      <c r="V84" s="583"/>
    </row>
    <row r="85" spans="1:22" x14ac:dyDescent="0.2">
      <c r="A85" s="261"/>
      <c r="O85" s="574"/>
      <c r="P85" s="575"/>
      <c r="Q85" s="575"/>
      <c r="R85" s="575"/>
      <c r="S85" s="575"/>
      <c r="T85" s="575"/>
      <c r="V85" s="583"/>
    </row>
    <row r="86" spans="1:22" x14ac:dyDescent="0.2">
      <c r="A86" s="261"/>
      <c r="O86" s="574"/>
      <c r="P86" s="575"/>
      <c r="Q86" s="575"/>
      <c r="R86" s="575"/>
      <c r="S86" s="575"/>
      <c r="T86" s="575"/>
      <c r="V86" s="583"/>
    </row>
    <row r="87" spans="1:22" x14ac:dyDescent="0.2">
      <c r="A87" s="261"/>
      <c r="O87" s="574"/>
      <c r="P87" s="575"/>
      <c r="Q87" s="575"/>
      <c r="R87" s="575"/>
      <c r="S87" s="575"/>
      <c r="T87" s="575"/>
      <c r="V87" s="583"/>
    </row>
    <row r="88" spans="1:22" x14ac:dyDescent="0.2">
      <c r="A88" s="261"/>
      <c r="O88" s="574"/>
      <c r="P88" s="575"/>
      <c r="Q88" s="575"/>
      <c r="R88" s="575"/>
      <c r="S88" s="575"/>
      <c r="T88" s="575"/>
      <c r="V88" s="583"/>
    </row>
    <row r="89" spans="1:22" x14ac:dyDescent="0.2">
      <c r="A89" s="261"/>
      <c r="O89" s="574"/>
      <c r="P89" s="575"/>
      <c r="Q89" s="575"/>
      <c r="R89" s="575"/>
      <c r="S89" s="575"/>
      <c r="T89" s="575"/>
      <c r="V89" s="583"/>
    </row>
    <row r="90" spans="1:22" x14ac:dyDescent="0.2">
      <c r="B90" s="470"/>
      <c r="D90" s="470"/>
      <c r="F90" s="470"/>
      <c r="H90" s="470"/>
      <c r="J90" s="470"/>
      <c r="L90" s="470"/>
      <c r="O90" s="574"/>
      <c r="P90" s="575"/>
      <c r="Q90" s="575"/>
      <c r="R90" s="575"/>
      <c r="S90" s="575"/>
      <c r="T90" s="575"/>
      <c r="V90" s="583"/>
    </row>
    <row r="91" spans="1:22" x14ac:dyDescent="0.2">
      <c r="A91" s="585"/>
      <c r="B91" s="566"/>
      <c r="C91" s="566"/>
      <c r="D91" s="566"/>
      <c r="E91" s="566"/>
      <c r="F91" s="566"/>
      <c r="G91" s="566"/>
      <c r="H91" s="566"/>
      <c r="I91" s="566"/>
      <c r="J91" s="566"/>
      <c r="K91" s="566"/>
      <c r="L91" s="566"/>
      <c r="M91" s="566"/>
      <c r="N91" s="566"/>
      <c r="O91" s="574"/>
      <c r="P91" s="575"/>
      <c r="Q91" s="575"/>
      <c r="R91" s="575"/>
      <c r="S91" s="575"/>
      <c r="T91" s="575"/>
      <c r="V91" s="583"/>
    </row>
    <row r="92" spans="1:22" x14ac:dyDescent="0.2">
      <c r="A92" s="568"/>
      <c r="B92" s="471"/>
      <c r="C92" s="471"/>
      <c r="D92" s="471"/>
      <c r="E92" s="471"/>
      <c r="F92" s="471"/>
      <c r="G92" s="471"/>
      <c r="H92" s="471"/>
      <c r="I92" s="471"/>
      <c r="J92" s="471"/>
      <c r="K92" s="471"/>
      <c r="L92" s="471"/>
      <c r="M92" s="471"/>
      <c r="N92" s="471"/>
      <c r="O92" s="574"/>
      <c r="P92" s="584"/>
      <c r="Q92" s="584"/>
      <c r="R92" s="584"/>
      <c r="S92" s="584"/>
      <c r="T92" s="584"/>
      <c r="V92" s="569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84"/>
      <c r="I127" s="584"/>
      <c r="J127" s="584"/>
      <c r="K127" s="584"/>
      <c r="L127" s="584"/>
      <c r="M127" s="584"/>
      <c r="N127" s="131"/>
    </row>
    <row r="128" spans="1:14" x14ac:dyDescent="0.2">
      <c r="A128" s="261"/>
    </row>
    <row r="129" spans="1:14" x14ac:dyDescent="0.2">
      <c r="B129" s="470"/>
      <c r="D129" s="470"/>
      <c r="F129" s="470"/>
      <c r="H129" s="470"/>
      <c r="J129" s="470"/>
      <c r="L129" s="470"/>
    </row>
    <row r="130" spans="1:14" x14ac:dyDescent="0.2">
      <c r="B130" s="565"/>
      <c r="C130" s="566"/>
      <c r="D130" s="566"/>
      <c r="E130" s="566"/>
      <c r="F130" s="566"/>
      <c r="G130" s="566"/>
      <c r="H130" s="566"/>
      <c r="I130" s="566"/>
      <c r="J130" s="566"/>
      <c r="K130" s="566"/>
      <c r="L130" s="566"/>
      <c r="M130" s="566"/>
      <c r="N130" s="566"/>
    </row>
    <row r="131" spans="1:14" x14ac:dyDescent="0.2">
      <c r="A131" s="568"/>
      <c r="B131" s="471"/>
      <c r="C131" s="471"/>
      <c r="D131" s="471"/>
      <c r="E131" s="471"/>
      <c r="F131" s="471"/>
      <c r="G131" s="471"/>
      <c r="H131" s="471"/>
      <c r="I131" s="471"/>
      <c r="J131" s="471"/>
      <c r="K131" s="471"/>
      <c r="L131" s="471"/>
      <c r="M131" s="471"/>
      <c r="N131" s="471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86"/>
      <c r="K166" s="586"/>
      <c r="M166" s="586"/>
      <c r="N166" s="51"/>
    </row>
    <row r="167" spans="1:14" x14ac:dyDescent="0.2">
      <c r="N167" s="51"/>
    </row>
    <row r="171" spans="1:14" x14ac:dyDescent="0.2">
      <c r="B171" s="470"/>
      <c r="D171" s="470"/>
      <c r="F171" s="470"/>
      <c r="H171" s="470"/>
      <c r="J171" s="470"/>
      <c r="L171" s="470"/>
    </row>
    <row r="172" spans="1:14" x14ac:dyDescent="0.2">
      <c r="B172" s="565"/>
      <c r="C172" s="566"/>
      <c r="D172" s="566"/>
      <c r="E172" s="566"/>
      <c r="F172" s="566"/>
      <c r="G172" s="566"/>
      <c r="H172" s="566"/>
      <c r="I172" s="566"/>
      <c r="J172" s="566"/>
      <c r="K172" s="566"/>
      <c r="L172" s="566"/>
      <c r="M172" s="566"/>
    </row>
    <row r="173" spans="1:14" x14ac:dyDescent="0.2">
      <c r="A173" s="568"/>
      <c r="B173" s="471"/>
      <c r="C173" s="471"/>
      <c r="D173" s="471"/>
      <c r="E173" s="471"/>
      <c r="F173" s="471"/>
      <c r="G173" s="471"/>
      <c r="H173" s="471"/>
      <c r="I173" s="471"/>
      <c r="J173" s="471"/>
      <c r="K173" s="471"/>
      <c r="L173" s="471"/>
      <c r="M173" s="471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86"/>
      <c r="K208" s="586"/>
      <c r="M208" s="586"/>
    </row>
    <row r="214" spans="1:13" x14ac:dyDescent="0.2">
      <c r="B214" s="470"/>
      <c r="D214" s="470"/>
      <c r="F214" s="470"/>
      <c r="H214" s="470"/>
      <c r="J214" s="470"/>
      <c r="L214" s="470"/>
    </row>
    <row r="215" spans="1:13" x14ac:dyDescent="0.2">
      <c r="B215" s="565"/>
      <c r="C215" s="566"/>
      <c r="D215" s="566"/>
      <c r="E215" s="566"/>
      <c r="F215" s="566"/>
      <c r="G215" s="566"/>
      <c r="H215" s="566"/>
      <c r="I215" s="566"/>
      <c r="J215" s="566"/>
      <c r="K215" s="566"/>
      <c r="L215" s="566"/>
      <c r="M215" s="566"/>
    </row>
    <row r="216" spans="1:13" x14ac:dyDescent="0.2">
      <c r="A216" s="568"/>
      <c r="B216" s="471"/>
      <c r="C216" s="471"/>
      <c r="D216" s="471"/>
      <c r="E216" s="471"/>
      <c r="F216" s="471"/>
      <c r="G216" s="471"/>
      <c r="H216" s="471"/>
      <c r="I216" s="471"/>
      <c r="J216" s="471"/>
      <c r="K216" s="471"/>
      <c r="L216" s="471"/>
      <c r="M216" s="471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86"/>
      <c r="K251" s="586"/>
      <c r="M251" s="586"/>
    </row>
    <row r="256" spans="1:21" x14ac:dyDescent="0.2">
      <c r="B256" s="470"/>
      <c r="D256" s="470"/>
      <c r="F256" s="470"/>
      <c r="H256" s="470"/>
      <c r="J256" s="470"/>
      <c r="L256" s="470"/>
      <c r="O256" s="470"/>
      <c r="Q256" s="470"/>
      <c r="S256" s="470"/>
      <c r="U256" s="470"/>
    </row>
    <row r="257" spans="1:23" x14ac:dyDescent="0.2">
      <c r="B257" s="565"/>
      <c r="C257" s="566"/>
      <c r="D257" s="566"/>
      <c r="E257" s="566"/>
      <c r="F257" s="566"/>
      <c r="G257" s="566"/>
      <c r="H257" s="566"/>
      <c r="I257" s="566"/>
      <c r="J257" s="566"/>
      <c r="K257" s="566"/>
      <c r="L257" s="566"/>
      <c r="M257" s="566"/>
      <c r="O257" s="565"/>
      <c r="P257" s="566"/>
      <c r="Q257" s="566"/>
      <c r="R257" s="566"/>
      <c r="S257" s="566"/>
      <c r="T257" s="566"/>
      <c r="U257" s="566"/>
      <c r="V257" s="566"/>
      <c r="W257" s="566"/>
    </row>
    <row r="258" spans="1:23" x14ac:dyDescent="0.2">
      <c r="A258" s="568"/>
      <c r="B258" s="471"/>
      <c r="C258" s="471"/>
      <c r="D258" s="471"/>
      <c r="E258" s="471"/>
      <c r="F258" s="471"/>
      <c r="G258" s="471"/>
      <c r="H258" s="471"/>
      <c r="I258" s="471"/>
      <c r="J258" s="471"/>
      <c r="K258" s="471"/>
      <c r="L258" s="471"/>
      <c r="M258" s="471"/>
      <c r="N258" s="568"/>
      <c r="O258" s="471"/>
      <c r="P258" s="471"/>
      <c r="Q258" s="471"/>
      <c r="R258" s="471"/>
      <c r="S258" s="471"/>
      <c r="T258" s="471"/>
      <c r="U258" s="471"/>
      <c r="V258" s="471"/>
      <c r="W258" s="471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86"/>
      <c r="K293" s="586"/>
      <c r="M293" s="586"/>
      <c r="V293" s="586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70"/>
      <c r="Q297" s="470"/>
      <c r="S297" s="470"/>
      <c r="U297" s="470"/>
    </row>
    <row r="298" spans="1:23" x14ac:dyDescent="0.2">
      <c r="O298" s="565"/>
      <c r="P298" s="566"/>
      <c r="Q298" s="566"/>
      <c r="R298" s="566"/>
      <c r="S298" s="566"/>
      <c r="T298" s="566"/>
      <c r="U298" s="566"/>
      <c r="V298" s="566"/>
      <c r="W298" s="566"/>
    </row>
    <row r="299" spans="1:23" x14ac:dyDescent="0.2">
      <c r="N299" s="568"/>
      <c r="O299" s="471"/>
      <c r="P299" s="471"/>
      <c r="Q299" s="471"/>
      <c r="R299" s="471"/>
      <c r="S299" s="471"/>
      <c r="T299" s="471"/>
      <c r="U299" s="471"/>
      <c r="V299" s="471"/>
      <c r="W299" s="471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87"/>
      <c r="W336" s="51"/>
    </row>
    <row r="339" spans="14:23" x14ac:dyDescent="0.2">
      <c r="O339" s="470"/>
      <c r="Q339" s="470"/>
      <c r="S339" s="470"/>
      <c r="U339" s="470"/>
    </row>
    <row r="340" spans="14:23" x14ac:dyDescent="0.2">
      <c r="O340" s="565"/>
      <c r="P340" s="566"/>
      <c r="Q340" s="566"/>
      <c r="R340" s="566"/>
      <c r="S340" s="566"/>
      <c r="T340" s="566"/>
      <c r="U340" s="566"/>
      <c r="V340" s="566"/>
      <c r="W340" s="566"/>
    </row>
    <row r="341" spans="14:23" x14ac:dyDescent="0.2">
      <c r="N341" s="568"/>
      <c r="O341" s="471"/>
      <c r="P341" s="471"/>
      <c r="Q341" s="471"/>
      <c r="R341" s="471"/>
      <c r="S341" s="471"/>
      <c r="T341" s="471"/>
      <c r="U341" s="471"/>
      <c r="V341" s="471"/>
      <c r="W341" s="471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64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87"/>
      <c r="W378" s="588"/>
    </row>
    <row r="381" spans="14:23" x14ac:dyDescent="0.2">
      <c r="O381" s="470"/>
      <c r="Q381" s="470"/>
      <c r="S381" s="470"/>
      <c r="U381" s="470"/>
    </row>
    <row r="382" spans="14:23" x14ac:dyDescent="0.2">
      <c r="O382" s="565"/>
      <c r="P382" s="566"/>
      <c r="Q382" s="566"/>
      <c r="R382" s="566"/>
      <c r="S382" s="566"/>
      <c r="T382" s="566"/>
      <c r="U382" s="566"/>
      <c r="V382" s="566"/>
      <c r="W382" s="566"/>
    </row>
    <row r="383" spans="14:23" x14ac:dyDescent="0.2">
      <c r="N383" s="568"/>
      <c r="O383" s="471"/>
      <c r="P383" s="471"/>
      <c r="Q383" s="471"/>
      <c r="R383" s="471"/>
      <c r="S383" s="471"/>
      <c r="T383" s="471"/>
      <c r="U383" s="471"/>
      <c r="V383" s="471"/>
      <c r="W383" s="471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64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87"/>
      <c r="W420" s="588"/>
    </row>
    <row r="425" spans="14:23" x14ac:dyDescent="0.2">
      <c r="O425" s="470"/>
      <c r="Q425" s="470"/>
      <c r="S425" s="470"/>
      <c r="U425" s="470"/>
    </row>
    <row r="426" spans="14:23" x14ac:dyDescent="0.2">
      <c r="O426" s="565"/>
      <c r="P426" s="566"/>
      <c r="Q426" s="566"/>
      <c r="R426" s="566"/>
      <c r="S426" s="566"/>
      <c r="T426" s="566"/>
      <c r="U426" s="566"/>
      <c r="V426" s="566"/>
      <c r="W426" s="566"/>
    </row>
    <row r="427" spans="14:23" x14ac:dyDescent="0.2">
      <c r="N427" s="568"/>
      <c r="O427" s="471"/>
      <c r="P427" s="471"/>
      <c r="Q427" s="471"/>
      <c r="R427" s="471"/>
      <c r="S427" s="471"/>
      <c r="T427" s="471"/>
      <c r="U427" s="471"/>
      <c r="V427" s="471"/>
      <c r="W427" s="471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64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87"/>
      <c r="W464" s="51"/>
    </row>
    <row r="467" spans="14:33" x14ac:dyDescent="0.2">
      <c r="O467" s="470"/>
      <c r="Q467" s="470"/>
      <c r="S467" s="470"/>
      <c r="U467" s="470"/>
      <c r="Y467" s="470"/>
      <c r="AA467" s="470"/>
      <c r="AC467" s="470"/>
      <c r="AE467" s="470"/>
    </row>
    <row r="468" spans="14:33" x14ac:dyDescent="0.2">
      <c r="O468" s="565"/>
      <c r="P468" s="566"/>
      <c r="Q468" s="566"/>
      <c r="R468" s="566"/>
      <c r="S468" s="566"/>
      <c r="T468" s="566"/>
      <c r="U468" s="566"/>
      <c r="V468" s="566"/>
      <c r="W468" s="566"/>
      <c r="Y468" s="565"/>
      <c r="Z468" s="566"/>
      <c r="AA468" s="566"/>
      <c r="AB468" s="566"/>
      <c r="AC468" s="566"/>
      <c r="AD468" s="566"/>
      <c r="AE468" s="566"/>
      <c r="AF468" s="566"/>
      <c r="AG468" s="566"/>
    </row>
    <row r="469" spans="14:33" x14ac:dyDescent="0.2">
      <c r="N469" s="568"/>
      <c r="O469" s="471"/>
      <c r="P469" s="471"/>
      <c r="Q469" s="471"/>
      <c r="R469" s="471"/>
      <c r="S469" s="471"/>
      <c r="T469" s="471"/>
      <c r="U469" s="471"/>
      <c r="V469" s="471"/>
      <c r="W469" s="471"/>
      <c r="X469" s="568"/>
      <c r="Y469" s="471"/>
      <c r="Z469" s="471"/>
      <c r="AA469" s="471"/>
      <c r="AB469" s="471"/>
      <c r="AC469" s="471"/>
      <c r="AD469" s="471"/>
      <c r="AE469" s="471"/>
      <c r="AF469" s="471"/>
      <c r="AG469" s="471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64"/>
      <c r="P504" s="131"/>
      <c r="R504" s="131"/>
      <c r="T504" s="131"/>
      <c r="V504" s="131"/>
      <c r="W504" s="51"/>
      <c r="X504" s="564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87"/>
      <c r="W506" s="51"/>
      <c r="X506" s="587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7" workbookViewId="0">
      <selection activeCell="C27" sqref="C27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">
      <c r="A15" s="10">
        <v>9</v>
      </c>
      <c r="B15" s="11">
        <v>146091</v>
      </c>
      <c r="C15" s="11">
        <v>145561</v>
      </c>
      <c r="D15" s="25">
        <f t="shared" si="0"/>
        <v>-530</v>
      </c>
    </row>
    <row r="16" spans="1:4" x14ac:dyDescent="0.2">
      <c r="A16" s="10">
        <v>10</v>
      </c>
      <c r="B16" s="11">
        <v>170217</v>
      </c>
      <c r="C16" s="11">
        <v>161989</v>
      </c>
      <c r="D16" s="25">
        <f t="shared" si="0"/>
        <v>-8228</v>
      </c>
    </row>
    <row r="17" spans="1:4" x14ac:dyDescent="0.2">
      <c r="A17" s="10">
        <v>11</v>
      </c>
      <c r="B17" s="11">
        <v>155187</v>
      </c>
      <c r="C17" s="11">
        <v>155406</v>
      </c>
      <c r="D17" s="25">
        <f t="shared" si="0"/>
        <v>219</v>
      </c>
    </row>
    <row r="18" spans="1:4" x14ac:dyDescent="0.2">
      <c r="A18" s="10">
        <v>12</v>
      </c>
      <c r="B18" s="11">
        <v>142391</v>
      </c>
      <c r="C18" s="11">
        <v>140202</v>
      </c>
      <c r="D18" s="25">
        <f t="shared" si="0"/>
        <v>-2189</v>
      </c>
    </row>
    <row r="19" spans="1:4" x14ac:dyDescent="0.2">
      <c r="A19" s="10">
        <v>13</v>
      </c>
      <c r="B19" s="11">
        <v>133550</v>
      </c>
      <c r="C19" s="11">
        <v>132844</v>
      </c>
      <c r="D19" s="25">
        <f t="shared" si="0"/>
        <v>-706</v>
      </c>
    </row>
    <row r="20" spans="1:4" x14ac:dyDescent="0.2">
      <c r="A20" s="10">
        <v>14</v>
      </c>
      <c r="B20" s="11">
        <v>132177</v>
      </c>
      <c r="C20" s="11">
        <v>132427</v>
      </c>
      <c r="D20" s="25">
        <f t="shared" si="0"/>
        <v>250</v>
      </c>
    </row>
    <row r="21" spans="1:4" x14ac:dyDescent="0.2">
      <c r="A21" s="10">
        <v>15</v>
      </c>
      <c r="B21" s="11">
        <v>129024</v>
      </c>
      <c r="C21" s="11">
        <v>129066</v>
      </c>
      <c r="D21" s="25">
        <f t="shared" si="0"/>
        <v>42</v>
      </c>
    </row>
    <row r="22" spans="1:4" x14ac:dyDescent="0.2">
      <c r="A22" s="10">
        <v>16</v>
      </c>
      <c r="B22" s="11">
        <v>119611</v>
      </c>
      <c r="C22" s="11">
        <v>118469</v>
      </c>
      <c r="D22" s="25">
        <f t="shared" si="0"/>
        <v>-1142</v>
      </c>
    </row>
    <row r="23" spans="1:4" x14ac:dyDescent="0.2">
      <c r="A23" s="10">
        <v>17</v>
      </c>
      <c r="B23" s="11">
        <v>128131</v>
      </c>
      <c r="C23" s="11">
        <v>126618</v>
      </c>
      <c r="D23" s="25">
        <f t="shared" si="0"/>
        <v>-1513</v>
      </c>
    </row>
    <row r="24" spans="1:4" x14ac:dyDescent="0.2">
      <c r="A24" s="10">
        <v>18</v>
      </c>
      <c r="B24" s="11">
        <v>122429</v>
      </c>
      <c r="C24" s="11">
        <v>121479</v>
      </c>
      <c r="D24" s="25">
        <f t="shared" si="0"/>
        <v>-950</v>
      </c>
    </row>
    <row r="25" spans="1:4" x14ac:dyDescent="0.2">
      <c r="A25" s="10">
        <v>19</v>
      </c>
      <c r="B25" s="11">
        <v>118760</v>
      </c>
      <c r="C25" s="11">
        <v>118536</v>
      </c>
      <c r="D25" s="25">
        <f t="shared" si="0"/>
        <v>-224</v>
      </c>
    </row>
    <row r="26" spans="1:4" x14ac:dyDescent="0.2">
      <c r="A26" s="10">
        <v>20</v>
      </c>
      <c r="B26" s="129">
        <v>125436</v>
      </c>
      <c r="C26" s="11">
        <v>125694</v>
      </c>
      <c r="D26" s="25">
        <f t="shared" si="0"/>
        <v>258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2809809</v>
      </c>
      <c r="C38" s="11">
        <f>SUM(C7:C37)</f>
        <v>2781562</v>
      </c>
      <c r="D38" s="11">
        <f>SUM(D7:D37)</f>
        <v>-28247</v>
      </c>
    </row>
    <row r="39" spans="1:8" x14ac:dyDescent="0.2">
      <c r="A39" s="26"/>
      <c r="C39" s="14"/>
      <c r="D39" s="106">
        <f>+summary!G3</f>
        <v>2.11</v>
      </c>
    </row>
    <row r="40" spans="1:8" x14ac:dyDescent="0.2">
      <c r="D40" s="138">
        <f>+D39*D38</f>
        <v>-59601.17</v>
      </c>
      <c r="H40">
        <v>20</v>
      </c>
    </row>
    <row r="41" spans="1:8" x14ac:dyDescent="0.2">
      <c r="A41" s="57">
        <v>37256</v>
      </c>
      <c r="C41" s="15"/>
      <c r="D41" s="550">
        <v>47594.94</v>
      </c>
      <c r="H41">
        <v>530</v>
      </c>
    </row>
    <row r="42" spans="1:8" x14ac:dyDescent="0.2">
      <c r="A42" s="57">
        <v>37276</v>
      </c>
      <c r="D42" s="322">
        <f>+D41+D40</f>
        <v>-12006.229999999996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37256</v>
      </c>
      <c r="B47" s="32"/>
      <c r="C47" s="32"/>
      <c r="D47" s="532">
        <v>20411</v>
      </c>
    </row>
    <row r="48" spans="1:8" x14ac:dyDescent="0.2">
      <c r="A48" s="49">
        <f>+A42</f>
        <v>37276</v>
      </c>
      <c r="B48" s="32"/>
      <c r="C48" s="32"/>
      <c r="D48" s="355">
        <f>+D38</f>
        <v>-28247</v>
      </c>
    </row>
    <row r="49" spans="1:4" x14ac:dyDescent="0.2">
      <c r="A49" s="32"/>
      <c r="B49" s="32"/>
      <c r="C49" s="32"/>
      <c r="D49" s="14">
        <f>+D48+D47</f>
        <v>-7836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5" workbookViewId="0">
      <selection activeCell="A41" sqref="A41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">
      <c r="A14" s="10">
        <v>11</v>
      </c>
      <c r="B14" s="11">
        <v>-99217</v>
      </c>
      <c r="C14" s="11">
        <v>-97700</v>
      </c>
      <c r="D14" s="25">
        <f t="shared" si="0"/>
        <v>1517</v>
      </c>
    </row>
    <row r="15" spans="1:4" x14ac:dyDescent="0.2">
      <c r="A15" s="10">
        <v>12</v>
      </c>
      <c r="B15" s="11">
        <v>-157690</v>
      </c>
      <c r="C15" s="11">
        <v>-156351</v>
      </c>
      <c r="D15" s="25">
        <f t="shared" si="0"/>
        <v>1339</v>
      </c>
    </row>
    <row r="16" spans="1:4" x14ac:dyDescent="0.2">
      <c r="A16" s="10">
        <v>13</v>
      </c>
      <c r="B16" s="11">
        <v>-159519</v>
      </c>
      <c r="C16" s="11">
        <v>-157722</v>
      </c>
      <c r="D16" s="25">
        <f t="shared" si="0"/>
        <v>1797</v>
      </c>
    </row>
    <row r="17" spans="1:4" x14ac:dyDescent="0.2">
      <c r="A17" s="10">
        <v>14</v>
      </c>
      <c r="B17" s="11">
        <v>-161298</v>
      </c>
      <c r="C17" s="11">
        <v>-157663</v>
      </c>
      <c r="D17" s="25">
        <f t="shared" si="0"/>
        <v>3635</v>
      </c>
    </row>
    <row r="18" spans="1:4" x14ac:dyDescent="0.2">
      <c r="A18" s="10">
        <v>15</v>
      </c>
      <c r="B18" s="11">
        <v>-199783</v>
      </c>
      <c r="C18" s="11">
        <v>-198440</v>
      </c>
      <c r="D18" s="25">
        <f t="shared" si="0"/>
        <v>1343</v>
      </c>
    </row>
    <row r="19" spans="1:4" x14ac:dyDescent="0.2">
      <c r="A19" s="10">
        <v>16</v>
      </c>
      <c r="B19" s="11">
        <v>-183992</v>
      </c>
      <c r="C19" s="11">
        <v>-183889</v>
      </c>
      <c r="D19" s="25">
        <f t="shared" si="0"/>
        <v>103</v>
      </c>
    </row>
    <row r="20" spans="1:4" x14ac:dyDescent="0.2">
      <c r="A20" s="10">
        <v>17</v>
      </c>
      <c r="B20" s="11">
        <v>-190001</v>
      </c>
      <c r="C20" s="11">
        <v>-177700</v>
      </c>
      <c r="D20" s="25">
        <f t="shared" si="0"/>
        <v>12301</v>
      </c>
    </row>
    <row r="21" spans="1:4" x14ac:dyDescent="0.2">
      <c r="A21" s="10">
        <v>18</v>
      </c>
      <c r="B21" s="129">
        <v>-175992</v>
      </c>
      <c r="C21" s="11">
        <v>-180170</v>
      </c>
      <c r="D21" s="25">
        <f t="shared" si="0"/>
        <v>-4178</v>
      </c>
    </row>
    <row r="22" spans="1:4" x14ac:dyDescent="0.2">
      <c r="A22" s="10">
        <v>19</v>
      </c>
      <c r="B22" s="129">
        <v>-205510</v>
      </c>
      <c r="C22" s="11">
        <v>-207782</v>
      </c>
      <c r="D22" s="25">
        <f t="shared" si="0"/>
        <v>-2272</v>
      </c>
    </row>
    <row r="23" spans="1:4" x14ac:dyDescent="0.2">
      <c r="A23" s="10">
        <v>20</v>
      </c>
      <c r="B23" s="11">
        <v>-208295</v>
      </c>
      <c r="C23" s="11">
        <v>-208000</v>
      </c>
      <c r="D23" s="25">
        <f t="shared" si="0"/>
        <v>295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-3330618</v>
      </c>
      <c r="C35" s="11">
        <f>SUM(C4:C34)</f>
        <v>-3364008</v>
      </c>
      <c r="D35" s="11">
        <f>SUM(D4:D34)</f>
        <v>-33390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37256</v>
      </c>
      <c r="D38" s="539">
        <v>59071</v>
      </c>
    </row>
    <row r="39" spans="1:30" x14ac:dyDescent="0.2">
      <c r="A39" s="12"/>
      <c r="D39" s="51"/>
    </row>
    <row r="40" spans="1:30" x14ac:dyDescent="0.2">
      <c r="A40" s="245">
        <v>37276</v>
      </c>
      <c r="D40" s="51">
        <f>+D38+D35</f>
        <v>25681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9"/>
      <c r="K44"/>
    </row>
    <row r="45" spans="1:30" x14ac:dyDescent="0.2">
      <c r="A45" s="49">
        <f>+A38</f>
        <v>37256</v>
      </c>
      <c r="B45" s="32"/>
      <c r="C45" s="32"/>
      <c r="D45" s="558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37276</v>
      </c>
      <c r="B46" s="32"/>
      <c r="C46" s="32"/>
      <c r="D46" s="380">
        <f>+D35*'by type_area'!G4</f>
        <v>-71454.600000000006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-151997.75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9" workbookViewId="0">
      <selection activeCell="A41" sqref="A4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">
      <c r="A14" s="10">
        <v>11</v>
      </c>
      <c r="B14" s="11">
        <v>-603183</v>
      </c>
      <c r="C14" s="11">
        <v>-611815</v>
      </c>
      <c r="D14" s="11"/>
      <c r="E14" s="11"/>
      <c r="F14" s="25">
        <f t="shared" si="0"/>
        <v>-8632</v>
      </c>
      <c r="H14" s="10"/>
      <c r="I14" s="11"/>
    </row>
    <row r="15" spans="1:11" x14ac:dyDescent="0.2">
      <c r="A15" s="10">
        <v>12</v>
      </c>
      <c r="B15" s="11">
        <v>-599978</v>
      </c>
      <c r="C15" s="11">
        <v>-580516</v>
      </c>
      <c r="D15" s="11"/>
      <c r="E15" s="11"/>
      <c r="F15" s="25">
        <f t="shared" si="0"/>
        <v>19462</v>
      </c>
      <c r="H15" s="10"/>
      <c r="I15" s="11"/>
    </row>
    <row r="16" spans="1:11" x14ac:dyDescent="0.2">
      <c r="A16" s="10">
        <v>13</v>
      </c>
      <c r="B16" s="11">
        <v>-586866</v>
      </c>
      <c r="C16" s="11">
        <v>-580516</v>
      </c>
      <c r="D16" s="11"/>
      <c r="E16" s="11"/>
      <c r="F16" s="25">
        <f t="shared" si="0"/>
        <v>6350</v>
      </c>
      <c r="H16" s="10"/>
      <c r="I16" s="11"/>
      <c r="K16" s="25"/>
    </row>
    <row r="17" spans="1:11" x14ac:dyDescent="0.2">
      <c r="A17" s="10">
        <v>14</v>
      </c>
      <c r="B17" s="11">
        <v>-573809</v>
      </c>
      <c r="C17" s="11">
        <v>-573034</v>
      </c>
      <c r="D17" s="11"/>
      <c r="E17" s="11"/>
      <c r="F17" s="25">
        <f t="shared" si="0"/>
        <v>775</v>
      </c>
      <c r="H17" s="10"/>
      <c r="I17" s="11"/>
    </row>
    <row r="18" spans="1:11" x14ac:dyDescent="0.2">
      <c r="A18" s="10">
        <v>15</v>
      </c>
      <c r="B18" s="11">
        <v>-541773</v>
      </c>
      <c r="C18" s="11">
        <v>-542075</v>
      </c>
      <c r="D18" s="11"/>
      <c r="E18" s="11"/>
      <c r="F18" s="25">
        <f t="shared" si="0"/>
        <v>-302</v>
      </c>
      <c r="H18" s="10"/>
      <c r="I18" s="11"/>
    </row>
    <row r="19" spans="1:11" x14ac:dyDescent="0.2">
      <c r="A19" s="10">
        <v>16</v>
      </c>
      <c r="B19" s="11">
        <v>-554650</v>
      </c>
      <c r="C19" s="11">
        <v>-567930</v>
      </c>
      <c r="D19" s="11"/>
      <c r="E19" s="11"/>
      <c r="F19" s="25">
        <f t="shared" si="0"/>
        <v>-13280</v>
      </c>
      <c r="H19" s="10"/>
      <c r="I19" s="11"/>
    </row>
    <row r="20" spans="1:11" x14ac:dyDescent="0.2">
      <c r="A20" s="10">
        <v>17</v>
      </c>
      <c r="B20" s="11">
        <v>-534042</v>
      </c>
      <c r="C20" s="11">
        <v>-533662</v>
      </c>
      <c r="D20" s="11"/>
      <c r="E20" s="11"/>
      <c r="F20" s="25">
        <f t="shared" si="0"/>
        <v>380</v>
      </c>
      <c r="H20" s="10"/>
      <c r="I20" s="11"/>
    </row>
    <row r="21" spans="1:11" x14ac:dyDescent="0.2">
      <c r="A21" s="10">
        <v>18</v>
      </c>
      <c r="B21" s="11">
        <v>-560683</v>
      </c>
      <c r="C21" s="11">
        <v>-561288</v>
      </c>
      <c r="D21" s="11"/>
      <c r="E21" s="11"/>
      <c r="F21" s="25">
        <f t="shared" si="0"/>
        <v>-605</v>
      </c>
      <c r="H21" s="10"/>
      <c r="I21" s="11"/>
    </row>
    <row r="22" spans="1:11" x14ac:dyDescent="0.2">
      <c r="A22" s="10">
        <v>19</v>
      </c>
      <c r="B22" s="129">
        <v>-565794</v>
      </c>
      <c r="C22" s="11">
        <v>-575734</v>
      </c>
      <c r="D22" s="11"/>
      <c r="E22" s="11"/>
      <c r="F22" s="25">
        <f t="shared" si="0"/>
        <v>-9940</v>
      </c>
      <c r="H22" s="10"/>
      <c r="I22" s="11"/>
    </row>
    <row r="23" spans="1:11" x14ac:dyDescent="0.2">
      <c r="A23" s="10">
        <v>20</v>
      </c>
      <c r="B23" s="129">
        <v>-566988</v>
      </c>
      <c r="C23" s="11">
        <v>-568953</v>
      </c>
      <c r="D23" s="11"/>
      <c r="E23" s="11"/>
      <c r="F23" s="25">
        <f t="shared" si="0"/>
        <v>-1965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-11002757</v>
      </c>
      <c r="C35" s="11">
        <f>SUM(C4:C34)</f>
        <v>-11040919</v>
      </c>
      <c r="D35" s="11">
        <f>SUM(D4:D34)</f>
        <v>0</v>
      </c>
      <c r="E35" s="11">
        <f>SUM(E4:E34)</f>
        <v>0</v>
      </c>
      <c r="F35" s="11">
        <f>SUM(F4:F34)</f>
        <v>-38162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37256</v>
      </c>
      <c r="D38" s="246"/>
      <c r="E38" s="246"/>
      <c r="F38" s="541">
        <v>104420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37276</v>
      </c>
      <c r="D40" s="246"/>
      <c r="E40" s="246"/>
      <c r="F40" s="51">
        <f>+F38+F35</f>
        <v>66258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75" x14ac:dyDescent="0.25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">
      <c r="A44" s="32" t="s">
        <v>150</v>
      </c>
      <c r="B44" s="32"/>
      <c r="C44" s="32"/>
      <c r="D44" s="479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">
      <c r="A45" s="49">
        <f>+A38</f>
        <v>37256</v>
      </c>
      <c r="B45" s="32"/>
      <c r="C45" s="32"/>
      <c r="D45" s="558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">
      <c r="A46" s="49">
        <f>+A40</f>
        <v>37276</v>
      </c>
      <c r="B46" s="32"/>
      <c r="C46" s="32"/>
      <c r="D46" s="480">
        <f>+F35*'by type_area'!G4</f>
        <v>-81666.680000000008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">
      <c r="A47" s="32"/>
      <c r="B47" s="32"/>
      <c r="C47" s="32"/>
      <c r="D47" s="478">
        <f>+D46+D45</f>
        <v>250250.32</v>
      </c>
      <c r="E47" s="246"/>
      <c r="F47" s="481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9"/>
  <sheetViews>
    <sheetView topLeftCell="A30" workbookViewId="0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140625" style="32"/>
    <col min="20" max="20" width="10.7109375" style="32" bestFit="1" customWidth="1"/>
    <col min="21" max="16384" width="9.140625" style="32"/>
  </cols>
  <sheetData>
    <row r="1" spans="1:18" x14ac:dyDescent="0.2">
      <c r="A1" s="37"/>
      <c r="C1" s="14"/>
      <c r="F1" s="2">
        <v>12283</v>
      </c>
    </row>
    <row r="2" spans="1:18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27" t="s">
        <v>49</v>
      </c>
    </row>
    <row r="3" spans="1:18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8" t="s">
        <v>49</v>
      </c>
      <c r="Q3" s="529" t="s">
        <v>15</v>
      </c>
      <c r="R3" s="530" t="s">
        <v>27</v>
      </c>
    </row>
    <row r="4" spans="1:18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8.2100000000000009</v>
      </c>
      <c r="R4" s="15">
        <f>+Q4*P4</f>
        <v>82231.360000000015</v>
      </c>
    </row>
    <row r="5" spans="1:18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4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8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4.9800000000000004</v>
      </c>
      <c r="R6" s="15">
        <f t="shared" si="2"/>
        <v>16568.460000000003</v>
      </c>
    </row>
    <row r="7" spans="1:18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4.87</v>
      </c>
      <c r="R7" s="15">
        <f t="shared" si="2"/>
        <v>131246.5</v>
      </c>
    </row>
    <row r="8" spans="1:18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3.82</v>
      </c>
      <c r="R8" s="15">
        <f t="shared" si="2"/>
        <v>-67060.099999999991</v>
      </c>
    </row>
    <row r="9" spans="1:18" ht="20.100000000000001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3.2</v>
      </c>
      <c r="R9" s="15">
        <f t="shared" si="2"/>
        <v>111001.60000000001</v>
      </c>
    </row>
    <row r="10" spans="1:18" ht="20.100000000000001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2.77</v>
      </c>
      <c r="R10" s="15">
        <f t="shared" si="2"/>
        <v>112320.73</v>
      </c>
    </row>
    <row r="11" spans="1:18" ht="20.100000000000001" customHeight="1" x14ac:dyDescent="0.2">
      <c r="A11" s="41">
        <v>8</v>
      </c>
      <c r="B11" s="11">
        <v>-114677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-15634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2.77</v>
      </c>
      <c r="R11" s="15">
        <f t="shared" si="2"/>
        <v>-2900.19</v>
      </c>
    </row>
    <row r="12" spans="1:18" ht="20.100000000000001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1.88</v>
      </c>
      <c r="R12" s="15">
        <f t="shared" si="2"/>
        <v>-9033.4</v>
      </c>
    </row>
    <row r="13" spans="1:18" ht="20.100000000000001" customHeight="1" x14ac:dyDescent="0.2">
      <c r="A13" s="41">
        <v>10</v>
      </c>
      <c r="B13" s="11">
        <v>-130265</v>
      </c>
      <c r="C13" s="11">
        <v>-43551</v>
      </c>
      <c r="D13" s="11"/>
      <c r="E13" s="129">
        <v>-80060</v>
      </c>
      <c r="F13" s="11"/>
      <c r="G13" s="11"/>
      <c r="H13" s="11">
        <f t="shared" si="0"/>
        <v>6654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2.12</v>
      </c>
      <c r="R13" s="15">
        <f t="shared" si="2"/>
        <v>-8431.24</v>
      </c>
    </row>
    <row r="14" spans="1:18" ht="20.100000000000001" customHeight="1" x14ac:dyDescent="0.2">
      <c r="A14" s="41">
        <v>11</v>
      </c>
      <c r="B14" s="11">
        <v>-133279</v>
      </c>
      <c r="C14" s="11">
        <v>-49795</v>
      </c>
      <c r="D14" s="11"/>
      <c r="E14" s="11">
        <v>-81898</v>
      </c>
      <c r="F14" s="11"/>
      <c r="G14" s="11"/>
      <c r="H14" s="11">
        <f t="shared" si="0"/>
        <v>1586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2.04</v>
      </c>
      <c r="R14" s="15">
        <f t="shared" si="2"/>
        <v>24582</v>
      </c>
    </row>
    <row r="15" spans="1:18" ht="20.100000000000001" customHeight="1" x14ac:dyDescent="0.2">
      <c r="A15" s="41">
        <v>12</v>
      </c>
      <c r="B15" s="11">
        <v>-98599</v>
      </c>
      <c r="C15" s="11">
        <v>-38525</v>
      </c>
      <c r="D15" s="11"/>
      <c r="E15" s="11">
        <v>-60000</v>
      </c>
      <c r="F15" s="11"/>
      <c r="G15" s="11"/>
      <c r="H15" s="11">
        <f t="shared" si="0"/>
        <v>74</v>
      </c>
      <c r="I15" s="11"/>
      <c r="J15" s="102"/>
      <c r="K15" s="101">
        <v>37226</v>
      </c>
      <c r="L15" s="11"/>
      <c r="M15" s="11"/>
      <c r="N15" s="11"/>
      <c r="O15" s="11"/>
      <c r="P15" s="11">
        <f t="shared" si="1"/>
        <v>0</v>
      </c>
      <c r="R15" s="15">
        <f t="shared" si="2"/>
        <v>0</v>
      </c>
    </row>
    <row r="16" spans="1:18" ht="20.100000000000001" customHeight="1" x14ac:dyDescent="0.2">
      <c r="A16" s="41">
        <v>13</v>
      </c>
      <c r="B16" s="11">
        <v>-101087</v>
      </c>
      <c r="C16" s="11">
        <v>-39795</v>
      </c>
      <c r="D16" s="11"/>
      <c r="E16" s="11">
        <v>-60000</v>
      </c>
      <c r="F16" s="11"/>
      <c r="G16" s="11"/>
      <c r="H16" s="11">
        <f t="shared" si="0"/>
        <v>1292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-95766</v>
      </c>
      <c r="C17" s="11">
        <v>-35893</v>
      </c>
      <c r="D17" s="11"/>
      <c r="E17" s="11">
        <v>-60000</v>
      </c>
      <c r="F17" s="11"/>
      <c r="G17" s="11"/>
      <c r="H17" s="11">
        <f>+G17+E17+C17-F17-D17-B17</f>
        <v>-127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-83889</v>
      </c>
      <c r="C18" s="11">
        <v>-9791</v>
      </c>
      <c r="D18" s="11">
        <v>-25</v>
      </c>
      <c r="E18" s="11">
        <v>-73000</v>
      </c>
      <c r="F18" s="11"/>
      <c r="G18" s="11"/>
      <c r="H18" s="11">
        <f>+G18+E18+C18-F18-D18-B18</f>
        <v>1123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-76112</v>
      </c>
      <c r="C19" s="11">
        <v>-12295</v>
      </c>
      <c r="D19" s="11"/>
      <c r="E19" s="11">
        <v>-63500</v>
      </c>
      <c r="F19" s="11"/>
      <c r="G19" s="11"/>
      <c r="H19" s="11">
        <f t="shared" si="0"/>
        <v>317</v>
      </c>
      <c r="I19" s="11"/>
      <c r="J19" s="102"/>
      <c r="K19" s="17"/>
      <c r="L19" s="11"/>
      <c r="M19" s="11"/>
      <c r="N19" s="11"/>
      <c r="O19" s="11"/>
      <c r="P19" s="14">
        <f>SUM(P4:P16)</f>
        <v>113457</v>
      </c>
      <c r="R19" s="15">
        <f>SUM(R4:R16)</f>
        <v>465052.54</v>
      </c>
    </row>
    <row r="20" spans="1:18" ht="12.75" x14ac:dyDescent="0.2">
      <c r="A20" s="41">
        <v>17</v>
      </c>
      <c r="B20" s="129">
        <v>-91362</v>
      </c>
      <c r="C20" s="11">
        <v>-17795</v>
      </c>
      <c r="D20" s="11"/>
      <c r="E20" s="11">
        <v>-72000</v>
      </c>
      <c r="F20" s="11"/>
      <c r="G20" s="11"/>
      <c r="H20" s="11">
        <f t="shared" si="0"/>
        <v>1567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-92051</v>
      </c>
      <c r="C21" s="11">
        <v>-28795</v>
      </c>
      <c r="D21" s="11"/>
      <c r="E21" s="11">
        <v>-62500</v>
      </c>
      <c r="F21" s="11"/>
      <c r="G21" s="11"/>
      <c r="H21" s="11">
        <f t="shared" si="0"/>
        <v>756</v>
      </c>
      <c r="I21" s="11"/>
      <c r="J21" s="102"/>
      <c r="K21" s="519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-74203</v>
      </c>
      <c r="C22" s="11">
        <v>-14669</v>
      </c>
      <c r="D22" s="11"/>
      <c r="E22" s="11">
        <v>-58992</v>
      </c>
      <c r="F22" s="11"/>
      <c r="G22" s="11"/>
      <c r="H22" s="11">
        <f t="shared" si="0"/>
        <v>542</v>
      </c>
      <c r="I22" s="11"/>
      <c r="J22" s="102"/>
      <c r="K22" s="519"/>
      <c r="L22" s="11"/>
      <c r="M22" s="11"/>
      <c r="N22" s="11"/>
      <c r="O22" s="2"/>
      <c r="R22" s="15">
        <f>+R21+R19</f>
        <v>-125961.81</v>
      </c>
    </row>
    <row r="23" spans="1:18" x14ac:dyDescent="0.2">
      <c r="A23" s="41">
        <v>20</v>
      </c>
      <c r="B23" s="11">
        <v>-80527</v>
      </c>
      <c r="C23" s="11">
        <v>-14756</v>
      </c>
      <c r="D23" s="11"/>
      <c r="E23" s="11">
        <v>-58992</v>
      </c>
      <c r="F23" s="11"/>
      <c r="G23" s="11"/>
      <c r="H23" s="11">
        <f t="shared" si="0"/>
        <v>6779</v>
      </c>
      <c r="I23" s="11"/>
      <c r="J23" s="102"/>
      <c r="K23" s="519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19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19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9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9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9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19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9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9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9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9"/>
      <c r="L34" s="11"/>
      <c r="M34" s="11"/>
      <c r="N34" s="11"/>
    </row>
    <row r="35" spans="1:14" x14ac:dyDescent="0.2">
      <c r="A35" s="41"/>
      <c r="B35" s="11">
        <f t="shared" ref="B35:H35" si="3">SUM(B4:B34)</f>
        <v>-1983898</v>
      </c>
      <c r="C35" s="44">
        <f t="shared" si="3"/>
        <v>-643372</v>
      </c>
      <c r="D35" s="11">
        <f t="shared" si="3"/>
        <v>-25</v>
      </c>
      <c r="E35" s="44">
        <f t="shared" si="3"/>
        <v>-1323503</v>
      </c>
      <c r="F35" s="11">
        <f t="shared" si="3"/>
        <v>0</v>
      </c>
      <c r="G35" s="11">
        <f t="shared" si="3"/>
        <v>0</v>
      </c>
      <c r="H35" s="11">
        <f t="shared" si="3"/>
        <v>17048</v>
      </c>
      <c r="I35" s="11"/>
      <c r="J35" s="102"/>
      <c r="K35" s="519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2.14</v>
      </c>
      <c r="I36" s="11"/>
      <c r="J36" s="102"/>
      <c r="K36" s="519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36482.720000000001</v>
      </c>
      <c r="I37" s="11"/>
      <c r="J37" s="102"/>
      <c r="K37" s="519"/>
      <c r="L37" s="11"/>
      <c r="M37" s="11"/>
      <c r="N37" s="11"/>
    </row>
    <row r="38" spans="1:14" x14ac:dyDescent="0.2">
      <c r="C38" s="24"/>
      <c r="D38" s="47"/>
      <c r="E38" s="482">
        <v>37256</v>
      </c>
      <c r="F38" s="479"/>
      <c r="G38" s="265"/>
      <c r="H38" s="501">
        <v>-68258</v>
      </c>
      <c r="I38" s="262"/>
      <c r="J38" s="102"/>
      <c r="K38" s="520"/>
      <c r="L38" s="14"/>
      <c r="M38" s="14"/>
      <c r="N38" s="16"/>
    </row>
    <row r="39" spans="1:14" x14ac:dyDescent="0.2">
      <c r="C39" s="14"/>
      <c r="D39" s="47"/>
      <c r="E39" s="263">
        <v>37276</v>
      </c>
      <c r="F39" s="479"/>
      <c r="G39" s="479"/>
      <c r="H39" s="322">
        <f>+H38+H37</f>
        <v>-31775.279999999999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83"/>
      <c r="F40" s="263"/>
      <c r="G40" s="483"/>
      <c r="H40" s="111"/>
      <c r="I40" s="51"/>
      <c r="J40" s="102"/>
      <c r="K40" s="521"/>
      <c r="L40" s="47"/>
      <c r="M40" s="48"/>
      <c r="N40" s="46"/>
    </row>
    <row r="41" spans="1:14" x14ac:dyDescent="0.2">
      <c r="C41" s="14"/>
      <c r="D41" s="50"/>
      <c r="E41" s="483"/>
      <c r="F41" s="263"/>
      <c r="G41" s="483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22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22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91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37276</v>
      </c>
      <c r="E47" s="464">
        <f>+H35</f>
        <v>17048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11964</v>
      </c>
      <c r="F48" s="129"/>
      <c r="G48" s="129"/>
      <c r="H48" s="129"/>
      <c r="I48" s="262"/>
      <c r="J48" s="102"/>
      <c r="K48" s="523"/>
      <c r="L48" s="38"/>
      <c r="M48" s="4"/>
    </row>
    <row r="49" spans="1:15" ht="12.75" x14ac:dyDescent="0.2">
      <c r="A49" s="101"/>
      <c r="B49" s="139"/>
      <c r="C49" s="119"/>
      <c r="D49" s="140"/>
      <c r="E49" s="484"/>
      <c r="F49" s="129"/>
      <c r="G49" s="129"/>
      <c r="H49" s="129"/>
      <c r="I49" s="485"/>
      <c r="J49" s="102"/>
      <c r="K49" s="524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9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9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9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9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9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9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9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9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9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9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9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9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9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9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9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9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9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9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9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9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9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9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9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9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9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9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9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9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9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9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9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9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21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22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22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23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24"/>
      <c r="L91" s="6"/>
      <c r="M91" s="6"/>
    </row>
    <row r="92" spans="1:14" x14ac:dyDescent="0.2">
      <c r="I92" s="11"/>
      <c r="J92" s="11"/>
      <c r="K92" s="519"/>
      <c r="L92" s="11"/>
      <c r="M92" s="11"/>
      <c r="N92" s="11"/>
    </row>
    <row r="93" spans="1:14" x14ac:dyDescent="0.2">
      <c r="G93" s="41"/>
      <c r="H93" s="11"/>
      <c r="I93" s="11"/>
      <c r="J93" s="11"/>
      <c r="K93" s="519"/>
      <c r="L93" s="11"/>
      <c r="M93" s="11"/>
      <c r="N93" s="11"/>
    </row>
    <row r="94" spans="1:14" x14ac:dyDescent="0.2">
      <c r="G94" s="41"/>
      <c r="H94" s="11"/>
      <c r="I94" s="11"/>
      <c r="J94" s="11"/>
      <c r="K94" s="519"/>
      <c r="L94" s="11"/>
      <c r="M94" s="11"/>
      <c r="N94" s="11"/>
    </row>
    <row r="95" spans="1:14" x14ac:dyDescent="0.2">
      <c r="G95" s="41"/>
      <c r="H95" s="11"/>
      <c r="I95" s="11"/>
      <c r="J95" s="11"/>
      <c r="K95" s="519"/>
      <c r="L95" s="11"/>
      <c r="M95" s="11"/>
      <c r="N95" s="11"/>
    </row>
    <row r="96" spans="1:14" x14ac:dyDescent="0.2">
      <c r="G96" s="41"/>
      <c r="H96" s="11"/>
      <c r="I96" s="11"/>
      <c r="J96" s="11"/>
      <c r="K96" s="519"/>
      <c r="L96" s="11"/>
      <c r="M96" s="11"/>
      <c r="N96" s="11"/>
    </row>
    <row r="97" spans="7:14" x14ac:dyDescent="0.2">
      <c r="G97" s="41"/>
      <c r="H97" s="11"/>
      <c r="I97" s="11"/>
      <c r="J97" s="11"/>
      <c r="K97" s="519"/>
      <c r="L97" s="11"/>
      <c r="M97" s="11"/>
      <c r="N97" s="11"/>
    </row>
    <row r="98" spans="7:14" x14ac:dyDescent="0.2">
      <c r="G98" s="41"/>
      <c r="H98" s="11"/>
      <c r="I98" s="11"/>
      <c r="J98" s="11"/>
      <c r="K98" s="519"/>
      <c r="L98" s="11"/>
      <c r="M98" s="11"/>
      <c r="N98" s="11"/>
    </row>
    <row r="99" spans="7:14" x14ac:dyDescent="0.2">
      <c r="G99" s="41"/>
      <c r="H99" s="11"/>
      <c r="I99" s="11"/>
      <c r="J99" s="11"/>
      <c r="K99" s="519"/>
      <c r="L99" s="11"/>
      <c r="M99" s="11"/>
      <c r="N99" s="11"/>
    </row>
    <row r="100" spans="7:14" x14ac:dyDescent="0.2">
      <c r="G100" s="41"/>
      <c r="H100" s="11"/>
      <c r="I100" s="11"/>
      <c r="J100" s="11"/>
      <c r="K100" s="519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9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9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9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9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9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9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9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9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9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9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9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9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9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9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9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9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9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9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9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9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9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9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21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22"/>
      <c r="L127" s="50"/>
      <c r="M127" s="50"/>
      <c r="N127" s="106"/>
    </row>
    <row r="128" spans="7:14" x14ac:dyDescent="0.2">
      <c r="G128" s="57"/>
      <c r="J128" s="50"/>
      <c r="K128" s="522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23"/>
      <c r="L133" s="38"/>
      <c r="M133" s="4"/>
    </row>
    <row r="134" spans="7:14" x14ac:dyDescent="0.2">
      <c r="G134" s="39"/>
      <c r="H134" s="6"/>
      <c r="I134" s="40"/>
      <c r="J134" s="6"/>
      <c r="K134" s="524"/>
      <c r="L134" s="6"/>
      <c r="M134" s="6"/>
    </row>
    <row r="135" spans="7:14" x14ac:dyDescent="0.2">
      <c r="G135" s="41"/>
      <c r="H135" s="11"/>
      <c r="I135" s="11"/>
      <c r="J135" s="11"/>
      <c r="K135" s="519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9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9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9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9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9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9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9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9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9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9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9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9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9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9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9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9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9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9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9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9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9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9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9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9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9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9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9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9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9"/>
      <c r="L164" s="11"/>
      <c r="M164" s="11"/>
      <c r="N164" s="11"/>
    </row>
    <row r="165" spans="7:14" x14ac:dyDescent="0.2">
      <c r="G165" s="41"/>
      <c r="H165" s="42"/>
      <c r="I165" s="42"/>
      <c r="J165" s="42"/>
      <c r="K165" s="525"/>
      <c r="L165" s="42"/>
      <c r="M165" s="42"/>
      <c r="N165" s="42"/>
    </row>
    <row r="166" spans="7:14" x14ac:dyDescent="0.2">
      <c r="G166" s="41"/>
      <c r="H166" s="11"/>
      <c r="I166" s="44"/>
      <c r="J166" s="11"/>
      <c r="K166" s="526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21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22"/>
      <c r="L171" s="57"/>
      <c r="M171" s="50"/>
      <c r="N171" s="106"/>
    </row>
    <row r="172" spans="7:14" x14ac:dyDescent="0.2">
      <c r="J172" s="50"/>
      <c r="K172" s="522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23"/>
      <c r="L177" s="38"/>
      <c r="M177" s="4"/>
    </row>
    <row r="178" spans="7:14" x14ac:dyDescent="0.2">
      <c r="G178" s="39"/>
      <c r="H178" s="6"/>
      <c r="I178" s="40"/>
      <c r="J178" s="6"/>
      <c r="K178" s="524"/>
      <c r="L178" s="6"/>
      <c r="M178" s="6"/>
    </row>
    <row r="179" spans="7:14" x14ac:dyDescent="0.2">
      <c r="G179" s="41"/>
      <c r="H179" s="11"/>
      <c r="I179" s="11"/>
      <c r="J179" s="11"/>
      <c r="K179" s="519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9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9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9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9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9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9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9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9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9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9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9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9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9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9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9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9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9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9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9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9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9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9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9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9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9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9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9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9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9"/>
      <c r="L208" s="11"/>
      <c r="M208" s="11"/>
      <c r="N208" s="11"/>
    </row>
    <row r="209" spans="7:14" x14ac:dyDescent="0.2">
      <c r="G209" s="41"/>
      <c r="H209" s="42"/>
      <c r="I209" s="42"/>
      <c r="J209" s="42"/>
      <c r="K209" s="525"/>
      <c r="L209" s="42"/>
      <c r="M209" s="42"/>
      <c r="N209" s="42"/>
    </row>
    <row r="210" spans="7:14" x14ac:dyDescent="0.2">
      <c r="G210" s="41"/>
      <c r="H210" s="11"/>
      <c r="I210" s="44"/>
      <c r="J210" s="11"/>
      <c r="K210" s="526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21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22"/>
      <c r="L215" s="57"/>
      <c r="M215" s="50"/>
      <c r="N215" s="106"/>
    </row>
    <row r="216" spans="7:14" x14ac:dyDescent="0.2">
      <c r="J216" s="50"/>
      <c r="K216" s="522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23"/>
      <c r="L220" s="38"/>
      <c r="M220" s="4"/>
    </row>
    <row r="221" spans="7:14" x14ac:dyDescent="0.2">
      <c r="G221" s="39"/>
      <c r="H221" s="6"/>
      <c r="I221" s="40"/>
      <c r="J221" s="6"/>
      <c r="K221" s="524"/>
      <c r="L221" s="6"/>
      <c r="M221" s="6"/>
    </row>
    <row r="222" spans="7:14" x14ac:dyDescent="0.2">
      <c r="G222" s="41"/>
      <c r="H222" s="11"/>
      <c r="I222" s="11"/>
      <c r="J222" s="11"/>
      <c r="K222" s="519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9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9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9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9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9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9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9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9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9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9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9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9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9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9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9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9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9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9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9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9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9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9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9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9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9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9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9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9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9"/>
      <c r="L251" s="11"/>
      <c r="M251" s="11"/>
      <c r="N251" s="11"/>
    </row>
    <row r="252" spans="7:14" x14ac:dyDescent="0.2">
      <c r="G252" s="41"/>
      <c r="H252" s="42"/>
      <c r="I252" s="42"/>
      <c r="J252" s="42"/>
      <c r="K252" s="525"/>
      <c r="L252" s="42"/>
      <c r="M252" s="42"/>
      <c r="N252" s="42"/>
    </row>
    <row r="253" spans="7:14" x14ac:dyDescent="0.2">
      <c r="G253" s="41"/>
      <c r="H253" s="11"/>
      <c r="I253" s="44"/>
      <c r="J253" s="11"/>
      <c r="K253" s="526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21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22"/>
      <c r="L258" s="57"/>
      <c r="M258" s="50"/>
      <c r="N258" s="106"/>
    </row>
    <row r="259" spans="10:14" x14ac:dyDescent="0.2">
      <c r="J259" s="50"/>
      <c r="K259" s="522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18" workbookViewId="0">
      <selection activeCell="A40" sqref="A40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-299882</v>
      </c>
      <c r="E14" s="11">
        <v>-301891</v>
      </c>
      <c r="F14" s="11"/>
      <c r="G14" s="11"/>
      <c r="H14" s="24">
        <f t="shared" si="0"/>
        <v>-2009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-257687</v>
      </c>
      <c r="E15" s="11">
        <v>-291787</v>
      </c>
      <c r="F15" s="11"/>
      <c r="G15" s="11"/>
      <c r="H15" s="24">
        <f t="shared" si="0"/>
        <v>-34100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-255903</v>
      </c>
      <c r="E16" s="11">
        <v>-270240</v>
      </c>
      <c r="F16" s="11"/>
      <c r="G16" s="11"/>
      <c r="H16" s="24">
        <f t="shared" si="0"/>
        <v>-14337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-292149</v>
      </c>
      <c r="E17" s="11">
        <v>-294862</v>
      </c>
      <c r="F17" s="11"/>
      <c r="G17" s="11"/>
      <c r="H17" s="24">
        <f t="shared" si="0"/>
        <v>-2713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-299428</v>
      </c>
      <c r="E18" s="11">
        <v>-300407</v>
      </c>
      <c r="F18" s="11"/>
      <c r="G18" s="11"/>
      <c r="H18" s="24">
        <f t="shared" si="0"/>
        <v>-979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-311511</v>
      </c>
      <c r="E19" s="11">
        <v>-303496</v>
      </c>
      <c r="F19" s="11"/>
      <c r="G19" s="11"/>
      <c r="H19" s="24">
        <f t="shared" si="0"/>
        <v>8015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-291172</v>
      </c>
      <c r="E20" s="11">
        <v>-289668</v>
      </c>
      <c r="F20" s="11"/>
      <c r="G20" s="11"/>
      <c r="H20" s="24">
        <f t="shared" si="0"/>
        <v>1504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-308827</v>
      </c>
      <c r="E21" s="11">
        <v>-303067</v>
      </c>
      <c r="F21" s="11"/>
      <c r="G21" s="11"/>
      <c r="H21" s="24">
        <f t="shared" si="0"/>
        <v>5760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-263478</v>
      </c>
      <c r="E22" s="11">
        <v>-263800</v>
      </c>
      <c r="F22" s="11"/>
      <c r="G22" s="11"/>
      <c r="H22" s="24">
        <f t="shared" si="0"/>
        <v>-322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-276071</v>
      </c>
      <c r="E23" s="11">
        <v>-276739</v>
      </c>
      <c r="F23" s="11"/>
      <c r="G23" s="11"/>
      <c r="H23" s="24">
        <f t="shared" si="0"/>
        <v>-668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>
        <v>-284466</v>
      </c>
      <c r="E24" s="11">
        <v>-282772</v>
      </c>
      <c r="F24" s="11"/>
      <c r="G24" s="11"/>
      <c r="H24" s="24">
        <f t="shared" si="0"/>
        <v>1694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-5830611</v>
      </c>
      <c r="E36" s="11">
        <f t="shared" si="15"/>
        <v>-5864642</v>
      </c>
      <c r="F36" s="11">
        <f t="shared" si="15"/>
        <v>0</v>
      </c>
      <c r="G36" s="11">
        <f t="shared" si="15"/>
        <v>0</v>
      </c>
      <c r="H36" s="11">
        <f t="shared" si="15"/>
        <v>-34031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-34031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37256</v>
      </c>
      <c r="B38" s="2" t="s">
        <v>45</v>
      </c>
      <c r="C38" s="547">
        <v>64269</v>
      </c>
      <c r="D38" s="323"/>
      <c r="E38" s="548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37276</v>
      </c>
      <c r="B39" s="2" t="s">
        <v>45</v>
      </c>
      <c r="C39" s="131">
        <f>+C38+C37</f>
        <v>64269</v>
      </c>
      <c r="D39" s="252"/>
      <c r="E39" s="131">
        <f>+E38+E37</f>
        <v>-56190</v>
      </c>
      <c r="F39" s="252"/>
      <c r="G39" s="131"/>
      <c r="H39" s="131">
        <f>+H38+H36</f>
        <v>8079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37256</v>
      </c>
      <c r="B44" s="32"/>
      <c r="C44" s="559">
        <v>-1582961.01</v>
      </c>
      <c r="D44" s="205"/>
      <c r="E44" s="560">
        <v>1039794.5</v>
      </c>
      <c r="F44" s="47">
        <f>+E44+C44</f>
        <v>-543166.51</v>
      </c>
      <c r="G44" s="247">
        <f>+G42-G43</f>
        <v>15616</v>
      </c>
      <c r="H44" s="38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37276</v>
      </c>
      <c r="B45" s="32"/>
      <c r="C45" s="47">
        <f>+C37*summary!G4</f>
        <v>0</v>
      </c>
      <c r="D45" s="205"/>
      <c r="E45" s="382">
        <f>+E37*summary!G3</f>
        <v>-71805.409999999989</v>
      </c>
      <c r="F45" s="47">
        <f>+E45+C45</f>
        <v>-71805.409999999989</v>
      </c>
      <c r="G45" s="247"/>
      <c r="H45" s="38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82">
        <v>925707</v>
      </c>
      <c r="F46" s="47">
        <f>+E46+C46</f>
        <v>-657254.01</v>
      </c>
      <c r="G46" s="247"/>
      <c r="H46" s="38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82"/>
      <c r="D47" s="382"/>
      <c r="E47" s="382"/>
      <c r="F47" s="47"/>
      <c r="G47" s="247"/>
      <c r="H47" s="38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18" workbookViewId="0">
      <selection activeCell="E28" sqref="E28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147784</v>
      </c>
      <c r="C15" s="11">
        <v>147401</v>
      </c>
      <c r="D15" s="562">
        <v>12967</v>
      </c>
      <c r="E15" s="11">
        <v>13033</v>
      </c>
      <c r="F15" s="11">
        <f t="shared" si="5"/>
        <v>-317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147391</v>
      </c>
      <c r="C16" s="11">
        <v>146313</v>
      </c>
      <c r="D16" s="11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145996</v>
      </c>
      <c r="C17" s="11">
        <v>146796</v>
      </c>
      <c r="D17" s="11">
        <v>13916</v>
      </c>
      <c r="E17" s="11">
        <v>13033</v>
      </c>
      <c r="F17" s="11">
        <f t="shared" si="5"/>
        <v>-83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144461</v>
      </c>
      <c r="C18" s="11">
        <v>143768</v>
      </c>
      <c r="D18" s="11">
        <v>12830</v>
      </c>
      <c r="E18" s="11">
        <v>13033</v>
      </c>
      <c r="F18" s="11">
        <f t="shared" si="5"/>
        <v>-490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142027</v>
      </c>
      <c r="C19" s="11">
        <v>141216</v>
      </c>
      <c r="D19" s="11">
        <v>12532</v>
      </c>
      <c r="E19" s="11">
        <v>13033</v>
      </c>
      <c r="F19" s="11">
        <f t="shared" si="5"/>
        <v>-310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146634</v>
      </c>
      <c r="C20" s="11">
        <v>146047</v>
      </c>
      <c r="D20" s="11">
        <v>12663</v>
      </c>
      <c r="E20" s="11">
        <v>13033</v>
      </c>
      <c r="F20" s="11">
        <f t="shared" si="5"/>
        <v>-217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145366</v>
      </c>
      <c r="C21" s="11">
        <v>145940</v>
      </c>
      <c r="D21" s="11">
        <v>12759</v>
      </c>
      <c r="E21" s="11">
        <v>13033</v>
      </c>
      <c r="F21" s="11">
        <f t="shared" si="5"/>
        <v>848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145752</v>
      </c>
      <c r="C22" s="11">
        <v>144932</v>
      </c>
      <c r="D22" s="11">
        <v>12984</v>
      </c>
      <c r="E22" s="11">
        <v>13033</v>
      </c>
      <c r="F22" s="11">
        <f t="shared" si="5"/>
        <v>-771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147422</v>
      </c>
      <c r="C23" s="11">
        <v>146903</v>
      </c>
      <c r="D23" s="11">
        <v>12632</v>
      </c>
      <c r="E23" s="11">
        <v>13033</v>
      </c>
      <c r="F23" s="11">
        <f t="shared" si="5"/>
        <v>-118</v>
      </c>
      <c r="G23" s="142"/>
      <c r="H23" s="508">
        <f>+A45</f>
        <v>37276</v>
      </c>
      <c r="I23" s="11">
        <f>+B39</f>
        <v>2922310</v>
      </c>
      <c r="J23" s="11">
        <f>+C39</f>
        <v>2908620</v>
      </c>
      <c r="K23" s="11">
        <f>+D39</f>
        <v>256667</v>
      </c>
      <c r="L23" s="11">
        <f>+E39</f>
        <v>260660</v>
      </c>
      <c r="M23" s="42">
        <f>+J23-I23+L23-K23</f>
        <v>-9697</v>
      </c>
      <c r="N23" s="102">
        <f>+summary!G3</f>
        <v>2.11</v>
      </c>
      <c r="O23" s="510">
        <f>+N23*M23</f>
        <v>-20460.669999999998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146057</v>
      </c>
      <c r="C24" s="11">
        <v>145183</v>
      </c>
      <c r="D24" s="11">
        <v>12781</v>
      </c>
      <c r="E24" s="11">
        <v>13033</v>
      </c>
      <c r="F24" s="11">
        <f t="shared" si="5"/>
        <v>-622</v>
      </c>
      <c r="G24" s="268"/>
      <c r="H24" s="168"/>
      <c r="I24" s="11"/>
      <c r="J24" s="11"/>
      <c r="K24" s="11"/>
      <c r="L24" s="142"/>
      <c r="M24" s="509">
        <f>SUM(M9:M23)</f>
        <v>80103</v>
      </c>
      <c r="N24" s="102"/>
      <c r="O24" s="102">
        <f>SUM(O9:O23)</f>
        <v>547655.66999999993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>
        <v>146516</v>
      </c>
      <c r="C25" s="11">
        <v>146270</v>
      </c>
      <c r="D25" s="11">
        <v>12318</v>
      </c>
      <c r="E25" s="11">
        <v>13033</v>
      </c>
      <c r="F25" s="11">
        <f t="shared" si="5"/>
        <v>469</v>
      </c>
      <c r="G25" s="309"/>
      <c r="H25" s="50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146915</v>
      </c>
      <c r="C26" s="11">
        <v>146731</v>
      </c>
      <c r="D26" s="11">
        <v>12991</v>
      </c>
      <c r="E26" s="11">
        <v>13033</v>
      </c>
      <c r="F26" s="11">
        <f t="shared" si="5"/>
        <v>-142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>
        <v>147281</v>
      </c>
      <c r="C27" s="11">
        <v>146911</v>
      </c>
      <c r="D27" s="11">
        <v>12635</v>
      </c>
      <c r="E27" s="11">
        <v>13033</v>
      </c>
      <c r="F27" s="11">
        <f t="shared" si="5"/>
        <v>28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6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6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6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2922310</v>
      </c>
      <c r="C39" s="150">
        <f>SUM(C8:C38)</f>
        <v>2908620</v>
      </c>
      <c r="D39" s="150">
        <f>SUM(D8:D38)</f>
        <v>256667</v>
      </c>
      <c r="E39" s="150">
        <f>SUM(E8:E38)</f>
        <v>260660</v>
      </c>
      <c r="F39" s="11">
        <f t="shared" si="5"/>
        <v>-9697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50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37256</v>
      </c>
      <c r="B44" s="32"/>
      <c r="C44" s="467"/>
      <c r="D44" s="111"/>
      <c r="E44" s="467"/>
      <c r="F44" s="499">
        <v>30131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37276</v>
      </c>
      <c r="B45" s="32"/>
      <c r="C45" s="106"/>
      <c r="D45" s="106"/>
      <c r="E45" s="106"/>
      <c r="F45" s="24">
        <f>+F44+F39</f>
        <v>20434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311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37256</v>
      </c>
      <c r="B50" s="32"/>
      <c r="C50" s="32"/>
      <c r="D50" s="499">
        <v>434360.78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37276</v>
      </c>
      <c r="B51" s="32"/>
      <c r="C51" s="32"/>
      <c r="D51" s="355">
        <f>+F39*summary!G3</f>
        <v>-20460.669999999998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413900.11000000004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8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8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8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8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2002-01-22T13:40:09Z</cp:lastPrinted>
  <dcterms:created xsi:type="dcterms:W3CDTF">2000-03-28T16:52:23Z</dcterms:created>
  <dcterms:modified xsi:type="dcterms:W3CDTF">2023-09-14T17:30:30Z</dcterms:modified>
</cp:coreProperties>
</file>