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EBFF17-E92D-40FA-858E-CBF28E814806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B8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9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4" i="20"/>
  <c r="B45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F43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B5" i="64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P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118" i="63"/>
  <c r="B120" i="63"/>
  <c r="B128" i="63"/>
  <c r="B141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<sst xmlns="http://schemas.openxmlformats.org/spreadsheetml/2006/main" count="1036" uniqueCount="334">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</sst>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66" fontId="8" fillId="3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2.11</v>
          </cell>
          <cell r="K39">
            <v>2.08</v>
          </cell>
          <cell r="M39">
            <v>2.1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3"/>
    </row>
    <row r="2" spans="1:32" ht="12.95" customHeight="1" x14ac:dyDescent="0.2">
      <c r="A2" s="34" t="s">
        <v>140</v>
      </c>
      <c r="D2" s="7"/>
      <c r="F2" s="383" t="s">
        <v>78</v>
      </c>
      <c r="G2" s="386"/>
      <c r="H2" s="32"/>
    </row>
    <row r="3" spans="1:32" ht="12.95" customHeight="1" x14ac:dyDescent="0.2">
      <c r="D3" s="7"/>
      <c r="F3" s="384" t="s">
        <v>29</v>
      </c>
      <c r="G3" s="387">
        <f>+summary!G3</f>
        <v>2.08</v>
      </c>
      <c r="H3" s="402">
        <f ca="1">NOW()</f>
        <v>37284.892857638886</v>
      </c>
    </row>
    <row r="4" spans="1:32" ht="12.95" customHeight="1" x14ac:dyDescent="0.2">
      <c r="A4" s="34" t="s">
        <v>145</v>
      </c>
      <c r="C4" s="34" t="s">
        <v>5</v>
      </c>
      <c r="D4" s="7"/>
      <c r="F4" s="385" t="s">
        <v>30</v>
      </c>
      <c r="G4" s="387">
        <f>+summary!G4</f>
        <v>2.1</v>
      </c>
      <c r="H4" s="32"/>
    </row>
    <row r="5" spans="1:32" ht="12.95" customHeight="1" x14ac:dyDescent="0.2">
      <c r="D5" s="7"/>
      <c r="F5" s="384" t="s">
        <v>117</v>
      </c>
      <c r="G5" s="387">
        <f>+summary!G5</f>
        <v>2.11</v>
      </c>
      <c r="H5" s="32"/>
    </row>
    <row r="6" spans="1:32" ht="6.95" customHeight="1" x14ac:dyDescent="0.2"/>
    <row r="7" spans="1:32" ht="12.95" customHeight="1" x14ac:dyDescent="0.2">
      <c r="A7" s="400" t="s">
        <v>163</v>
      </c>
      <c r="B7" s="401"/>
      <c r="AD7" s="32"/>
      <c r="AE7" s="32"/>
      <c r="AF7" s="32"/>
    </row>
    <row r="8" spans="1:32" ht="15.95" customHeight="1" outlineLevel="2" x14ac:dyDescent="0.2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6" t="s">
        <v>155</v>
      </c>
    </row>
    <row r="12" spans="1:32" ht="13.5" customHeight="1" outlineLevel="1" x14ac:dyDescent="0.2">
      <c r="A12" s="507" t="s">
        <v>127</v>
      </c>
      <c r="B12" s="346">
        <f>+Calpine!D41</f>
        <v>-22618.830000000016</v>
      </c>
      <c r="C12" s="369">
        <f>+B12/$G$4</f>
        <v>-10770.871428571436</v>
      </c>
      <c r="D12" s="14">
        <f>+Calpine!D47</f>
        <v>77148</v>
      </c>
      <c r="E12" s="70">
        <f>+C12-D12</f>
        <v>-87918.871428571438</v>
      </c>
      <c r="F12" s="364">
        <f>+Calpine!A41</f>
        <v>37283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">
      <c r="A13" s="248" t="s">
        <v>139</v>
      </c>
      <c r="B13" s="346">
        <f>+'Citizens-Griffith'!D41</f>
        <v>12296.220000000001</v>
      </c>
      <c r="C13" s="368">
        <f>+B13/$G$4</f>
        <v>5855.3428571428576</v>
      </c>
      <c r="D13" s="14">
        <f>+'Citizens-Griffith'!D48</f>
        <v>9748</v>
      </c>
      <c r="E13" s="70">
        <f>+C13-D13</f>
        <v>-3892.6571428571424</v>
      </c>
      <c r="F13" s="364">
        <f>+'Citizens-Griffith'!A41</f>
        <v>37283</v>
      </c>
      <c r="G13" s="203" t="s">
        <v>324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297</v>
      </c>
      <c r="B14" s="480">
        <f>+SWGasTrans!D41</f>
        <v>-20468.43</v>
      </c>
      <c r="C14" s="368">
        <f>+B14/G4</f>
        <v>-9746.8714285714286</v>
      </c>
      <c r="D14" s="14">
        <f>+SWGasTrans!$D$48</f>
        <v>3237</v>
      </c>
      <c r="E14" s="70">
        <f>+C14-D14</f>
        <v>-12983.871428571429</v>
      </c>
      <c r="F14" s="364">
        <f>+SWGasTrans!A41</f>
        <v>37282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6">
        <f>+'NS Steel'!D41</f>
        <v>-292277.90000000002</v>
      </c>
      <c r="C15" s="368">
        <f>+B15/$G$4</f>
        <v>-139179.9523809524</v>
      </c>
      <c r="D15" s="14">
        <f>+'NS Steel'!D50</f>
        <v>-14370</v>
      </c>
      <c r="E15" s="70">
        <f>+C15-D15</f>
        <v>-124809.9523809524</v>
      </c>
      <c r="F15" s="365">
        <f>+'NS Steel'!A41</f>
        <v>37282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7" t="s">
        <v>135</v>
      </c>
      <c r="B16" s="349">
        <f>+Citizens!D18</f>
        <v>-549480.09000000008</v>
      </c>
      <c r="C16" s="370">
        <f>+B16/$G$4</f>
        <v>-261657.18571428573</v>
      </c>
      <c r="D16" s="350">
        <f>+Citizens!D24</f>
        <v>-42436</v>
      </c>
      <c r="E16" s="72">
        <f>+C16-D16</f>
        <v>-219221.18571428573</v>
      </c>
      <c r="F16" s="364">
        <f>+Citizens!A18</f>
        <v>37282</v>
      </c>
      <c r="G16" s="203" t="s">
        <v>324</v>
      </c>
      <c r="H16" s="204" t="s">
        <v>99</v>
      </c>
      <c r="I16" s="419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8">
        <f>SUBTOTAL(9,B12:B16)</f>
        <v>-872549.03000000014</v>
      </c>
      <c r="C17" s="393">
        <f>SUBTOTAL(9,C12:C16)</f>
        <v>-415499.53809523815</v>
      </c>
      <c r="D17" s="394">
        <f>SUBTOTAL(9,D12:D16)</f>
        <v>33327</v>
      </c>
      <c r="E17" s="395">
        <f>SUBTOTAL(9,E12:E16)</f>
        <v>-448826.53809523815</v>
      </c>
      <c r="F17" s="364"/>
      <c r="G17" s="203"/>
      <c r="H17" s="204"/>
      <c r="I17" s="352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7" t="s">
        <v>57</v>
      </c>
      <c r="G19" s="7"/>
    </row>
    <row r="20" spans="1:20" ht="13.5" customHeight="1" outlineLevel="2" x14ac:dyDescent="0.2">
      <c r="A20" s="248" t="s">
        <v>71</v>
      </c>
      <c r="B20" s="481">
        <f>+transcol!$D$43</f>
        <v>30918.799999999999</v>
      </c>
      <c r="C20" s="368">
        <f>+B20/$G$4</f>
        <v>14723.238095238094</v>
      </c>
      <c r="D20" s="14">
        <f>+transcol!D50</f>
        <v>-41164</v>
      </c>
      <c r="E20" s="70">
        <f>+C20-D20</f>
        <v>55887.238095238092</v>
      </c>
      <c r="F20" s="365">
        <f>+transcol!A43</f>
        <v>37282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7" t="s">
        <v>312</v>
      </c>
      <c r="B21" s="481">
        <f>+C21*G3</f>
        <v>62100.480000000003</v>
      </c>
      <c r="C21" s="368">
        <f>+williams!J40</f>
        <v>29856</v>
      </c>
      <c r="D21" s="14">
        <f>+C21</f>
        <v>29856</v>
      </c>
      <c r="E21" s="70">
        <f>+C21-D21</f>
        <v>0</v>
      </c>
      <c r="F21" s="365">
        <f>+williams!A40</f>
        <v>37282</v>
      </c>
      <c r="G21" s="203" t="s">
        <v>154</v>
      </c>
      <c r="H21" s="32" t="s">
        <v>313</v>
      </c>
      <c r="I21" s="32"/>
      <c r="J21" s="32"/>
      <c r="K21" s="32"/>
      <c r="T21" s="259"/>
    </row>
    <row r="22" spans="1:20" ht="13.5" customHeight="1" outlineLevel="2" x14ac:dyDescent="0.2">
      <c r="A22" s="507" t="s">
        <v>95</v>
      </c>
      <c r="B22" s="498">
        <f>+burlington!D42</f>
        <v>-10100.099999999999</v>
      </c>
      <c r="C22" s="372">
        <f>+B22/$G$3</f>
        <v>-4855.8173076923067</v>
      </c>
      <c r="D22" s="350">
        <f>+burlington!D49</f>
        <v>-7327</v>
      </c>
      <c r="E22" s="72">
        <f>+C22-D22</f>
        <v>2471.1826923076933</v>
      </c>
      <c r="F22" s="364">
        <f>+burlington!A42</f>
        <v>37282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8">
        <f>SUBTOTAL(9,B20:B22)</f>
        <v>82919.179999999993</v>
      </c>
      <c r="C23" s="389">
        <f>SUBTOTAL(9,C20:C22)</f>
        <v>39723.420787545787</v>
      </c>
      <c r="D23" s="394">
        <f>SUBTOTAL(9,D20:D22)</f>
        <v>-18635</v>
      </c>
      <c r="E23" s="395">
        <f>SUBTOTAL(9,E20:E22)</f>
        <v>58358.420787545787</v>
      </c>
      <c r="F23" s="364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5" customHeight="1" outlineLevel="2" x14ac:dyDescent="0.2">
      <c r="A26" s="507" t="s">
        <v>87</v>
      </c>
      <c r="B26" s="480">
        <f>+NNG!$D$24</f>
        <v>22736.7</v>
      </c>
      <c r="C26" s="368">
        <f>+B26/$G$4</f>
        <v>10827</v>
      </c>
      <c r="D26" s="14">
        <f>+NNG!D34</f>
        <v>9392</v>
      </c>
      <c r="E26" s="70">
        <f t="shared" ref="E26:E50" si="0">+C26-D26</f>
        <v>1435</v>
      </c>
      <c r="F26" s="364">
        <f>+NNG!A24</f>
        <v>37282</v>
      </c>
      <c r="G26" s="204" t="s">
        <v>323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0">
        <f>+Conoco!$F$41</f>
        <v>452547.49</v>
      </c>
      <c r="C27" s="368">
        <f>+B27/$G$4</f>
        <v>215498.80476190476</v>
      </c>
      <c r="D27" s="14">
        <f>+Conoco!D48</f>
        <v>14215</v>
      </c>
      <c r="E27" s="70">
        <f t="shared" si="0"/>
        <v>201283.80476190476</v>
      </c>
      <c r="F27" s="364">
        <f>+Conoco!A41</f>
        <v>37283</v>
      </c>
      <c r="G27" s="32" t="s">
        <v>324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6">
        <f>+'Amoco Abo'!$F$43</f>
        <v>169918.72999999998</v>
      </c>
      <c r="C28" s="368">
        <f>+B28/$G$4</f>
        <v>80913.680952380935</v>
      </c>
      <c r="D28" s="14">
        <f>+'Amoco Abo'!D49</f>
        <v>-359810</v>
      </c>
      <c r="E28" s="70">
        <f t="shared" si="0"/>
        <v>440723.68095238094</v>
      </c>
      <c r="F28" s="365">
        <f>+'Amoco Abo'!A43</f>
        <v>37276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0">
        <f>+KN_Westar!F41</f>
        <v>303914.19</v>
      </c>
      <c r="C29" s="368">
        <f>+B29/$G$4</f>
        <v>144721.04285714286</v>
      </c>
      <c r="D29" s="14">
        <f>+KN_Westar!D48</f>
        <v>-49188</v>
      </c>
      <c r="E29" s="70">
        <f t="shared" si="0"/>
        <v>193909.04285714286</v>
      </c>
      <c r="F29" s="365">
        <f>+KN_Westar!A41</f>
        <v>37277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7" t="s">
        <v>256</v>
      </c>
      <c r="B30" s="480">
        <f>+summary!B9</f>
        <v>1226348.72</v>
      </c>
      <c r="C30" s="369">
        <f>+B30/$G$5</f>
        <v>581207.92417061608</v>
      </c>
      <c r="D30" s="14">
        <f>+Duke!$G$40+Duke!$H$40+Duke!$I$53+Duke!$I$54</f>
        <v>365664</v>
      </c>
      <c r="E30" s="70">
        <f t="shared" si="0"/>
        <v>215543.92417061608</v>
      </c>
      <c r="F30" s="365">
        <f>+Duke!A42</f>
        <v>37283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07" t="s">
        <v>249</v>
      </c>
      <c r="B31" s="480">
        <f>+summary!B8</f>
        <v>1513239.61</v>
      </c>
      <c r="C31" s="369">
        <f>+B31/$G$5</f>
        <v>717175.17061611381</v>
      </c>
      <c r="D31" s="14">
        <f>+Duke!$F$40</f>
        <v>370017</v>
      </c>
      <c r="E31" s="70">
        <f t="shared" si="0"/>
        <v>347158.17061611381</v>
      </c>
      <c r="F31" s="365">
        <f>+Duke!A7</f>
        <v>37283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07" t="s">
        <v>248</v>
      </c>
      <c r="B32" s="480">
        <f>+summary!B41</f>
        <v>-2806071.0700000003</v>
      </c>
      <c r="C32" s="369">
        <f>+B32/$G$5</f>
        <v>-1329891.5023696686</v>
      </c>
      <c r="D32" s="14">
        <f>+DEFS!$I$36+DEFS!$J$36+DEFS!$K$45+DEFS!$K$46+DEFS!$K$47+DEFS!$K$48</f>
        <v>-438490</v>
      </c>
      <c r="E32" s="70">
        <f t="shared" si="0"/>
        <v>-891401.50236966857</v>
      </c>
      <c r="F32" s="365">
        <f>+DEFS!A40</f>
        <v>37283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0">
        <f>+mewborne!$J$43</f>
        <v>358326.92</v>
      </c>
      <c r="C33" s="368">
        <f>+B33/$G$4</f>
        <v>170631.86666666664</v>
      </c>
      <c r="D33" s="14">
        <f>+mewborne!D49</f>
        <v>143838</v>
      </c>
      <c r="E33" s="70">
        <f t="shared" si="0"/>
        <v>26793.86666666664</v>
      </c>
      <c r="F33" s="365">
        <f>+mewborne!A43</f>
        <v>37282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0">
        <f>+PGETX!$H$39</f>
        <v>-8905.6999999999971</v>
      </c>
      <c r="C34" s="368">
        <f>+B34/$G$4</f>
        <v>-4240.809523809522</v>
      </c>
      <c r="D34" s="14">
        <f>+PGETX!E48</f>
        <v>23179</v>
      </c>
      <c r="E34" s="70">
        <f t="shared" si="0"/>
        <v>-27419.809523809523</v>
      </c>
      <c r="F34" s="365">
        <f>+PGETX!E39</f>
        <v>37282</v>
      </c>
      <c r="G34" s="32" t="s">
        <v>325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46">
        <f>+PNM!$D$23</f>
        <v>741008.72</v>
      </c>
      <c r="C35" s="368">
        <f>+B35/$G$4</f>
        <v>352861.29523809522</v>
      </c>
      <c r="D35" s="14">
        <f>+PNM!D30</f>
        <v>294986</v>
      </c>
      <c r="E35" s="70">
        <f t="shared" si="0"/>
        <v>57875.295238095219</v>
      </c>
      <c r="F35" s="365">
        <f>+PNM!A23</f>
        <v>37282</v>
      </c>
      <c r="G35" s="32" t="s">
        <v>323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0">
        <f>+EOG!J41</f>
        <v>26619.81</v>
      </c>
      <c r="C36" s="368">
        <f>+B36/$G$4</f>
        <v>12676.1</v>
      </c>
      <c r="D36" s="14">
        <f>+EOG!D48</f>
        <v>-115022</v>
      </c>
      <c r="E36" s="70">
        <f t="shared" si="0"/>
        <v>127698.1</v>
      </c>
      <c r="F36" s="364">
        <f>+EOG!A41</f>
        <v>37282</v>
      </c>
      <c r="G36" s="32" t="s">
        <v>323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46">
        <f>+Oasis!D40</f>
        <v>-63931.360000000001</v>
      </c>
      <c r="C37" s="368">
        <f>+B37/G5</f>
        <v>-30299.222748815169</v>
      </c>
      <c r="D37" s="14">
        <f>+Oasis!D47</f>
        <v>-32624</v>
      </c>
      <c r="E37" s="70">
        <f>+C37-D37</f>
        <v>2324.7772511848307</v>
      </c>
      <c r="F37" s="364">
        <f>+Oasis!A40</f>
        <v>37282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0">
        <f>+SidR!D41</f>
        <v>38982.14</v>
      </c>
      <c r="C38" s="368">
        <f>+B38/$G$5</f>
        <v>18474.947867298579</v>
      </c>
      <c r="D38" s="14">
        <f>+SidR!D48</f>
        <v>18425</v>
      </c>
      <c r="E38" s="70">
        <f t="shared" si="0"/>
        <v>49.947867298578785</v>
      </c>
      <c r="F38" s="365">
        <f>+SidR!A41</f>
        <v>37282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07" t="s">
        <v>260</v>
      </c>
      <c r="B39" s="346">
        <f>+summary!$B$44</f>
        <v>-203736.06</v>
      </c>
      <c r="C39" s="368">
        <f>+summary!$C$44</f>
        <v>-96557.374407582945</v>
      </c>
      <c r="D39" s="14">
        <f>+MiVida_Rich!D48</f>
        <v>-51454</v>
      </c>
      <c r="E39" s="70">
        <f>+C39-D39</f>
        <v>-45103.374407582945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46">
        <f>+Dominion!D41</f>
        <v>175198.09000000003</v>
      </c>
      <c r="C40" s="368">
        <f>+B40/$G$5</f>
        <v>83032.270142180118</v>
      </c>
      <c r="D40" s="14">
        <f>+Dominion!D48</f>
        <v>76714</v>
      </c>
      <c r="E40" s="70">
        <f t="shared" si="0"/>
        <v>6318.2701421801175</v>
      </c>
      <c r="F40" s="365">
        <f>+Dominion!A41</f>
        <v>37282</v>
      </c>
      <c r="G40" s="203" t="s">
        <v>323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46">
        <f>+WTGmktg!J43</f>
        <v>-35819.630000000005</v>
      </c>
      <c r="C41" s="368">
        <f>+B41/$G$4</f>
        <v>-17056.966666666667</v>
      </c>
      <c r="D41" s="14">
        <f>+WTGmktg!D50</f>
        <v>-3567</v>
      </c>
      <c r="E41" s="70">
        <f t="shared" si="0"/>
        <v>-13489.966666666667</v>
      </c>
      <c r="F41" s="365">
        <f>+WTGmktg!A43</f>
        <v>37282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302</v>
      </c>
      <c r="B42" s="346">
        <f>+'WTG inc'!N43</f>
        <v>34195.89</v>
      </c>
      <c r="C42" s="368">
        <f>+B42/G4</f>
        <v>16283.757142857143</v>
      </c>
      <c r="D42" s="14">
        <f>+'WTG inc'!D50</f>
        <v>12875</v>
      </c>
      <c r="E42" s="70">
        <f>+C42-D42</f>
        <v>3408.7571428571428</v>
      </c>
      <c r="F42" s="365">
        <f>+'WTG inc'!A43</f>
        <v>37282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46">
        <f>+Devon!D41</f>
        <v>151909.31999999998</v>
      </c>
      <c r="C43" s="368">
        <f>+B43/$G$5</f>
        <v>71994.938388625582</v>
      </c>
      <c r="D43" s="14">
        <f>+Devon!D48</f>
        <v>29524</v>
      </c>
      <c r="E43" s="70">
        <f t="shared" si="0"/>
        <v>42470.938388625582</v>
      </c>
      <c r="F43" s="365">
        <f>+Devon!A41</f>
        <v>37282</v>
      </c>
      <c r="G43" s="203" t="s">
        <v>324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46">
        <f>+crosstex!F41</f>
        <v>-116026.13999999998</v>
      </c>
      <c r="C44" s="368">
        <f>+B44/$G$4</f>
        <v>-55250.542857142849</v>
      </c>
      <c r="D44" s="14">
        <f>+crosstex!D48</f>
        <v>-35141</v>
      </c>
      <c r="E44" s="70">
        <f t="shared" si="0"/>
        <v>-20109.542857142849</v>
      </c>
      <c r="F44" s="365">
        <f>+crosstex!A41</f>
        <v>37282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46">
        <f>+Amarillo!P41</f>
        <v>92004.9</v>
      </c>
      <c r="C45" s="368">
        <f>+B45/$G$4</f>
        <v>43811.857142857138</v>
      </c>
      <c r="D45" s="14">
        <f>+Amarillo!D48</f>
        <v>38125</v>
      </c>
      <c r="E45" s="70">
        <f t="shared" si="0"/>
        <v>5686.8571428571377</v>
      </c>
      <c r="F45" s="365">
        <f>+Amarillo!A41</f>
        <v>37282</v>
      </c>
      <c r="G45" s="203" t="s">
        <v>324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318</v>
      </c>
      <c r="B46" s="346">
        <f>+Stratland!$D$41</f>
        <v>42593.49</v>
      </c>
      <c r="C46" s="369">
        <f>+B46/$G$4</f>
        <v>20282.614285714284</v>
      </c>
      <c r="D46" s="14">
        <f>+Stratland!D48</f>
        <v>14572</v>
      </c>
      <c r="E46" s="70">
        <f>+C46-D46</f>
        <v>5710.6142857142841</v>
      </c>
      <c r="F46" s="364">
        <f>+Stratland!A41</f>
        <v>37257</v>
      </c>
      <c r="G46" s="203" t="s">
        <v>323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330</v>
      </c>
      <c r="B47" s="346">
        <f>+Plains!$N$43</f>
        <v>107948.28</v>
      </c>
      <c r="C47" s="369">
        <f>+B47/$G$4</f>
        <v>51403.942857142858</v>
      </c>
      <c r="D47" s="14">
        <f>+Plains!D50</f>
        <v>36315</v>
      </c>
      <c r="E47" s="70">
        <f>+C47-D47</f>
        <v>15088.942857142858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46">
        <f>+Continental!F43</f>
        <v>46490.3</v>
      </c>
      <c r="C48" s="369">
        <f>+B48/$G$4</f>
        <v>22138.238095238095</v>
      </c>
      <c r="D48" s="14">
        <f>+Continental!D50</f>
        <v>6571</v>
      </c>
      <c r="E48" s="70">
        <f t="shared" si="0"/>
        <v>15567.238095238095</v>
      </c>
      <c r="F48" s="365">
        <f>+Continental!A43</f>
        <v>37283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46">
        <f>+EPFS!D41</f>
        <v>75928.929999999993</v>
      </c>
      <c r="C49" s="369">
        <f>+B49/$G$5</f>
        <v>35985.274881516583</v>
      </c>
      <c r="D49" s="14">
        <f>+EPFS!D47</f>
        <v>50281</v>
      </c>
      <c r="E49" s="70">
        <f t="shared" si="0"/>
        <v>-14295.725118483417</v>
      </c>
      <c r="F49" s="364">
        <f>+EPFS!A41</f>
        <v>37283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07" t="s">
        <v>79</v>
      </c>
      <c r="B50" s="498">
        <f>+Agave!$D$24</f>
        <v>104552.81</v>
      </c>
      <c r="C50" s="370">
        <f>+B50/$G$4</f>
        <v>49787.05238095238</v>
      </c>
      <c r="D50" s="350">
        <f>+Agave!D31</f>
        <v>62011</v>
      </c>
      <c r="E50" s="72">
        <f t="shared" si="0"/>
        <v>-12223.94761904762</v>
      </c>
      <c r="F50" s="364">
        <f>+Agave!A24</f>
        <v>37282</v>
      </c>
      <c r="G50" s="203" t="s">
        <v>324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88">
        <f>SUBTOTAL(9,B26:B50)</f>
        <v>2449975.0799999996</v>
      </c>
      <c r="C51" s="393">
        <f>SUBTOTAL(9,C26:C50)</f>
        <v>1166411.3598736173</v>
      </c>
      <c r="D51" s="394">
        <f>SUBTOTAL(9,D26:D50)</f>
        <v>481408</v>
      </c>
      <c r="E51" s="395">
        <f>SUBTOTAL(9,E26:E50)</f>
        <v>685003.35987361753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88">
        <f>SUBTOTAL(9,B12:B50)</f>
        <v>1660345.2299999993</v>
      </c>
      <c r="C53" s="393">
        <f>SUBTOTAL(9,C12:C50)</f>
        <v>790635.24256592523</v>
      </c>
      <c r="D53" s="394">
        <f>SUBTOTAL(9,D12:D50)</f>
        <v>496100</v>
      </c>
      <c r="E53" s="395">
        <f>SUBTOTAL(9,E12:E50)</f>
        <v>294535.242565925</v>
      </c>
      <c r="F53" s="364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">
      <c r="D59" s="7"/>
      <c r="F59" s="384" t="s">
        <v>29</v>
      </c>
      <c r="G59" s="387">
        <f>+G3</f>
        <v>2.08</v>
      </c>
      <c r="H59" s="402">
        <f ca="1">NOW()</f>
        <v>37284.892857638886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85" t="s">
        <v>30</v>
      </c>
      <c r="G60" s="387">
        <f>+G4</f>
        <v>2.1</v>
      </c>
      <c r="H60" s="32"/>
    </row>
    <row r="61" spans="1:19" ht="13.5" customHeight="1" outlineLevel="1" x14ac:dyDescent="0.2">
      <c r="D61" s="7"/>
      <c r="F61" s="384" t="s">
        <v>117</v>
      </c>
      <c r="G61" s="387">
        <f>+G5</f>
        <v>2.11</v>
      </c>
      <c r="H61" s="32"/>
    </row>
    <row r="62" spans="1:19" ht="13.5" customHeight="1" outlineLevel="2" x14ac:dyDescent="0.2"/>
    <row r="63" spans="1:19" ht="13.5" customHeight="1" outlineLevel="2" x14ac:dyDescent="0.2">
      <c r="A63" s="400" t="s">
        <v>164</v>
      </c>
      <c r="B63" s="401"/>
      <c r="E63" s="12" t="s">
        <v>197</v>
      </c>
    </row>
    <row r="64" spans="1:19" ht="13.5" customHeight="1" outlineLevel="2" x14ac:dyDescent="0.2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66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09">
        <f>+Mojave!D40</f>
        <v>179360</v>
      </c>
      <c r="C68" s="346">
        <f>+B68*$G$4</f>
        <v>376656</v>
      </c>
      <c r="D68" s="47">
        <f>+Mojave!D47</f>
        <v>184140.7</v>
      </c>
      <c r="E68" s="47">
        <f>+C68-D68</f>
        <v>192515.3</v>
      </c>
      <c r="F68" s="365">
        <f>+Mojave!A40</f>
        <v>37282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69">
        <f>+SoCal!F40</f>
        <v>77856</v>
      </c>
      <c r="C69" s="346">
        <f>+B69*$G$4</f>
        <v>163497.60000000001</v>
      </c>
      <c r="D69" s="47">
        <f>+SoCal!D47</f>
        <v>276132.59999999998</v>
      </c>
      <c r="E69" s="47">
        <f>+C69-D69</f>
        <v>-112634.99999999997</v>
      </c>
      <c r="F69" s="365">
        <f>+SoCal!A40</f>
        <v>37283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68">
        <f>+'El Paso'!C39</f>
        <v>64269</v>
      </c>
      <c r="C70" s="346">
        <f>+B70*$G$4</f>
        <v>134964.9</v>
      </c>
      <c r="D70" s="47">
        <f>+'El Paso'!C46</f>
        <v>-1582961.01</v>
      </c>
      <c r="E70" s="47">
        <f>+C70-D70</f>
        <v>1717925.91</v>
      </c>
      <c r="F70" s="365">
        <f>+'El Paso'!A39</f>
        <v>37283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0">
        <f>+'PG&amp;E'!D40</f>
        <v>26148</v>
      </c>
      <c r="C71" s="349">
        <f>+B71*$G$4</f>
        <v>54910.8</v>
      </c>
      <c r="D71" s="349">
        <f>+'PG&amp;E'!D47</f>
        <v>-149681.45000000001</v>
      </c>
      <c r="E71" s="349">
        <f>+C71-D71</f>
        <v>204592.25</v>
      </c>
      <c r="F71" s="365">
        <f>+'PG&amp;E'!A40</f>
        <v>37283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3">
        <f>SUBTOTAL(9,B68:B71)</f>
        <v>347633</v>
      </c>
      <c r="C72" s="388">
        <f>SUBTOTAL(9,C68:C71)</f>
        <v>730029.3</v>
      </c>
      <c r="D72" s="388">
        <f>SUBTOTAL(9,D68:D71)</f>
        <v>-1272369.1599999999</v>
      </c>
      <c r="E72" s="388">
        <f>SUBTOTAL(9,E68:E71)</f>
        <v>2002398.46</v>
      </c>
      <c r="F72" s="365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66" t="s">
        <v>57</v>
      </c>
      <c r="B74" s="286"/>
      <c r="C74" s="247"/>
      <c r="G74" s="203"/>
    </row>
    <row r="75" spans="1:19" x14ac:dyDescent="0.2">
      <c r="A75" s="248" t="s">
        <v>23</v>
      </c>
      <c r="B75" s="368">
        <f>+'Red C'!F45</f>
        <v>15071</v>
      </c>
      <c r="C75" s="347">
        <f>+B75*G59</f>
        <v>31347.68</v>
      </c>
      <c r="D75" s="200">
        <f>+'Red C'!D52</f>
        <v>403035.98000000004</v>
      </c>
      <c r="E75" s="47">
        <f>+C75-D75</f>
        <v>-371688.30000000005</v>
      </c>
      <c r="F75" s="364">
        <f>+'Red C'!A45</f>
        <v>37283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311</v>
      </c>
      <c r="B76" s="368">
        <f>+Amoco!D40</f>
        <v>-167</v>
      </c>
      <c r="C76" s="346">
        <f>+B76*$G$3</f>
        <v>-347.36</v>
      </c>
      <c r="D76" s="47">
        <f>+Amoco!D47</f>
        <v>335071.44</v>
      </c>
      <c r="E76" s="47">
        <f>+C76-D76</f>
        <v>-335418.8</v>
      </c>
      <c r="F76" s="365">
        <f>+Amoco!A40</f>
        <v>37283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68">
        <f>+'El Paso'!E39</f>
        <v>-61586</v>
      </c>
      <c r="C77" s="346">
        <f>+B77*$G$3</f>
        <v>-128098.88</v>
      </c>
      <c r="D77" s="47">
        <f>+'El Paso'!F46</f>
        <v>-657254.01</v>
      </c>
      <c r="E77" s="47">
        <f>+C77-D77</f>
        <v>529155.13</v>
      </c>
      <c r="F77" s="365">
        <f>+'El Paso'!A39</f>
        <v>37283</v>
      </c>
      <c r="G77" s="420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0">
        <f>+NW!$F$41</f>
        <v>-17437</v>
      </c>
      <c r="C78" s="349">
        <f>+B78*$G$3</f>
        <v>-36268.959999999999</v>
      </c>
      <c r="D78" s="349">
        <f>+NW!E49</f>
        <v>-497307.84</v>
      </c>
      <c r="E78" s="349">
        <f>+C78-D78</f>
        <v>461038.88</v>
      </c>
      <c r="F78" s="364">
        <f>+NW!B41</f>
        <v>37282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3">
        <f>SUBTOTAL(9,B75:B78)</f>
        <v>-64119</v>
      </c>
      <c r="C79" s="388">
        <f>SUBTOTAL(9,C75:C78)</f>
        <v>-133367.51999999999</v>
      </c>
      <c r="D79" s="388">
        <f>SUBTOTAL(9,D75:D78)</f>
        <v>-416454.43</v>
      </c>
      <c r="E79" s="388">
        <f>SUBTOTAL(9,E75:E78)</f>
        <v>283086.90999999992</v>
      </c>
      <c r="F79" s="364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66" t="s">
        <v>159</v>
      </c>
      <c r="B81" s="286"/>
      <c r="C81" s="247"/>
      <c r="G81" s="203"/>
    </row>
    <row r="82" spans="1:12" x14ac:dyDescent="0.2">
      <c r="A82" s="248" t="s">
        <v>88</v>
      </c>
      <c r="B82" s="368">
        <f>+NGPL!F38</f>
        <v>135677</v>
      </c>
      <c r="C82" s="480">
        <f>+B82*$G$5</f>
        <v>286278.46999999997</v>
      </c>
      <c r="D82" s="47">
        <f>+NGPL!D45</f>
        <v>339291.6</v>
      </c>
      <c r="E82" s="47">
        <f>+C82-D82</f>
        <v>-53013.130000000005</v>
      </c>
      <c r="F82" s="365">
        <f>+NGPL!A38</f>
        <v>37283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68">
        <f>+PEPL!D41</f>
        <v>-13754</v>
      </c>
      <c r="C83" s="481">
        <f>+B83*$G$4</f>
        <v>-28883.4</v>
      </c>
      <c r="D83" s="47">
        <f>+PEPL!D47</f>
        <v>164413.1</v>
      </c>
      <c r="E83" s="47">
        <f>+C83-D83</f>
        <v>-193296.5</v>
      </c>
      <c r="F83" s="365">
        <f>+PEPL!A41</f>
        <v>37283</v>
      </c>
      <c r="G83" s="32" t="s">
        <v>324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1">
        <f>+B84*$G$4</f>
        <v>36932.700000000004</v>
      </c>
      <c r="D84" s="200">
        <f>+CIG!D49</f>
        <v>385921.9</v>
      </c>
      <c r="E84" s="70">
        <f>+C84-D84</f>
        <v>-348989.2</v>
      </c>
      <c r="F84" s="365">
        <f>+CIG!A42</f>
        <v>37278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2">
        <f>+Lonestar!F43</f>
        <v>39962.94</v>
      </c>
      <c r="C85" s="498">
        <f>+B85*G61</f>
        <v>84321.803400000004</v>
      </c>
      <c r="D85" s="349">
        <f>+Lonestar!D50</f>
        <v>34297.240000000005</v>
      </c>
      <c r="E85" s="349">
        <f>+C85-D85</f>
        <v>50024.563399999999</v>
      </c>
      <c r="F85" s="364">
        <f>+Lonestar!A43</f>
        <v>37282</v>
      </c>
      <c r="G85" s="32" t="s">
        <v>324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89">
        <f>SUBTOTAL(9,B82:B85)</f>
        <v>179472.94</v>
      </c>
      <c r="C86" s="388">
        <f>SUBTOTAL(9,C82:C85)</f>
        <v>378649.57339999999</v>
      </c>
      <c r="D86" s="388">
        <f>SUBTOTAL(9,D82:D85)</f>
        <v>923923.84</v>
      </c>
      <c r="E86" s="388">
        <f>SUBTOTAL(9,E82:E85)</f>
        <v>-545274.26660000009</v>
      </c>
      <c r="F86" s="364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89">
        <f>SUBTOTAL(9,B68:B85)</f>
        <v>462986.94</v>
      </c>
      <c r="C88" s="388">
        <f>SUBTOTAL(9,C68:C85)</f>
        <v>975311.35340000002</v>
      </c>
      <c r="D88" s="388">
        <f>SUBTOTAL(9,D68:D85)</f>
        <v>-764899.75000000012</v>
      </c>
      <c r="E88" s="388">
        <f>SUBTOTAL(9,E68:E85)</f>
        <v>1740211.1033999999</v>
      </c>
      <c r="F88" s="364"/>
      <c r="H88" s="32"/>
      <c r="I88" s="32"/>
      <c r="J88" s="32"/>
      <c r="K88" s="32"/>
    </row>
    <row r="89" spans="1:12" x14ac:dyDescent="0.2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396">
        <f>+C88+B53</f>
        <v>2635656.5833999994</v>
      </c>
      <c r="C91" s="206"/>
      <c r="D91" s="346"/>
      <c r="E91" s="346"/>
      <c r="F91" s="353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1253622.1825659252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1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5" workbookViewId="0">
      <selection activeCell="C33" sqref="C33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0">
        <v>1</v>
      </c>
      <c r="B6" s="411">
        <v>152595</v>
      </c>
      <c r="C6" s="411">
        <v>150415</v>
      </c>
      <c r="D6" s="307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0">
        <v>2</v>
      </c>
      <c r="B7" s="437">
        <v>151711</v>
      </c>
      <c r="C7" s="411">
        <v>150642</v>
      </c>
      <c r="D7" s="307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0">
        <v>3</v>
      </c>
      <c r="B8" s="437">
        <v>130476</v>
      </c>
      <c r="C8" s="411">
        <v>128588</v>
      </c>
      <c r="D8" s="307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0">
        <v>4</v>
      </c>
      <c r="B9" s="437">
        <v>157869</v>
      </c>
      <c r="C9" s="411">
        <v>157685</v>
      </c>
      <c r="D9" s="307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0">
        <v>5</v>
      </c>
      <c r="B10" s="437">
        <v>153621</v>
      </c>
      <c r="C10" s="411">
        <v>153806</v>
      </c>
      <c r="D10" s="307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0">
        <v>6</v>
      </c>
      <c r="B11" s="437">
        <v>157371</v>
      </c>
      <c r="C11" s="411">
        <v>156381</v>
      </c>
      <c r="D11" s="307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0">
        <v>7</v>
      </c>
      <c r="B12" s="437">
        <v>161938</v>
      </c>
      <c r="C12" s="411">
        <v>164999</v>
      </c>
      <c r="D12" s="307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0">
        <v>8</v>
      </c>
      <c r="B13" s="437">
        <v>162302</v>
      </c>
      <c r="C13" s="411">
        <v>164696</v>
      </c>
      <c r="D13" s="307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0">
        <v>9</v>
      </c>
      <c r="B14" s="411">
        <v>107614</v>
      </c>
      <c r="C14" s="411">
        <v>148440</v>
      </c>
      <c r="D14" s="307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0">
        <v>10</v>
      </c>
      <c r="B15" s="411">
        <v>147290</v>
      </c>
      <c r="C15" s="411">
        <v>144402</v>
      </c>
      <c r="D15" s="307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0">
        <v>11</v>
      </c>
      <c r="B16" s="411">
        <v>154336</v>
      </c>
      <c r="C16" s="411">
        <v>162333</v>
      </c>
      <c r="D16" s="307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0">
        <v>12</v>
      </c>
      <c r="B17" s="411">
        <v>158290</v>
      </c>
      <c r="C17" s="411">
        <v>147089</v>
      </c>
      <c r="D17" s="307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0">
        <v>13</v>
      </c>
      <c r="B18" s="411">
        <v>161306</v>
      </c>
      <c r="C18" s="411">
        <v>160161</v>
      </c>
      <c r="D18" s="307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0">
        <v>14</v>
      </c>
      <c r="B19" s="411">
        <v>157262</v>
      </c>
      <c r="C19" s="411">
        <v>155672</v>
      </c>
      <c r="D19" s="307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0">
        <v>15</v>
      </c>
      <c r="B20" s="411">
        <v>156903</v>
      </c>
      <c r="C20" s="411">
        <v>162380</v>
      </c>
      <c r="D20" s="307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0">
        <v>16</v>
      </c>
      <c r="B21" s="411">
        <v>152612</v>
      </c>
      <c r="C21" s="411">
        <v>154600</v>
      </c>
      <c r="D21" s="307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0">
        <v>17</v>
      </c>
      <c r="B22" s="437">
        <v>156495</v>
      </c>
      <c r="C22" s="411">
        <v>159452</v>
      </c>
      <c r="D22" s="307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0">
        <v>18</v>
      </c>
      <c r="B23" s="437">
        <v>150502</v>
      </c>
      <c r="C23" s="411">
        <v>148158</v>
      </c>
      <c r="D23" s="307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0">
        <v>19</v>
      </c>
      <c r="B24" s="437">
        <v>154145</v>
      </c>
      <c r="C24" s="437">
        <v>156105</v>
      </c>
      <c r="D24" s="484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0">
        <v>20</v>
      </c>
      <c r="B25" s="437">
        <v>155501</v>
      </c>
      <c r="C25" s="437">
        <v>153285</v>
      </c>
      <c r="D25" s="484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0">
        <v>21</v>
      </c>
      <c r="B26" s="437">
        <v>157693</v>
      </c>
      <c r="C26" s="437">
        <v>160639</v>
      </c>
      <c r="D26" s="484">
        <f t="shared" si="0"/>
        <v>2946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0">
        <v>22</v>
      </c>
      <c r="B27" s="437">
        <v>154004</v>
      </c>
      <c r="C27" s="437">
        <v>152079</v>
      </c>
      <c r="D27" s="484">
        <f t="shared" si="0"/>
        <v>-1925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0">
        <v>23</v>
      </c>
      <c r="B28" s="437">
        <v>151528</v>
      </c>
      <c r="C28" s="437">
        <v>150251</v>
      </c>
      <c r="D28" s="484">
        <f t="shared" si="0"/>
        <v>-1277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0">
        <v>24</v>
      </c>
      <c r="B29" s="437">
        <v>161428</v>
      </c>
      <c r="C29" s="437">
        <v>160315</v>
      </c>
      <c r="D29" s="484">
        <f t="shared" si="0"/>
        <v>-1113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0">
        <v>25</v>
      </c>
      <c r="B30" s="437">
        <v>157617</v>
      </c>
      <c r="C30" s="437">
        <v>153986</v>
      </c>
      <c r="D30" s="484">
        <f t="shared" si="0"/>
        <v>-3631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0">
        <v>26</v>
      </c>
      <c r="B31" s="411">
        <v>152621</v>
      </c>
      <c r="C31" s="411">
        <v>150470</v>
      </c>
      <c r="D31" s="307">
        <f t="shared" si="0"/>
        <v>-2151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0">
        <v>27</v>
      </c>
      <c r="B32" s="411">
        <v>150227</v>
      </c>
      <c r="C32" s="411">
        <v>148271</v>
      </c>
      <c r="D32" s="307">
        <f t="shared" si="0"/>
        <v>-1956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0"/>
      <c r="B37" s="411">
        <f>SUM(B6:B36)</f>
        <v>4125257</v>
      </c>
      <c r="C37" s="411">
        <f>SUM(C6:C36)</f>
        <v>4155300</v>
      </c>
      <c r="D37" s="411">
        <f>SUM(D6:D36)</f>
        <v>30043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35"/>
      <c r="D39" s="491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37283</v>
      </c>
      <c r="B40" s="285"/>
      <c r="C40" s="436"/>
      <c r="D40" s="307">
        <f>+D39+D37</f>
        <v>-167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2">
        <v>272582</v>
      </c>
      <c r="H45">
        <v>12</v>
      </c>
    </row>
    <row r="46" spans="1:16" x14ac:dyDescent="0.2">
      <c r="A46" s="49">
        <f>+A40</f>
        <v>37283</v>
      </c>
      <c r="B46" s="32"/>
      <c r="C46" s="32"/>
      <c r="D46" s="375">
        <f>+D37*'by type_area'!G3</f>
        <v>62489.440000000002</v>
      </c>
      <c r="H46">
        <v>500</v>
      </c>
    </row>
    <row r="47" spans="1:16" x14ac:dyDescent="0.2">
      <c r="A47" s="32"/>
      <c r="B47" s="32"/>
      <c r="C47" s="32"/>
      <c r="D47" s="200">
        <f>+D46+D45</f>
        <v>335071.44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2" workbookViewId="0">
      <selection activeCell="B29" sqref="B2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-23247</v>
      </c>
      <c r="C25" s="24">
        <v>-21383</v>
      </c>
      <c r="D25" s="24">
        <f t="shared" si="0"/>
        <v>1864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>
        <v>-1383</v>
      </c>
      <c r="D26" s="24">
        <f t="shared" si="0"/>
        <v>-1383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>
        <v>-27217</v>
      </c>
      <c r="D27" s="24">
        <f t="shared" si="0"/>
        <v>-27217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-2943</v>
      </c>
      <c r="C28" s="24">
        <v>-2500</v>
      </c>
      <c r="D28" s="24">
        <f t="shared" si="0"/>
        <v>443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-20216</v>
      </c>
      <c r="C29" s="24">
        <v>-20230</v>
      </c>
      <c r="D29" s="24">
        <f t="shared" si="0"/>
        <v>-14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-915047</v>
      </c>
      <c r="C36" s="24">
        <f>SUM(C5:C35)</f>
        <v>-929592</v>
      </c>
      <c r="D36" s="24">
        <f t="shared" si="0"/>
        <v>-14545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2.11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-30689.949999999997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37256</v>
      </c>
      <c r="B39"/>
      <c r="C39" s="15"/>
      <c r="D39" s="529">
        <v>-33241.410000000003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37282</v>
      </c>
      <c r="B40"/>
      <c r="C40" s="48"/>
      <c r="D40" s="138">
        <f>+D39+D38</f>
        <v>-63931.360000000001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37256</v>
      </c>
      <c r="B45" s="32"/>
      <c r="C45" s="32"/>
      <c r="D45" s="524">
        <v>-18079</v>
      </c>
    </row>
    <row r="46" spans="1:65" x14ac:dyDescent="0.2">
      <c r="A46" s="49">
        <f>+A40</f>
        <v>37282</v>
      </c>
      <c r="B46" s="32"/>
      <c r="C46" s="32"/>
      <c r="D46" s="350">
        <f>+D36</f>
        <v>-14545</v>
      </c>
    </row>
    <row r="47" spans="1:65" x14ac:dyDescent="0.2">
      <c r="A47" s="32"/>
      <c r="B47" s="32"/>
      <c r="C47" s="32"/>
      <c r="D47" s="14">
        <f>+D46+D45</f>
        <v>-32624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2" workbookViewId="0">
      <selection activeCell="C8" sqref="C8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833804</v>
      </c>
      <c r="C5" s="90">
        <v>824102</v>
      </c>
      <c r="D5" s="90">
        <f>+C5-B5</f>
        <v>-9702</v>
      </c>
      <c r="E5" s="275"/>
      <c r="F5" s="273"/>
    </row>
    <row r="6" spans="1:13" x14ac:dyDescent="0.2">
      <c r="A6" s="87">
        <v>78311</v>
      </c>
      <c r="B6" s="90">
        <v>317848</v>
      </c>
      <c r="C6" s="90">
        <v>301052</v>
      </c>
      <c r="D6" s="90">
        <f t="shared" ref="D6:D17" si="0">+C6-B6</f>
        <v>-16796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695191</v>
      </c>
      <c r="C7" s="90">
        <v>758677</v>
      </c>
      <c r="D7" s="90">
        <f t="shared" si="0"/>
        <v>63486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f>738933+24604</f>
        <v>763537</v>
      </c>
      <c r="C8" s="90">
        <v>706099</v>
      </c>
      <c r="D8" s="90">
        <f t="shared" si="0"/>
        <v>-57438</v>
      </c>
      <c r="E8" s="456"/>
      <c r="F8" s="273"/>
    </row>
    <row r="9" spans="1:13" x14ac:dyDescent="0.2">
      <c r="A9" s="87">
        <v>500293</v>
      </c>
      <c r="B9" s="90">
        <v>468794</v>
      </c>
      <c r="C9" s="90">
        <v>519991</v>
      </c>
      <c r="D9" s="90">
        <f t="shared" si="0"/>
        <v>51197</v>
      </c>
      <c r="E9" s="275"/>
      <c r="F9" s="273"/>
    </row>
    <row r="10" spans="1:13" x14ac:dyDescent="0.2">
      <c r="A10" s="87">
        <v>500302</v>
      </c>
      <c r="B10" s="90"/>
      <c r="C10" s="90">
        <v>7860</v>
      </c>
      <c r="D10" s="90">
        <f t="shared" si="0"/>
        <v>7860</v>
      </c>
      <c r="E10" s="275"/>
      <c r="F10" s="273"/>
    </row>
    <row r="11" spans="1:13" x14ac:dyDescent="0.2">
      <c r="A11" s="87">
        <v>500303</v>
      </c>
      <c r="B11" s="90"/>
      <c r="C11" s="90">
        <v>266334</v>
      </c>
      <c r="D11" s="90">
        <f t="shared" si="0"/>
        <v>266334</v>
      </c>
      <c r="E11" s="275"/>
      <c r="F11" s="273"/>
    </row>
    <row r="12" spans="1:13" x14ac:dyDescent="0.2">
      <c r="A12" s="91">
        <v>500305</v>
      </c>
      <c r="B12" s="90">
        <v>1339912</v>
      </c>
      <c r="C12" s="90">
        <v>1259489</v>
      </c>
      <c r="D12" s="90">
        <f t="shared" si="0"/>
        <v>-80423</v>
      </c>
      <c r="E12" s="276"/>
      <c r="F12" s="467"/>
      <c r="G12" s="90"/>
    </row>
    <row r="13" spans="1:13" x14ac:dyDescent="0.2">
      <c r="A13" s="87">
        <v>500307</v>
      </c>
      <c r="B13" s="90">
        <v>76180</v>
      </c>
      <c r="C13" s="90">
        <v>34048</v>
      </c>
      <c r="D13" s="90">
        <f t="shared" si="0"/>
        <v>-42132</v>
      </c>
      <c r="E13" s="275"/>
      <c r="F13" s="273"/>
    </row>
    <row r="14" spans="1:13" x14ac:dyDescent="0.2">
      <c r="A14" s="87">
        <v>500313</v>
      </c>
      <c r="B14" s="90"/>
      <c r="C14" s="90">
        <v>1616</v>
      </c>
      <c r="D14" s="90">
        <f t="shared" si="0"/>
        <v>1616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191466</v>
      </c>
      <c r="C16" s="90"/>
      <c r="D16" s="90">
        <f t="shared" si="0"/>
        <v>-191466</v>
      </c>
      <c r="E16" s="275"/>
      <c r="F16" s="273"/>
    </row>
    <row r="17" spans="1:7" x14ac:dyDescent="0.2">
      <c r="A17" s="87">
        <v>500657</v>
      </c>
      <c r="B17" s="88">
        <v>142219</v>
      </c>
      <c r="C17" s="88">
        <v>179988</v>
      </c>
      <c r="D17" s="94">
        <f t="shared" si="0"/>
        <v>37769</v>
      </c>
      <c r="E17" s="275"/>
      <c r="F17" s="273"/>
      <c r="G17" s="596"/>
    </row>
    <row r="18" spans="1:7" x14ac:dyDescent="0.2">
      <c r="A18" s="87"/>
      <c r="B18" s="88"/>
      <c r="C18" s="88"/>
      <c r="D18" s="88">
        <f>SUM(D5:D17)</f>
        <v>30305</v>
      </c>
      <c r="E18" s="275"/>
      <c r="F18" s="273"/>
    </row>
    <row r="19" spans="1:7" x14ac:dyDescent="0.2">
      <c r="A19" s="87" t="s">
        <v>81</v>
      </c>
      <c r="B19" s="88"/>
      <c r="C19" s="88"/>
      <c r="D19" s="95">
        <f>+summary!G5</f>
        <v>2.11</v>
      </c>
      <c r="E19" s="277"/>
      <c r="F19" s="273"/>
    </row>
    <row r="20" spans="1:7" x14ac:dyDescent="0.2">
      <c r="A20" s="87"/>
      <c r="B20" s="88"/>
      <c r="C20" s="88"/>
      <c r="D20" s="96">
        <f>+D19*D18</f>
        <v>63943.549999999996</v>
      </c>
      <c r="E20" s="207"/>
      <c r="F20" s="274"/>
    </row>
    <row r="21" spans="1:7" x14ac:dyDescent="0.2">
      <c r="A21" s="87"/>
      <c r="B21" s="88"/>
      <c r="C21" s="88"/>
      <c r="D21" s="96"/>
      <c r="E21" s="207"/>
      <c r="F21" s="74"/>
    </row>
    <row r="22" spans="1:7" x14ac:dyDescent="0.2">
      <c r="A22" s="99">
        <v>37256</v>
      </c>
      <c r="B22" s="88"/>
      <c r="C22" s="88"/>
      <c r="D22" s="530">
        <v>40609.26</v>
      </c>
      <c r="E22" s="207"/>
      <c r="F22" s="66"/>
    </row>
    <row r="23" spans="1:7" x14ac:dyDescent="0.2">
      <c r="A23" s="87"/>
      <c r="B23" s="88"/>
      <c r="C23" s="88"/>
      <c r="D23" s="308"/>
      <c r="E23" s="207"/>
      <c r="F23" s="66"/>
    </row>
    <row r="24" spans="1:7" ht="13.5" thickBot="1" x14ac:dyDescent="0.25">
      <c r="A24" s="99">
        <v>37282</v>
      </c>
      <c r="B24" s="88"/>
      <c r="C24" s="88"/>
      <c r="D24" s="318">
        <f>+D22+D20</f>
        <v>104552.81</v>
      </c>
      <c r="E24" s="207"/>
      <c r="F24" s="66"/>
    </row>
    <row r="25" spans="1:7" ht="13.5" thickTop="1" x14ac:dyDescent="0.2">
      <c r="E25" s="278"/>
    </row>
    <row r="28" spans="1:7" x14ac:dyDescent="0.2">
      <c r="A28" s="32" t="s">
        <v>149</v>
      </c>
      <c r="B28" s="32"/>
      <c r="C28" s="32"/>
      <c r="D28" s="32"/>
      <c r="E28" s="345"/>
    </row>
    <row r="29" spans="1:7" x14ac:dyDescent="0.2">
      <c r="A29" s="49">
        <f>+A22</f>
        <v>37256</v>
      </c>
      <c r="B29" s="32"/>
      <c r="C29" s="32"/>
      <c r="D29" s="524">
        <v>31706</v>
      </c>
    </row>
    <row r="30" spans="1:7" x14ac:dyDescent="0.2">
      <c r="A30" s="49">
        <f>+A24</f>
        <v>37282</v>
      </c>
      <c r="B30" s="32"/>
      <c r="C30" s="32"/>
      <c r="D30" s="350">
        <f>+D18</f>
        <v>30305</v>
      </c>
    </row>
    <row r="31" spans="1:7" x14ac:dyDescent="0.2">
      <c r="A31" s="32"/>
      <c r="B31" s="32"/>
      <c r="C31" s="32"/>
      <c r="D31" s="14">
        <f>+D30+D29</f>
        <v>62011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3" workbookViewId="0">
      <selection activeCell="E31" sqref="E31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>
        <v>28062</v>
      </c>
      <c r="C24" s="11">
        <v>31567</v>
      </c>
      <c r="D24" s="11">
        <v>34728</v>
      </c>
      <c r="E24" s="11">
        <v>31000</v>
      </c>
      <c r="F24" s="25">
        <f t="shared" si="2"/>
        <v>-223</v>
      </c>
      <c r="G24" s="25"/>
    </row>
    <row r="25" spans="1:7" x14ac:dyDescent="0.2">
      <c r="A25" s="41">
        <v>22</v>
      </c>
      <c r="B25" s="11">
        <v>29987</v>
      </c>
      <c r="C25" s="11">
        <v>31567</v>
      </c>
      <c r="D25" s="11">
        <v>32775</v>
      </c>
      <c r="E25" s="11">
        <v>34500</v>
      </c>
      <c r="F25" s="25">
        <f t="shared" si="2"/>
        <v>3305</v>
      </c>
      <c r="G25" s="25"/>
    </row>
    <row r="26" spans="1:7" x14ac:dyDescent="0.2">
      <c r="A26" s="41">
        <v>23</v>
      </c>
      <c r="B26" s="11">
        <v>30162</v>
      </c>
      <c r="C26" s="11">
        <v>31567</v>
      </c>
      <c r="D26" s="129">
        <v>33695</v>
      </c>
      <c r="E26" s="11">
        <v>34000</v>
      </c>
      <c r="F26" s="25">
        <f t="shared" si="2"/>
        <v>1710</v>
      </c>
    </row>
    <row r="27" spans="1:7" x14ac:dyDescent="0.2">
      <c r="A27" s="41">
        <v>24</v>
      </c>
      <c r="B27" s="11">
        <v>32045</v>
      </c>
      <c r="C27" s="11">
        <v>34868</v>
      </c>
      <c r="D27" s="11">
        <v>34725</v>
      </c>
      <c r="E27" s="11">
        <v>34499</v>
      </c>
      <c r="F27" s="25">
        <f t="shared" si="2"/>
        <v>2597</v>
      </c>
    </row>
    <row r="28" spans="1:7" x14ac:dyDescent="0.2">
      <c r="A28" s="41">
        <v>25</v>
      </c>
      <c r="B28" s="11">
        <v>34010</v>
      </c>
      <c r="C28" s="11">
        <v>35067</v>
      </c>
      <c r="D28" s="11">
        <v>31370</v>
      </c>
      <c r="E28" s="11">
        <v>34500</v>
      </c>
      <c r="F28" s="25">
        <f t="shared" si="2"/>
        <v>4187</v>
      </c>
    </row>
    <row r="29" spans="1:7" x14ac:dyDescent="0.2">
      <c r="A29" s="41">
        <v>26</v>
      </c>
      <c r="B29" s="11">
        <v>45900</v>
      </c>
      <c r="C29" s="11">
        <v>38567</v>
      </c>
      <c r="D29" s="11">
        <v>34439</v>
      </c>
      <c r="E29" s="11">
        <v>33000</v>
      </c>
      <c r="F29" s="25">
        <f t="shared" si="2"/>
        <v>-8772</v>
      </c>
    </row>
    <row r="30" spans="1:7" x14ac:dyDescent="0.2">
      <c r="A30" s="41">
        <v>27</v>
      </c>
      <c r="B30" s="11">
        <v>43034</v>
      </c>
      <c r="C30" s="11">
        <v>38567</v>
      </c>
      <c r="D30" s="11">
        <v>30023</v>
      </c>
      <c r="E30" s="11">
        <v>33000</v>
      </c>
      <c r="F30" s="25">
        <f t="shared" si="2"/>
        <v>-1490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882721</v>
      </c>
      <c r="C35" s="11">
        <f>SUM(C4:C34)</f>
        <v>891964</v>
      </c>
      <c r="D35" s="11">
        <f>SUM(D4:D34)</f>
        <v>880116</v>
      </c>
      <c r="E35" s="11">
        <f>SUM(E4:E34)</f>
        <v>867121</v>
      </c>
      <c r="F35" s="11">
        <f>+E35-D35+C35-B35</f>
        <v>-3752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2.1</v>
      </c>
    </row>
    <row r="38" spans="1:7" x14ac:dyDescent="0.2">
      <c r="C38" s="48"/>
      <c r="D38" s="47"/>
      <c r="E38" s="48"/>
      <c r="F38" s="46">
        <f>+F37*F35</f>
        <v>-7879.2000000000007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2"/>
      <c r="D40" s="111"/>
      <c r="E40" s="462"/>
      <c r="F40" s="535">
        <v>460426.69</v>
      </c>
      <c r="G40" s="25"/>
    </row>
    <row r="41" spans="1:7" x14ac:dyDescent="0.2">
      <c r="A41" s="57">
        <v>37283</v>
      </c>
      <c r="C41" s="106"/>
      <c r="D41" s="106"/>
      <c r="E41" s="106"/>
      <c r="F41" s="106">
        <f>+F38+F40</f>
        <v>452547.49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36">
        <v>17967</v>
      </c>
      <c r="E46" s="11"/>
      <c r="F46" s="11"/>
      <c r="G46" s="25"/>
    </row>
    <row r="47" spans="1:7" x14ac:dyDescent="0.2">
      <c r="A47" s="49">
        <f>+A41</f>
        <v>37283</v>
      </c>
      <c r="D47" s="350">
        <f>+F35</f>
        <v>-3752</v>
      </c>
      <c r="E47" s="11"/>
      <c r="F47" s="11"/>
      <c r="G47" s="25"/>
    </row>
    <row r="48" spans="1:7" x14ac:dyDescent="0.2">
      <c r="D48" s="14">
        <f>+D47+D46</f>
        <v>14215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1" workbookViewId="0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160585</v>
      </c>
      <c r="C25" s="11">
        <v>164122</v>
      </c>
      <c r="D25" s="11"/>
      <c r="E25" s="11">
        <v>-1400</v>
      </c>
      <c r="F25" s="11">
        <f t="shared" si="2"/>
        <v>2137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166759</v>
      </c>
      <c r="C26" s="11">
        <v>171220</v>
      </c>
      <c r="D26" s="11"/>
      <c r="E26" s="11"/>
      <c r="F26" s="11">
        <f t="shared" si="2"/>
        <v>4461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163102</v>
      </c>
      <c r="C27" s="11">
        <v>162357</v>
      </c>
      <c r="D27" s="11"/>
      <c r="E27" s="11">
        <v>-304</v>
      </c>
      <c r="F27" s="11">
        <f t="shared" si="2"/>
        <v>-1049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176010</v>
      </c>
      <c r="C28" s="11">
        <v>177439</v>
      </c>
      <c r="D28" s="11"/>
      <c r="E28" s="11">
        <v>-2494</v>
      </c>
      <c r="F28" s="11">
        <f t="shared" si="2"/>
        <v>-1065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172715</v>
      </c>
      <c r="C29" s="11">
        <v>174734</v>
      </c>
      <c r="D29" s="11"/>
      <c r="E29" s="11"/>
      <c r="F29" s="11">
        <f t="shared" si="2"/>
        <v>2019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170203</v>
      </c>
      <c r="C30" s="11">
        <v>173795</v>
      </c>
      <c r="D30" s="11"/>
      <c r="E30" s="11">
        <v>-42</v>
      </c>
      <c r="F30" s="11">
        <f t="shared" si="2"/>
        <v>3550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4518019</v>
      </c>
      <c r="C36" s="11">
        <f>SUM(C5:C35)</f>
        <v>4543189</v>
      </c>
      <c r="D36" s="11">
        <f>SUM(D5:D35)</f>
        <v>0</v>
      </c>
      <c r="E36" s="11">
        <f>SUM(E5:E35)</f>
        <v>-20218</v>
      </c>
      <c r="F36" s="11">
        <f>SUM(F5:F35)</f>
        <v>4952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05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37282</v>
      </c>
      <c r="F41" s="333">
        <f>+F39+F36</f>
        <v>-17437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8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37282</v>
      </c>
      <c r="C48" s="32"/>
      <c r="D48" s="32"/>
      <c r="E48" s="375">
        <f>+F36*'by type_area'!G3</f>
        <v>10300.16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-497307.84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5" workbookViewId="0">
      <selection activeCell="I36" sqref="I36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101418</v>
      </c>
      <c r="C11" s="11">
        <v>100788</v>
      </c>
      <c r="D11" s="11">
        <f t="shared" si="0"/>
        <v>-630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">
      <c r="A20" s="10">
        <v>13</v>
      </c>
      <c r="B20" s="11">
        <v>93019</v>
      </c>
      <c r="C20" s="11">
        <v>92822</v>
      </c>
      <c r="D20" s="11">
        <f t="shared" si="0"/>
        <v>-197</v>
      </c>
      <c r="E20" s="10"/>
      <c r="F20" s="11"/>
      <c r="G20" s="11"/>
      <c r="H20" s="11"/>
    </row>
    <row r="21" spans="1:8" x14ac:dyDescent="0.2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">
      <c r="A27" s="10">
        <v>20</v>
      </c>
      <c r="B27" s="11">
        <v>85022</v>
      </c>
      <c r="C27" s="11">
        <v>82822</v>
      </c>
      <c r="D27" s="11">
        <f t="shared" si="0"/>
        <v>-2200</v>
      </c>
      <c r="E27" s="10"/>
      <c r="F27" s="11"/>
      <c r="G27" s="11"/>
      <c r="H27" s="11"/>
    </row>
    <row r="28" spans="1:8" x14ac:dyDescent="0.2">
      <c r="A28" s="10">
        <v>21</v>
      </c>
      <c r="B28" s="11">
        <v>82993</v>
      </c>
      <c r="C28" s="11">
        <v>82822</v>
      </c>
      <c r="D28" s="11">
        <f t="shared" si="0"/>
        <v>-171</v>
      </c>
      <c r="E28" s="10"/>
      <c r="F28" s="11"/>
      <c r="G28" s="11"/>
      <c r="H28" s="11"/>
    </row>
    <row r="29" spans="1:8" x14ac:dyDescent="0.2">
      <c r="A29" s="10">
        <v>22</v>
      </c>
      <c r="B29" s="11">
        <v>82989</v>
      </c>
      <c r="C29" s="11">
        <v>82822</v>
      </c>
      <c r="D29" s="11">
        <f t="shared" si="0"/>
        <v>-167</v>
      </c>
      <c r="E29" s="10"/>
      <c r="F29" s="11"/>
      <c r="G29" s="11"/>
      <c r="H29" s="11"/>
    </row>
    <row r="30" spans="1:8" x14ac:dyDescent="0.2">
      <c r="A30" s="10">
        <v>23</v>
      </c>
      <c r="B30" s="11">
        <v>87826</v>
      </c>
      <c r="C30" s="11">
        <v>87822</v>
      </c>
      <c r="D30" s="11">
        <f t="shared" si="0"/>
        <v>-4</v>
      </c>
      <c r="E30" s="10"/>
      <c r="F30" s="11"/>
      <c r="G30" s="11"/>
      <c r="H30" s="11"/>
    </row>
    <row r="31" spans="1:8" x14ac:dyDescent="0.2">
      <c r="A31" s="10">
        <v>24</v>
      </c>
      <c r="B31" s="11">
        <v>91683</v>
      </c>
      <c r="C31" s="11">
        <v>98507</v>
      </c>
      <c r="D31" s="11">
        <f t="shared" si="0"/>
        <v>6824</v>
      </c>
      <c r="E31" s="10"/>
      <c r="F31" s="11"/>
      <c r="G31" s="11"/>
      <c r="H31" s="11"/>
    </row>
    <row r="32" spans="1:8" x14ac:dyDescent="0.2">
      <c r="A32" s="10">
        <v>25</v>
      </c>
      <c r="B32" s="11">
        <v>88263</v>
      </c>
      <c r="C32" s="11">
        <v>87822</v>
      </c>
      <c r="D32" s="11">
        <f t="shared" si="0"/>
        <v>-441</v>
      </c>
      <c r="E32" s="10"/>
      <c r="F32" s="11"/>
      <c r="G32" s="11"/>
      <c r="H32" s="11"/>
    </row>
    <row r="33" spans="1:8" x14ac:dyDescent="0.2">
      <c r="A33" s="10">
        <v>26</v>
      </c>
      <c r="B33" s="11">
        <v>85898</v>
      </c>
      <c r="C33" s="11">
        <v>87822</v>
      </c>
      <c r="D33" s="11">
        <f t="shared" si="0"/>
        <v>1924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2429121</v>
      </c>
      <c r="C39" s="11">
        <f>SUM(C8:C38)</f>
        <v>2437739</v>
      </c>
      <c r="D39" s="11">
        <f>SUM(D8:D38)</f>
        <v>8618</v>
      </c>
      <c r="E39" s="10"/>
      <c r="F39" s="11"/>
      <c r="G39" s="11"/>
      <c r="H39" s="11"/>
    </row>
    <row r="40" spans="1:8" x14ac:dyDescent="0.2">
      <c r="A40" s="26"/>
      <c r="D40" s="75">
        <f>+summary!G4</f>
        <v>2.1</v>
      </c>
      <c r="E40" s="26"/>
      <c r="H40" s="75"/>
    </row>
    <row r="41" spans="1:8" x14ac:dyDescent="0.2">
      <c r="D41" s="195">
        <f>+D40*D39</f>
        <v>18097.8</v>
      </c>
      <c r="F41" s="247"/>
      <c r="H41" s="195"/>
    </row>
    <row r="42" spans="1:8" x14ac:dyDescent="0.2">
      <c r="A42" s="57">
        <v>37256</v>
      </c>
      <c r="D42" s="553">
        <v>12821</v>
      </c>
      <c r="E42" s="57"/>
      <c r="H42" s="195"/>
    </row>
    <row r="43" spans="1:8" x14ac:dyDescent="0.2">
      <c r="A43" s="57">
        <v>37282</v>
      </c>
      <c r="D43" s="196">
        <f>+D42+D41</f>
        <v>30918.799999999999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24">
        <v>-49782</v>
      </c>
    </row>
    <row r="49" spans="1:4" x14ac:dyDescent="0.2">
      <c r="A49" s="49">
        <f>+A43</f>
        <v>37282</v>
      </c>
      <c r="B49" s="32"/>
      <c r="C49" s="32"/>
      <c r="D49" s="350">
        <f>+D39</f>
        <v>8618</v>
      </c>
    </row>
    <row r="50" spans="1:4" x14ac:dyDescent="0.2">
      <c r="A50" s="32"/>
      <c r="B50" s="32"/>
      <c r="C50" s="32"/>
      <c r="D50" s="14">
        <f>+D49+D48</f>
        <v>-41164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35" workbookViewId="0">
      <selection activeCell="B45" sqref="B45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46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251</v>
      </c>
      <c r="J6" s="15"/>
    </row>
    <row r="7" spans="1:14" x14ac:dyDescent="0.2">
      <c r="A7" s="57">
        <v>37283</v>
      </c>
      <c r="I7" s="3" t="s">
        <v>258</v>
      </c>
      <c r="J7" s="15"/>
    </row>
    <row r="8" spans="1:14" x14ac:dyDescent="0.2">
      <c r="A8" s="248">
        <v>50895</v>
      </c>
      <c r="B8" s="340">
        <f>6210-5507-261</f>
        <v>442</v>
      </c>
      <c r="J8" s="15"/>
    </row>
    <row r="9" spans="1:14" x14ac:dyDescent="0.2">
      <c r="A9" s="248">
        <v>60874</v>
      </c>
      <c r="B9" s="340">
        <f>3038+101</f>
        <v>3139</v>
      </c>
      <c r="J9" s="15"/>
    </row>
    <row r="10" spans="1:14" x14ac:dyDescent="0.2">
      <c r="A10" s="248">
        <v>78169</v>
      </c>
      <c r="B10" s="340">
        <f>413760-367651-13525-18584-14561</f>
        <v>-561</v>
      </c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3">
        <f>+C40</f>
        <v>842376.79</v>
      </c>
      <c r="K11" s="87" t="s">
        <v>254</v>
      </c>
      <c r="L11" s="87"/>
      <c r="M11" s="87"/>
      <c r="N11" s="87"/>
    </row>
    <row r="12" spans="1:14" ht="20.100000000000001" customHeight="1" x14ac:dyDescent="0.2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10800-12669-585</f>
        <v>-2454</v>
      </c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4860-3184</f>
        <v>1676</v>
      </c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10800-3526-601</f>
        <v>6673</v>
      </c>
      <c r="I15" s="87"/>
      <c r="J15" s="446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-128</v>
      </c>
      <c r="I16" s="87"/>
      <c r="J16" s="446"/>
      <c r="K16" s="87"/>
      <c r="L16" s="87"/>
      <c r="M16" s="87"/>
      <c r="N16" s="87"/>
    </row>
    <row r="17" spans="1:14" x14ac:dyDescent="0.2">
      <c r="A17" s="280">
        <v>500267</v>
      </c>
      <c r="B17" s="341">
        <f>1524217-1484235-57314</f>
        <v>-17332</v>
      </c>
      <c r="I17" s="87"/>
      <c r="J17" s="446"/>
      <c r="K17" s="87"/>
      <c r="L17" s="87"/>
      <c r="M17" s="87"/>
      <c r="N17" s="87"/>
    </row>
    <row r="18" spans="1:14" x14ac:dyDescent="0.2">
      <c r="B18" s="14">
        <f>SUM(B8:B17)</f>
        <v>-8545</v>
      </c>
      <c r="I18" s="87"/>
      <c r="J18" s="446"/>
      <c r="K18" s="87"/>
      <c r="L18" s="87"/>
      <c r="M18" s="87"/>
      <c r="N18" s="87"/>
    </row>
    <row r="19" spans="1:14" x14ac:dyDescent="0.2">
      <c r="B19" s="15">
        <f>+summary!G5</f>
        <v>2.11</v>
      </c>
      <c r="C19" s="199">
        <f>+B19*B18</f>
        <v>-18029.95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">
      <c r="C20" s="321">
        <f>+C19+C5</f>
        <v>1513239.61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">
      <c r="G24" s="32"/>
      <c r="H24" s="380"/>
      <c r="I24" s="327"/>
      <c r="J24" s="446"/>
      <c r="K24" s="87"/>
      <c r="L24" s="87"/>
      <c r="M24" s="87"/>
      <c r="N24" s="87"/>
    </row>
    <row r="25" spans="1:14" x14ac:dyDescent="0.2">
      <c r="G25" s="32"/>
      <c r="H25" s="380"/>
      <c r="I25" s="327"/>
      <c r="J25" s="446"/>
      <c r="K25" s="87"/>
      <c r="L25" s="87"/>
      <c r="M25" s="87"/>
      <c r="N25" s="87"/>
    </row>
    <row r="26" spans="1:14" x14ac:dyDescent="0.2">
      <c r="A26" s="198">
        <v>37256</v>
      </c>
      <c r="C26" s="546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">
      <c r="A28" s="57">
        <v>37276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">
      <c r="B32" s="15">
        <f>+summary!G4</f>
        <v>2.1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">
      <c r="A38" s="32" t="s">
        <v>74</v>
      </c>
      <c r="E38" s="49">
        <f>+A5</f>
        <v>37256</v>
      </c>
      <c r="F38" s="524">
        <v>378562</v>
      </c>
      <c r="G38" s="538">
        <v>117857</v>
      </c>
      <c r="H38" s="524">
        <v>186976</v>
      </c>
      <c r="I38" s="14"/>
    </row>
    <row r="39" spans="1:9" x14ac:dyDescent="0.2">
      <c r="E39" s="49">
        <f>+A7</f>
        <v>37283</v>
      </c>
      <c r="F39" s="350">
        <f>+B18</f>
        <v>-8545</v>
      </c>
      <c r="G39" s="350">
        <f>+B31</f>
        <v>0</v>
      </c>
      <c r="H39" s="350">
        <f>+B46</f>
        <v>5498</v>
      </c>
      <c r="I39" s="14"/>
    </row>
    <row r="40" spans="1:9" x14ac:dyDescent="0.2">
      <c r="A40" s="49">
        <v>37256</v>
      </c>
      <c r="C40" s="546">
        <v>842376.79</v>
      </c>
      <c r="F40" s="14">
        <f>+F39+F38</f>
        <v>370017</v>
      </c>
      <c r="G40" s="14">
        <f>+G39+G38</f>
        <v>117857</v>
      </c>
      <c r="H40" s="14">
        <f>+H39+H38</f>
        <v>192474</v>
      </c>
      <c r="I40" s="14">
        <f>+H40+G40+F40</f>
        <v>680348</v>
      </c>
    </row>
    <row r="41" spans="1:9" x14ac:dyDescent="0.2">
      <c r="G41" s="32"/>
      <c r="H41" s="15"/>
      <c r="I41" s="32"/>
    </row>
    <row r="42" spans="1:9" x14ac:dyDescent="0.2">
      <c r="A42" s="245">
        <v>37283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f>2865+92</f>
        <v>2957</v>
      </c>
      <c r="G44" s="32"/>
      <c r="H44" s="381"/>
      <c r="I44" s="14"/>
    </row>
    <row r="45" spans="1:9" x14ac:dyDescent="0.2">
      <c r="A45" s="32">
        <v>500392</v>
      </c>
      <c r="B45" s="250">
        <f>2447+94</f>
        <v>2541</v>
      </c>
      <c r="G45" s="32"/>
      <c r="H45" s="381"/>
      <c r="I45" s="14"/>
    </row>
    <row r="46" spans="1:9" x14ac:dyDescent="0.2">
      <c r="B46" s="14">
        <f>SUM(B43:B45)</f>
        <v>5498</v>
      </c>
      <c r="G46" s="32"/>
      <c r="H46" s="381"/>
      <c r="I46" s="14"/>
    </row>
    <row r="47" spans="1:9" x14ac:dyDescent="0.2">
      <c r="B47" s="199">
        <f>+summary!G5</f>
        <v>2.11</v>
      </c>
      <c r="C47" s="199">
        <f>+B47*B46</f>
        <v>11600.779999999999</v>
      </c>
      <c r="H47" s="381"/>
      <c r="I47" s="14"/>
    </row>
    <row r="48" spans="1:9" x14ac:dyDescent="0.2">
      <c r="C48" s="321">
        <f>+C47+C40</f>
        <v>853977.57000000007</v>
      </c>
      <c r="E48" s="204"/>
      <c r="H48" s="381"/>
      <c r="I48" s="14"/>
    </row>
    <row r="49" spans="1:9" x14ac:dyDescent="0.2">
      <c r="E49" s="213"/>
      <c r="H49" s="381"/>
      <c r="I49" s="14"/>
    </row>
    <row r="50" spans="1:9" x14ac:dyDescent="0.2">
      <c r="E50" s="204"/>
      <c r="H50" s="381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47">
        <v>73445.08</v>
      </c>
      <c r="D53" s="32" t="s">
        <v>119</v>
      </c>
      <c r="E53" s="50"/>
      <c r="H53" s="381">
        <v>21665</v>
      </c>
      <c r="I53" s="538">
        <v>36401</v>
      </c>
    </row>
    <row r="54" spans="1:9" x14ac:dyDescent="0.2">
      <c r="A54" s="32">
        <v>22664</v>
      </c>
      <c r="B54" s="15" t="s">
        <v>137</v>
      </c>
      <c r="C54" s="548">
        <v>23612.35</v>
      </c>
      <c r="D54" s="32" t="s">
        <v>120</v>
      </c>
      <c r="H54" s="381">
        <v>22664</v>
      </c>
      <c r="I54" s="549">
        <v>18932</v>
      </c>
    </row>
    <row r="55" spans="1:9" x14ac:dyDescent="0.2">
      <c r="H55" s="382"/>
      <c r="I55" s="16"/>
    </row>
    <row r="56" spans="1:9" x14ac:dyDescent="0.2">
      <c r="C56" s="421"/>
    </row>
    <row r="57" spans="1:9" x14ac:dyDescent="0.2">
      <c r="C57" s="315">
        <f>+C54+C53+C48+C33+C20</f>
        <v>2739588.33</v>
      </c>
      <c r="I57" s="14">
        <f>SUM(I40:I54)</f>
        <v>735681</v>
      </c>
    </row>
    <row r="61" spans="1:9" x14ac:dyDescent="0.2">
      <c r="C61" s="15">
        <f>+DEFS!F49</f>
        <v>-2806071.0700000003</v>
      </c>
    </row>
    <row r="62" spans="1:9" x14ac:dyDescent="0.2">
      <c r="C62" s="15">
        <f>+C61+C57</f>
        <v>-66482.740000000224</v>
      </c>
      <c r="I62" s="31">
        <f>+I57+DEFS!K49</f>
        <v>297191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1" workbookViewId="0">
      <selection activeCell="A41" sqref="A41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24674</v>
      </c>
      <c r="E24" s="11">
        <v>24000</v>
      </c>
      <c r="F24" s="11">
        <f t="shared" si="0"/>
        <v>-674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24691</v>
      </c>
      <c r="E25" s="11">
        <v>24000</v>
      </c>
      <c r="F25" s="11">
        <f t="shared" si="0"/>
        <v>-691</v>
      </c>
      <c r="I25" s="11"/>
      <c r="J25" s="24"/>
    </row>
    <row r="26" spans="1:10" x14ac:dyDescent="0.2">
      <c r="A26" s="10">
        <v>23</v>
      </c>
      <c r="B26" s="11"/>
      <c r="C26" s="11"/>
      <c r="D26" s="11">
        <v>24709</v>
      </c>
      <c r="E26" s="11">
        <v>24000</v>
      </c>
      <c r="F26" s="11">
        <f t="shared" si="0"/>
        <v>-709</v>
      </c>
      <c r="I26" s="11"/>
      <c r="J26" s="24"/>
    </row>
    <row r="27" spans="1:10" x14ac:dyDescent="0.2">
      <c r="A27" s="10">
        <v>24</v>
      </c>
      <c r="B27" s="11"/>
      <c r="C27" s="11"/>
      <c r="D27" s="11">
        <v>24684</v>
      </c>
      <c r="E27" s="11">
        <v>24000</v>
      </c>
      <c r="F27" s="11">
        <f t="shared" si="0"/>
        <v>-684</v>
      </c>
      <c r="I27" s="11"/>
      <c r="J27" s="24"/>
    </row>
    <row r="28" spans="1:10" x14ac:dyDescent="0.2">
      <c r="A28" s="10">
        <v>25</v>
      </c>
      <c r="B28" s="11"/>
      <c r="C28" s="11"/>
      <c r="D28" s="11">
        <v>24687</v>
      </c>
      <c r="E28" s="11">
        <v>24000</v>
      </c>
      <c r="F28" s="11">
        <f t="shared" si="0"/>
        <v>-687</v>
      </c>
      <c r="I28" s="11"/>
      <c r="J28" s="24"/>
    </row>
    <row r="29" spans="1:10" x14ac:dyDescent="0.2">
      <c r="A29" s="10">
        <v>26</v>
      </c>
      <c r="B29" s="11"/>
      <c r="C29" s="11"/>
      <c r="D29" s="11">
        <v>24672</v>
      </c>
      <c r="E29" s="11">
        <v>24000</v>
      </c>
      <c r="F29" s="11">
        <f t="shared" si="0"/>
        <v>-672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24">
        <v>-183022</v>
      </c>
      <c r="J34" s="524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638961</v>
      </c>
      <c r="E35" s="11">
        <f>SUM(E4:E34)</f>
        <v>623812</v>
      </c>
      <c r="F35" s="11">
        <f>SUM(F4:F34)</f>
        <v>-15149</v>
      </c>
      <c r="G35" s="11"/>
      <c r="H35" s="49">
        <f>+A40</f>
        <v>37283</v>
      </c>
      <c r="I35" s="350">
        <f>+C36</f>
        <v>0</v>
      </c>
      <c r="J35" s="350">
        <f>+E36</f>
        <v>-15149</v>
      </c>
      <c r="K35" s="206"/>
      <c r="L35" s="14"/>
    </row>
    <row r="36" spans="1:13" x14ac:dyDescent="0.2">
      <c r="C36" s="25">
        <f>+C35-B35</f>
        <v>0</v>
      </c>
      <c r="E36" s="25">
        <f>+E35-D35</f>
        <v>-15149</v>
      </c>
      <c r="F36" s="25">
        <f>+E36+C36</f>
        <v>-15149</v>
      </c>
      <c r="H36" s="32"/>
      <c r="I36" s="14">
        <f>+I35+I34</f>
        <v>-183022</v>
      </c>
      <c r="J36" s="14">
        <f>+J35+J34</f>
        <v>-143746</v>
      </c>
      <c r="K36" s="14">
        <f>+J36+I36</f>
        <v>-326768</v>
      </c>
      <c r="L36" s="14"/>
    </row>
    <row r="37" spans="1:13" x14ac:dyDescent="0.2">
      <c r="C37" s="313">
        <f>+summary!G5</f>
        <v>2.11</v>
      </c>
      <c r="E37" s="104">
        <f>+C37</f>
        <v>2.11</v>
      </c>
      <c r="F37" s="138">
        <f>+F36*E37</f>
        <v>-31964.39</v>
      </c>
    </row>
    <row r="38" spans="1:13" x14ac:dyDescent="0.2">
      <c r="C38" s="138">
        <f>+C37*C36</f>
        <v>0</v>
      </c>
      <c r="E38" s="136">
        <f>+E37*E36</f>
        <v>-31964.39</v>
      </c>
      <c r="F38" s="138">
        <f>+E38+C38</f>
        <v>-31964.39</v>
      </c>
    </row>
    <row r="39" spans="1:13" x14ac:dyDescent="0.2">
      <c r="A39" s="57">
        <v>37256</v>
      </c>
      <c r="B39" s="2" t="s">
        <v>45</v>
      </c>
      <c r="C39" s="545">
        <v>-1033420.01</v>
      </c>
      <c r="D39" s="320"/>
      <c r="E39" s="534">
        <v>-571850.34</v>
      </c>
      <c r="F39" s="319">
        <f>+E39+C39</f>
        <v>-1605270.35</v>
      </c>
    </row>
    <row r="40" spans="1:13" x14ac:dyDescent="0.2">
      <c r="A40" s="57">
        <v>37283</v>
      </c>
      <c r="B40" s="2" t="s">
        <v>45</v>
      </c>
      <c r="C40" s="314">
        <f>+C39+C38</f>
        <v>-1033420.01</v>
      </c>
      <c r="D40" s="252"/>
      <c r="E40" s="314">
        <f>+E39+E38</f>
        <v>-603814.73</v>
      </c>
      <c r="F40" s="314">
        <f>+E40+C40</f>
        <v>-1637234.74</v>
      </c>
      <c r="H40" s="131"/>
    </row>
    <row r="41" spans="1:13" x14ac:dyDescent="0.2">
      <c r="C41" s="329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">
      <c r="C45" s="246"/>
      <c r="D45" s="246"/>
      <c r="E45" s="12">
        <v>20379</v>
      </c>
      <c r="F45" s="546">
        <v>-51695.87</v>
      </c>
      <c r="G45" s="249" t="s">
        <v>122</v>
      </c>
      <c r="J45" s="12">
        <v>20379</v>
      </c>
      <c r="K45" s="538">
        <v>2979</v>
      </c>
      <c r="M45" s="14"/>
    </row>
    <row r="46" spans="1:13" x14ac:dyDescent="0.2">
      <c r="C46" s="246"/>
      <c r="D46" s="246"/>
      <c r="E46" s="12">
        <v>26357</v>
      </c>
      <c r="F46" s="543">
        <f>44144.84-58339.66</f>
        <v>-14194.820000000007</v>
      </c>
      <c r="G46" s="249" t="s">
        <v>123</v>
      </c>
      <c r="J46" s="12">
        <v>26357</v>
      </c>
      <c r="K46" s="538">
        <f>26521-24566</f>
        <v>1955</v>
      </c>
    </row>
    <row r="47" spans="1:13" x14ac:dyDescent="0.2">
      <c r="C47" s="246"/>
      <c r="D47" s="246"/>
      <c r="E47" s="12">
        <v>21544</v>
      </c>
      <c r="F47" s="546">
        <v>61340.160000000003</v>
      </c>
      <c r="G47" s="249" t="s">
        <v>124</v>
      </c>
      <c r="J47" s="12">
        <v>21544</v>
      </c>
      <c r="K47" s="538">
        <v>36108</v>
      </c>
    </row>
    <row r="48" spans="1:13" x14ac:dyDescent="0.2">
      <c r="C48" s="246"/>
      <c r="D48" s="246"/>
      <c r="E48" s="12">
        <v>24532</v>
      </c>
      <c r="F48" s="544">
        <v>-1164285.8</v>
      </c>
      <c r="G48" s="249" t="s">
        <v>121</v>
      </c>
      <c r="J48" s="12">
        <v>24532</v>
      </c>
      <c r="K48" s="524">
        <v>-152764</v>
      </c>
    </row>
    <row r="49" spans="3:13" x14ac:dyDescent="0.2">
      <c r="C49" s="246"/>
      <c r="D49" s="246"/>
      <c r="F49" s="330">
        <f>SUM(F40:F48)</f>
        <v>-2806071.0700000003</v>
      </c>
      <c r="G49" s="246"/>
      <c r="K49" s="14">
        <f>SUM(K36:K48)</f>
        <v>-438490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2739588.33</v>
      </c>
      <c r="M51" s="14">
        <f>+Duke!I57</f>
        <v>735681</v>
      </c>
    </row>
    <row r="53" spans="3:13" x14ac:dyDescent="0.2">
      <c r="F53" s="104">
        <f>+F51+F49</f>
        <v>-66482.740000000224</v>
      </c>
      <c r="M53" s="16">
        <f>+M51+K49</f>
        <v>297191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5"/>
    </row>
    <row r="63" spans="3:13" x14ac:dyDescent="0.2">
      <c r="F63" s="345"/>
    </row>
    <row r="64" spans="3:13" x14ac:dyDescent="0.2">
      <c r="F64" s="345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-143746</v>
      </c>
      <c r="C74" s="247">
        <f>+E40</f>
        <v>-603814.73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192474</v>
      </c>
      <c r="C77" s="259">
        <f>+Duke!C48</f>
        <v>853977.57000000007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370017</v>
      </c>
      <c r="C79" s="259">
        <f>+Duke!C20</f>
        <v>1513239.61</v>
      </c>
    </row>
    <row r="81" spans="2:3" x14ac:dyDescent="0.2">
      <c r="B81" s="31">
        <f>SUM(B68:B80)</f>
        <v>297191</v>
      </c>
      <c r="C81" s="259">
        <f>SUM(C68:C80)</f>
        <v>-66482.739999999991</v>
      </c>
    </row>
    <row r="82" spans="2:3" x14ac:dyDescent="0.2">
      <c r="C82">
        <f>+C81/B81</f>
        <v>-0.22370374607575597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B34" sqref="B34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5162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-1700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3353</v>
      </c>
      <c r="C28" s="11">
        <v>4241</v>
      </c>
      <c r="D28" s="11">
        <v>424</v>
      </c>
      <c r="E28" s="11">
        <v>125</v>
      </c>
      <c r="F28" s="129">
        <v>946</v>
      </c>
      <c r="G28" s="11">
        <v>872</v>
      </c>
      <c r="H28" s="11">
        <v>1650</v>
      </c>
      <c r="I28" s="11">
        <v>1123</v>
      </c>
      <c r="J28" s="25">
        <f t="shared" si="0"/>
        <v>-12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6538</v>
      </c>
      <c r="C29" s="11">
        <v>4241</v>
      </c>
      <c r="D29" s="11">
        <v>331</v>
      </c>
      <c r="E29" s="11">
        <v>125</v>
      </c>
      <c r="F29" s="129">
        <v>900</v>
      </c>
      <c r="G29" s="11">
        <v>872</v>
      </c>
      <c r="H29" s="11">
        <v>1503</v>
      </c>
      <c r="I29" s="11">
        <v>1123</v>
      </c>
      <c r="J29" s="25">
        <f t="shared" si="0"/>
        <v>-2911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3258</v>
      </c>
      <c r="C30" s="11">
        <v>4238</v>
      </c>
      <c r="D30" s="11">
        <v>225</v>
      </c>
      <c r="E30" s="11">
        <v>125</v>
      </c>
      <c r="F30" s="129">
        <v>995</v>
      </c>
      <c r="G30" s="11">
        <v>872</v>
      </c>
      <c r="H30" s="11">
        <v>1352</v>
      </c>
      <c r="I30" s="11">
        <v>1123</v>
      </c>
      <c r="J30" s="25">
        <f t="shared" si="0"/>
        <v>528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6451</v>
      </c>
      <c r="C31" s="11">
        <v>4241</v>
      </c>
      <c r="D31" s="11">
        <v>372</v>
      </c>
      <c r="E31" s="11">
        <v>125</v>
      </c>
      <c r="F31" s="129">
        <v>978</v>
      </c>
      <c r="G31" s="11">
        <v>978</v>
      </c>
      <c r="H31" s="11">
        <v>1509</v>
      </c>
      <c r="I31" s="11">
        <v>1123</v>
      </c>
      <c r="J31" s="25">
        <f t="shared" si="0"/>
        <v>-2843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6351</v>
      </c>
      <c r="C32" s="11">
        <v>4241</v>
      </c>
      <c r="D32" s="11">
        <v>286</v>
      </c>
      <c r="E32" s="11">
        <v>125</v>
      </c>
      <c r="F32" s="129">
        <v>952</v>
      </c>
      <c r="G32" s="11">
        <v>952</v>
      </c>
      <c r="H32" s="11">
        <v>1429</v>
      </c>
      <c r="I32" s="11">
        <v>1123</v>
      </c>
      <c r="J32" s="25">
        <f t="shared" si="0"/>
        <v>-2577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>
        <v>6076</v>
      </c>
      <c r="C33" s="11">
        <v>4241</v>
      </c>
      <c r="D33" s="11">
        <v>337</v>
      </c>
      <c r="E33" s="11">
        <v>125</v>
      </c>
      <c r="F33" s="129">
        <v>929</v>
      </c>
      <c r="G33" s="11">
        <v>929</v>
      </c>
      <c r="H33" s="11">
        <v>1410</v>
      </c>
      <c r="I33" s="11">
        <v>1123</v>
      </c>
      <c r="J33" s="25">
        <f t="shared" si="0"/>
        <v>-2334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143970</v>
      </c>
      <c r="C39" s="11">
        <f t="shared" si="1"/>
        <v>134263</v>
      </c>
      <c r="D39" s="11">
        <f t="shared" si="1"/>
        <v>15282</v>
      </c>
      <c r="E39" s="11">
        <f t="shared" si="1"/>
        <v>13219</v>
      </c>
      <c r="F39" s="129">
        <f t="shared" si="1"/>
        <v>24793</v>
      </c>
      <c r="G39" s="11">
        <f t="shared" si="1"/>
        <v>22705</v>
      </c>
      <c r="H39" s="11">
        <f t="shared" si="1"/>
        <v>38470</v>
      </c>
      <c r="I39" s="11">
        <f t="shared" si="1"/>
        <v>29198</v>
      </c>
      <c r="J39" s="25">
        <f t="shared" si="1"/>
        <v>-23130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-48573</v>
      </c>
      <c r="L41"/>
      <c r="R41" s="138"/>
      <c r="X41" s="138"/>
    </row>
    <row r="42" spans="1:24" x14ac:dyDescent="0.2">
      <c r="A42" s="57">
        <v>37256</v>
      </c>
      <c r="C42" s="15"/>
      <c r="J42" s="529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37282</v>
      </c>
      <c r="C43" s="48"/>
      <c r="J43" s="138">
        <f>+J42+J41</f>
        <v>358326.92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24">
        <v>166968</v>
      </c>
      <c r="L47"/>
    </row>
    <row r="48" spans="1:24" x14ac:dyDescent="0.2">
      <c r="A48" s="49">
        <f>+A43</f>
        <v>37282</v>
      </c>
      <c r="B48" s="32"/>
      <c r="C48" s="32"/>
      <c r="D48" s="350">
        <f>+J39</f>
        <v>-23130</v>
      </c>
      <c r="L48"/>
    </row>
    <row r="49" spans="1:12" x14ac:dyDescent="0.2">
      <c r="A49" s="32"/>
      <c r="B49" s="32"/>
      <c r="C49" s="32"/>
      <c r="D49" s="14">
        <f>+D48+D47</f>
        <v>143838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C25" sqref="C25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0">
        <v>1</v>
      </c>
      <c r="B8" s="411">
        <v>13305</v>
      </c>
      <c r="C8" s="411">
        <v>1998</v>
      </c>
      <c r="D8" s="411">
        <v>-4206</v>
      </c>
      <c r="E8" s="411"/>
      <c r="F8" s="307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0">
        <v>2</v>
      </c>
      <c r="B9" s="411">
        <v>1426</v>
      </c>
      <c r="C9" s="411">
        <v>1998</v>
      </c>
      <c r="D9" s="411">
        <v>-1924</v>
      </c>
      <c r="E9" s="411"/>
      <c r="F9" s="307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0">
        <v>3</v>
      </c>
      <c r="B10" s="411">
        <v>2</v>
      </c>
      <c r="C10" s="411">
        <v>1333</v>
      </c>
      <c r="D10" s="411"/>
      <c r="E10" s="411"/>
      <c r="F10" s="307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0">
        <v>4</v>
      </c>
      <c r="B11" s="411">
        <v>585</v>
      </c>
      <c r="C11" s="411"/>
      <c r="D11" s="411">
        <v>-861</v>
      </c>
      <c r="E11" s="411"/>
      <c r="F11" s="307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0">
        <v>8</v>
      </c>
      <c r="B15" s="411">
        <v>801</v>
      </c>
      <c r="C15" s="411"/>
      <c r="D15" s="411"/>
      <c r="E15" s="411"/>
      <c r="F15" s="307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0">
        <v>18</v>
      </c>
      <c r="B25" s="411">
        <v>1092</v>
      </c>
      <c r="C25" s="411"/>
      <c r="D25" s="411"/>
      <c r="E25" s="411"/>
      <c r="F25" s="307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0"/>
      <c r="B39" s="411">
        <f>SUM(B8:B38)</f>
        <v>17211</v>
      </c>
      <c r="C39" s="411">
        <f>SUM(C8:C38)</f>
        <v>5329</v>
      </c>
      <c r="D39" s="411">
        <f>SUM(D8:D38)</f>
        <v>-6991</v>
      </c>
      <c r="E39" s="411">
        <f>SUM(E8:E38)</f>
        <v>0</v>
      </c>
      <c r="F39" s="411">
        <f>SUM(F8:F38)</f>
        <v>-4891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1"/>
      <c r="B40" s="285"/>
      <c r="C40" s="432"/>
      <c r="D40" s="432"/>
      <c r="E40" s="432"/>
      <c r="F40" s="433">
        <f>+summary!G4</f>
        <v>2.1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4">
        <f>+F40*F39</f>
        <v>-10271.1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35"/>
      <c r="D42" s="435"/>
      <c r="E42" s="435"/>
      <c r="F42" s="526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37276</v>
      </c>
      <c r="B43" s="285"/>
      <c r="C43" s="436"/>
      <c r="D43" s="436"/>
      <c r="E43" s="436"/>
      <c r="F43" s="417">
        <f>+F42+F41</f>
        <v>169918.72999999998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24">
        <v>-354919</v>
      </c>
      <c r="E47" s="11"/>
    </row>
    <row r="48" spans="1:26" x14ac:dyDescent="0.2">
      <c r="A48" s="49">
        <f>+A43</f>
        <v>37276</v>
      </c>
      <c r="B48" s="32"/>
      <c r="C48" s="32"/>
      <c r="D48" s="350">
        <f>+F39</f>
        <v>-4891</v>
      </c>
      <c r="E48" s="11"/>
    </row>
    <row r="49" spans="1:5" x14ac:dyDescent="0.2">
      <c r="A49" s="32"/>
      <c r="B49" s="32"/>
      <c r="C49" s="32"/>
      <c r="D49" s="14">
        <f>+D48+D47</f>
        <v>-359810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topLeftCell="A35" workbookViewId="0">
      <selection activeCell="E52" sqref="E52"/>
    </sheetView>
  </sheetViews>
  <sheetFormatPr defaultRowHeight="12.75" x14ac:dyDescent="0.2"/>
  <cols>
    <col min="1" max="1" width="25.85546875" style="285" customWidth="1"/>
    <col min="2" max="2" width="11.140625" style="582" bestFit="1" customWidth="1"/>
    <col min="3" max="3" width="9.7109375" style="583" customWidth="1"/>
    <col min="4" max="4" width="5.140625" style="584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86" bestFit="1" customWidth="1"/>
    <col min="15" max="15" width="9" style="587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3" t="s">
        <v>78</v>
      </c>
      <c r="G2" s="585"/>
    </row>
    <row r="3" spans="1:33" ht="15" customHeight="1" x14ac:dyDescent="0.2">
      <c r="F3" s="588" t="s">
        <v>29</v>
      </c>
      <c r="G3" s="589">
        <f>+'[3]1001'!$K$39</f>
        <v>2.08</v>
      </c>
      <c r="J3" s="374">
        <f ca="1">NOW()</f>
        <v>37284.892857638886</v>
      </c>
    </row>
    <row r="4" spans="1:33" ht="15" customHeight="1" x14ac:dyDescent="0.2">
      <c r="A4" s="34" t="s">
        <v>145</v>
      </c>
      <c r="C4" s="34" t="s">
        <v>5</v>
      </c>
      <c r="F4" s="590" t="s">
        <v>30</v>
      </c>
      <c r="G4" s="591">
        <f>+'[3]1001'!$M$39</f>
        <v>2.1</v>
      </c>
    </row>
    <row r="5" spans="1:33" ht="15" customHeight="1" x14ac:dyDescent="0.2">
      <c r="B5" s="592"/>
      <c r="F5" s="588" t="s">
        <v>117</v>
      </c>
      <c r="G5" s="589">
        <f>+'[3]1001'!$E$39</f>
        <v>2.11</v>
      </c>
    </row>
    <row r="6" spans="1:33" ht="12" customHeight="1" x14ac:dyDescent="0.2">
      <c r="C6" s="440"/>
    </row>
    <row r="7" spans="1:33" ht="15" customHeight="1" x14ac:dyDescent="0.2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322</v>
      </c>
      <c r="G7" s="338" t="s">
        <v>101</v>
      </c>
      <c r="H7" s="335" t="s">
        <v>98</v>
      </c>
    </row>
    <row r="8" spans="1:33" ht="15" customHeight="1" x14ac:dyDescent="0.2">
      <c r="A8" s="204" t="s">
        <v>249</v>
      </c>
      <c r="B8" s="346">
        <f>+Duke!$C$20</f>
        <v>1513239.61</v>
      </c>
      <c r="C8" s="206">
        <f>+B8/$G$5</f>
        <v>717175.17061611381</v>
      </c>
      <c r="D8" s="364">
        <f>+Duke!A7</f>
        <v>37283</v>
      </c>
      <c r="E8" s="204" t="s">
        <v>85</v>
      </c>
      <c r="F8" s="204" t="s">
        <v>153</v>
      </c>
      <c r="G8" s="204" t="s">
        <v>100</v>
      </c>
      <c r="H8" s="204" t="s">
        <v>333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204" t="s">
        <v>256</v>
      </c>
      <c r="B9" s="346">
        <f>+Duke!$C$54+Duke!$C$53+Duke!$C$48+Duke!$C$33</f>
        <v>1226348.72</v>
      </c>
      <c r="C9" s="206">
        <f>+B9/$G$5</f>
        <v>581207.92417061608</v>
      </c>
      <c r="D9" s="364">
        <f>+DEFS!A40</f>
        <v>37283</v>
      </c>
      <c r="E9" s="204" t="s">
        <v>85</v>
      </c>
      <c r="F9" s="204" t="s">
        <v>153</v>
      </c>
      <c r="G9" s="204" t="s">
        <v>100</v>
      </c>
      <c r="H9" s="204" t="s">
        <v>332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82</v>
      </c>
      <c r="B10" s="346">
        <f>+PNM!$D$23</f>
        <v>741008.72</v>
      </c>
      <c r="C10" s="275">
        <f>+B10/$G$4</f>
        <v>352861.29523809522</v>
      </c>
      <c r="D10" s="365">
        <f>+PNM!A23</f>
        <v>37282</v>
      </c>
      <c r="E10" s="32" t="s">
        <v>85</v>
      </c>
      <c r="F10" s="32" t="s">
        <v>323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80</v>
      </c>
      <c r="B11" s="346">
        <f>+Conoco!$F$41</f>
        <v>452547.49</v>
      </c>
      <c r="C11" s="275">
        <f>+B11/$G$4</f>
        <v>215498.80476190476</v>
      </c>
      <c r="D11" s="364">
        <f>+Conoco!A41</f>
        <v>37283</v>
      </c>
      <c r="E11" s="32" t="s">
        <v>85</v>
      </c>
      <c r="F11" s="32" t="s">
        <v>324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94</v>
      </c>
      <c r="B12" s="346">
        <f>+C12*$G$4</f>
        <v>376656</v>
      </c>
      <c r="C12" s="275">
        <f>+Mojave!D40</f>
        <v>179360</v>
      </c>
      <c r="D12" s="365">
        <f>+Mojave!A40</f>
        <v>37282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32" t="s">
        <v>2</v>
      </c>
      <c r="B13" s="346">
        <f>+mewborne!$J$43</f>
        <v>358326.92</v>
      </c>
      <c r="C13" s="275">
        <f>+B13/$G$4</f>
        <v>170631.86666666664</v>
      </c>
      <c r="D13" s="365">
        <f>+mewborne!A43</f>
        <v>37282</v>
      </c>
      <c r="E13" s="32" t="s">
        <v>85</v>
      </c>
      <c r="F13" s="32" t="s">
        <v>323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32" t="s">
        <v>107</v>
      </c>
      <c r="B14" s="346">
        <f>+KN_Westar!F41</f>
        <v>303914.19</v>
      </c>
      <c r="C14" s="275">
        <f>+B14/$G$4</f>
        <v>144721.04285714286</v>
      </c>
      <c r="D14" s="365">
        <f>+KN_Westar!A41</f>
        <v>37277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88</v>
      </c>
      <c r="B15" s="346">
        <f>+C15*$G$5</f>
        <v>286278.46999999997</v>
      </c>
      <c r="C15" s="275">
        <f>+NGPL!F38</f>
        <v>135677</v>
      </c>
      <c r="D15" s="365">
        <f>+NGPL!A38</f>
        <v>37283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+B8+B9+B41</f>
        <v>-66482.740000000224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207</v>
      </c>
      <c r="B16" s="346">
        <f>+Dominion!D41</f>
        <v>175198.09000000003</v>
      </c>
      <c r="C16" s="275">
        <f>+B16/$G$5</f>
        <v>83032.270142180118</v>
      </c>
      <c r="D16" s="365">
        <f>+Dominion!A41</f>
        <v>37282</v>
      </c>
      <c r="E16" s="32" t="s">
        <v>85</v>
      </c>
      <c r="F16" s="32" t="s">
        <v>323</v>
      </c>
      <c r="G16" s="32" t="s">
        <v>99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3</v>
      </c>
      <c r="B17" s="346">
        <f>+'Amoco Abo'!$F$43</f>
        <v>169918.72999999998</v>
      </c>
      <c r="C17" s="275">
        <f>+B17/$G$4</f>
        <v>80913.680952380935</v>
      </c>
      <c r="D17" s="365">
        <f>+'Amoco Abo'!A43</f>
        <v>37276</v>
      </c>
      <c r="E17" s="32" t="s">
        <v>85</v>
      </c>
      <c r="F17" s="32" t="s">
        <v>153</v>
      </c>
      <c r="G17" s="32" t="s">
        <v>115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204" t="s">
        <v>32</v>
      </c>
      <c r="B18" s="346">
        <f>+C18*$G$4</f>
        <v>163497.60000000001</v>
      </c>
      <c r="C18" s="206">
        <f>+SoCal!F40</f>
        <v>77856</v>
      </c>
      <c r="D18" s="364">
        <f>+SoCal!A40</f>
        <v>37283</v>
      </c>
      <c r="E18" s="204" t="s">
        <v>84</v>
      </c>
      <c r="F18" s="204" t="s">
        <v>153</v>
      </c>
      <c r="G18" s="204" t="s">
        <v>102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210</v>
      </c>
      <c r="B19" s="346">
        <f>+Devon!D41</f>
        <v>151909.31999999998</v>
      </c>
      <c r="C19" s="275">
        <f>+B19/$G$5</f>
        <v>71994.938388625582</v>
      </c>
      <c r="D19" s="365">
        <f>+Devon!A41</f>
        <v>37282</v>
      </c>
      <c r="E19" s="32" t="s">
        <v>85</v>
      </c>
      <c r="F19" s="32" t="s">
        <v>324</v>
      </c>
      <c r="G19" s="32" t="s">
        <v>99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204" t="s">
        <v>330</v>
      </c>
      <c r="B20" s="346">
        <f>+Plains!$N$43</f>
        <v>107948.28</v>
      </c>
      <c r="C20" s="206">
        <f>+B20/$G$4</f>
        <v>51403.942857142858</v>
      </c>
      <c r="D20" s="364">
        <f>+Plains!A43</f>
        <v>37256</v>
      </c>
      <c r="E20" s="204" t="s">
        <v>85</v>
      </c>
      <c r="F20" s="204"/>
      <c r="G20" s="204" t="s">
        <v>100</v>
      </c>
      <c r="H20" s="204" t="s">
        <v>331</v>
      </c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443" t="s">
        <v>79</v>
      </c>
      <c r="B21" s="510">
        <f>+Agave!$D$24</f>
        <v>104552.81</v>
      </c>
      <c r="C21" s="464">
        <f>+B21/$G$4</f>
        <v>49787.05238095238</v>
      </c>
      <c r="D21" s="463">
        <f>+Agave!A24</f>
        <v>37282</v>
      </c>
      <c r="E21" s="443" t="s">
        <v>85</v>
      </c>
      <c r="F21" s="443" t="s">
        <v>324</v>
      </c>
      <c r="G21" s="443" t="s">
        <v>102</v>
      </c>
      <c r="H21" s="443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218</v>
      </c>
      <c r="B22" s="346">
        <f>+Amarillo!P41</f>
        <v>92004.9</v>
      </c>
      <c r="C22" s="275">
        <f>+B22/$G$4</f>
        <v>43811.857142857138</v>
      </c>
      <c r="D22" s="365">
        <f>+Amarillo!A41</f>
        <v>37282</v>
      </c>
      <c r="E22" s="32" t="s">
        <v>85</v>
      </c>
      <c r="F22" s="32" t="s">
        <v>324</v>
      </c>
      <c r="G22" s="32" t="s">
        <v>113</v>
      </c>
      <c r="H22" s="32"/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32" t="s">
        <v>31</v>
      </c>
      <c r="B23" s="346">
        <f>+C23*$G$5</f>
        <v>84321.803400000004</v>
      </c>
      <c r="C23" s="275">
        <f>+Lonestar!F43</f>
        <v>39962.94</v>
      </c>
      <c r="D23" s="364">
        <f>+Lonestar!A43</f>
        <v>37282</v>
      </c>
      <c r="E23" s="32" t="s">
        <v>84</v>
      </c>
      <c r="F23" s="32" t="s">
        <v>324</v>
      </c>
      <c r="G23" s="32" t="s">
        <v>102</v>
      </c>
      <c r="H23" s="32" t="s">
        <v>309</v>
      </c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32" t="s">
        <v>129</v>
      </c>
      <c r="B24" s="346">
        <f>+EPFS!D41</f>
        <v>75928.929999999993</v>
      </c>
      <c r="C24" s="206">
        <f>+B24/$G$5</f>
        <v>35985.274881516583</v>
      </c>
      <c r="D24" s="364">
        <f>+EPFS!A41</f>
        <v>37283</v>
      </c>
      <c r="E24" s="32" t="s">
        <v>85</v>
      </c>
      <c r="F24" s="32" t="s">
        <v>154</v>
      </c>
      <c r="G24" s="32" t="s">
        <v>102</v>
      </c>
      <c r="H24" s="32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204" t="s">
        <v>28</v>
      </c>
      <c r="B25" s="346">
        <f>+C25*$G$3</f>
        <v>62100.480000000003</v>
      </c>
      <c r="C25" s="275">
        <f>+williams!J40</f>
        <v>29856</v>
      </c>
      <c r="D25" s="364">
        <f>+williams!A40</f>
        <v>37282</v>
      </c>
      <c r="E25" s="204" t="s">
        <v>85</v>
      </c>
      <c r="F25" s="204" t="s">
        <v>154</v>
      </c>
      <c r="G25" s="204" t="s">
        <v>313</v>
      </c>
      <c r="H25" s="2"/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32" t="s">
        <v>114</v>
      </c>
      <c r="B26" s="346">
        <f>+C26*$G$4</f>
        <v>54910.8</v>
      </c>
      <c r="C26" s="206">
        <f>+'PG&amp;E'!D40</f>
        <v>26148</v>
      </c>
      <c r="D26" s="365">
        <f>+'PG&amp;E'!A40</f>
        <v>37283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3" customFormat="1" ht="12.95" customHeight="1" x14ac:dyDescent="0.2">
      <c r="A27" s="204" t="s">
        <v>109</v>
      </c>
      <c r="B27" s="346">
        <f>+Continental!F43</f>
        <v>46490.3</v>
      </c>
      <c r="C27" s="206">
        <f>+B27/$G$4</f>
        <v>22138.238095238095</v>
      </c>
      <c r="D27" s="364">
        <f>+Continental!A43</f>
        <v>37283</v>
      </c>
      <c r="E27" s="204" t="s">
        <v>85</v>
      </c>
      <c r="F27" s="204" t="s">
        <v>154</v>
      </c>
      <c r="G27" s="204" t="s">
        <v>115</v>
      </c>
      <c r="H27" s="204"/>
      <c r="I27" s="32"/>
      <c r="J27" s="204"/>
      <c r="K27" s="204"/>
      <c r="L27" s="204"/>
      <c r="M27" s="32" t="s">
        <v>244</v>
      </c>
      <c r="N27" s="471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3" customFormat="1" ht="13.5" customHeight="1" x14ac:dyDescent="0.2">
      <c r="A28" s="32" t="s">
        <v>320</v>
      </c>
      <c r="B28" s="346">
        <f>+Stratland!$D$41</f>
        <v>42593.49</v>
      </c>
      <c r="C28" s="275">
        <f>+B28/$G$4</f>
        <v>20282.614285714284</v>
      </c>
      <c r="D28" s="364">
        <f>+Stratland!A41</f>
        <v>37257</v>
      </c>
      <c r="E28" s="32" t="s">
        <v>85</v>
      </c>
      <c r="F28" s="32" t="s">
        <v>323</v>
      </c>
      <c r="G28" s="32" t="s">
        <v>102</v>
      </c>
      <c r="H28" s="32"/>
      <c r="I28" s="204"/>
      <c r="J28" s="204"/>
      <c r="K28" s="204"/>
      <c r="L28" s="204"/>
      <c r="M28" s="204" t="s">
        <v>243</v>
      </c>
      <c r="N28" s="471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3" customFormat="1" ht="13.5" customHeight="1" x14ac:dyDescent="0.2">
      <c r="A29" s="32" t="s">
        <v>131</v>
      </c>
      <c r="B29" s="346">
        <f>+SidR!D41</f>
        <v>38982.14</v>
      </c>
      <c r="C29" s="275">
        <f>+B29/$G$5</f>
        <v>18474.947867298579</v>
      </c>
      <c r="D29" s="365">
        <f>+SidR!A41</f>
        <v>37282</v>
      </c>
      <c r="E29" s="32" t="s">
        <v>85</v>
      </c>
      <c r="F29" s="32" t="s">
        <v>152</v>
      </c>
      <c r="G29" s="32" t="s">
        <v>102</v>
      </c>
      <c r="H29" s="32"/>
      <c r="I29" s="204"/>
      <c r="J29" s="204"/>
      <c r="K29" s="204"/>
      <c r="L29" s="204"/>
      <c r="M29" s="204"/>
      <c r="N29" s="471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3" customFormat="1" ht="13.5" customHeight="1" x14ac:dyDescent="0.2">
      <c r="A30" s="32" t="s">
        <v>110</v>
      </c>
      <c r="B30" s="346">
        <f>+C30*$G$4</f>
        <v>36932.700000000004</v>
      </c>
      <c r="C30" s="275">
        <f>+CIG!D42</f>
        <v>17587</v>
      </c>
      <c r="D30" s="365">
        <f>+CIG!A42</f>
        <v>37278</v>
      </c>
      <c r="E30" s="204" t="s">
        <v>84</v>
      </c>
      <c r="F30" s="32" t="s">
        <v>154</v>
      </c>
      <c r="G30" s="32" t="s">
        <v>113</v>
      </c>
      <c r="H30" s="32"/>
      <c r="I30" s="204"/>
      <c r="J30" s="204"/>
      <c r="K30" s="204"/>
      <c r="L30" s="204"/>
      <c r="M30" s="204" t="s">
        <v>245</v>
      </c>
      <c r="N30" s="471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593" customFormat="1" ht="13.5" customHeight="1" x14ac:dyDescent="0.2">
      <c r="A31" s="32" t="s">
        <v>302</v>
      </c>
      <c r="B31" s="346">
        <f>+'WTG inc'!N43</f>
        <v>34195.89</v>
      </c>
      <c r="C31" s="275">
        <f>+B31/$G$4</f>
        <v>16283.757142857143</v>
      </c>
      <c r="D31" s="365">
        <f>+'WTG inc'!A43</f>
        <v>37282</v>
      </c>
      <c r="E31" s="32" t="s">
        <v>85</v>
      </c>
      <c r="F31" s="32" t="s">
        <v>153</v>
      </c>
      <c r="G31" s="32" t="s">
        <v>115</v>
      </c>
      <c r="H31" s="204"/>
      <c r="I31" s="204"/>
      <c r="J31" s="204"/>
      <c r="K31" s="204"/>
      <c r="L31" s="204"/>
      <c r="M31" s="204"/>
      <c r="N31" s="471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23</v>
      </c>
      <c r="B32" s="346">
        <f>+C32*$G$3</f>
        <v>31347.68</v>
      </c>
      <c r="C32" s="348">
        <f>+'Red C'!$F$45</f>
        <v>15071</v>
      </c>
      <c r="D32" s="364">
        <f>+'Red C'!A45</f>
        <v>37283</v>
      </c>
      <c r="E32" s="204" t="s">
        <v>84</v>
      </c>
      <c r="F32" s="32" t="s">
        <v>153</v>
      </c>
      <c r="G32" s="32" t="s">
        <v>115</v>
      </c>
      <c r="H32" s="32"/>
      <c r="I32" s="204"/>
      <c r="J32" s="32"/>
      <c r="K32" s="32"/>
      <c r="L32" s="32"/>
      <c r="M32" s="32" t="s">
        <v>244</v>
      </c>
      <c r="N32" s="380">
        <v>26357</v>
      </c>
      <c r="O32" s="70">
        <v>44144.84</v>
      </c>
      <c r="P32" s="32" t="s">
        <v>247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s="593" customFormat="1" ht="13.5" customHeight="1" x14ac:dyDescent="0.2">
      <c r="A33" s="204" t="s">
        <v>71</v>
      </c>
      <c r="B33" s="347">
        <f>+transcol!$D$43</f>
        <v>30918.799999999999</v>
      </c>
      <c r="C33" s="348">
        <f>+B33/$G$4</f>
        <v>14723.238095238094</v>
      </c>
      <c r="D33" s="364">
        <f>+transcol!A43</f>
        <v>37282</v>
      </c>
      <c r="E33" s="204" t="s">
        <v>85</v>
      </c>
      <c r="F33" s="204" t="s">
        <v>153</v>
      </c>
      <c r="G33" s="204" t="s">
        <v>115</v>
      </c>
      <c r="H33" s="32"/>
      <c r="I33" s="204"/>
      <c r="J33" s="204"/>
      <c r="K33" s="204"/>
      <c r="L33" s="204"/>
      <c r="M33" s="204"/>
      <c r="N33" s="471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</row>
    <row r="34" spans="1:33" ht="15" customHeight="1" x14ac:dyDescent="0.2">
      <c r="A34" s="32" t="s">
        <v>103</v>
      </c>
      <c r="B34" s="346">
        <f>+EOG!$J$41</f>
        <v>26619.81</v>
      </c>
      <c r="C34" s="275">
        <f>+B34/$G$4</f>
        <v>12676.1</v>
      </c>
      <c r="D34" s="364">
        <f>+EOG!A41</f>
        <v>37282</v>
      </c>
      <c r="E34" s="32" t="s">
        <v>85</v>
      </c>
      <c r="F34" s="32" t="s">
        <v>323</v>
      </c>
      <c r="G34" s="32" t="s">
        <v>102</v>
      </c>
      <c r="H34" s="32"/>
      <c r="I34" s="32"/>
      <c r="J34" s="32"/>
      <c r="K34" s="32"/>
      <c r="L34" s="32"/>
      <c r="M34" s="32"/>
      <c r="N34" s="380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93" customFormat="1" ht="13.5" customHeight="1" x14ac:dyDescent="0.2">
      <c r="A35" s="204" t="s">
        <v>87</v>
      </c>
      <c r="B35" s="346">
        <f>+NNG!$D$24</f>
        <v>22736.7</v>
      </c>
      <c r="C35" s="275">
        <f>+B35/$G$4</f>
        <v>10827</v>
      </c>
      <c r="D35" s="364">
        <f>+NNG!A24</f>
        <v>37282</v>
      </c>
      <c r="E35" s="204" t="s">
        <v>85</v>
      </c>
      <c r="F35" s="204" t="s">
        <v>323</v>
      </c>
      <c r="G35" s="204" t="s">
        <v>100</v>
      </c>
      <c r="H35" s="204"/>
      <c r="I35" s="204"/>
      <c r="J35" s="204"/>
      <c r="K35" s="204"/>
      <c r="L35" s="204"/>
      <c r="M35" s="204"/>
      <c r="N35" s="471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">
      <c r="A36" s="204" t="s">
        <v>139</v>
      </c>
      <c r="B36" s="346">
        <f>+'Citizens-Griffith'!D41</f>
        <v>12296.220000000001</v>
      </c>
      <c r="C36" s="275">
        <f>+B36/$G$4</f>
        <v>5855.3428571428576</v>
      </c>
      <c r="D36" s="364">
        <f>+'Citizens-Griffith'!A41</f>
        <v>37283</v>
      </c>
      <c r="E36" s="204" t="s">
        <v>85</v>
      </c>
      <c r="F36" s="204" t="s">
        <v>324</v>
      </c>
      <c r="G36" s="204" t="s">
        <v>99</v>
      </c>
      <c r="H36" s="204"/>
      <c r="I36" s="32"/>
      <c r="J36" s="32"/>
      <c r="K36" s="32"/>
      <c r="L36" s="32"/>
      <c r="M36" s="32"/>
      <c r="N36" s="380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593" customFormat="1" ht="13.5" customHeight="1" x14ac:dyDescent="0.2">
      <c r="A37" s="204" t="s">
        <v>33</v>
      </c>
      <c r="B37" s="349">
        <f>+'El Paso'!C39*summary!G4+'El Paso'!E39*summary!G3</f>
        <v>6866.0199999999895</v>
      </c>
      <c r="C37" s="71">
        <f>+'El Paso'!H39</f>
        <v>2683</v>
      </c>
      <c r="D37" s="364">
        <f>+'El Paso'!A39</f>
        <v>37283</v>
      </c>
      <c r="E37" s="204" t="s">
        <v>84</v>
      </c>
      <c r="F37" s="204" t="s">
        <v>154</v>
      </c>
      <c r="G37" s="204" t="s">
        <v>100</v>
      </c>
      <c r="H37" s="204"/>
      <c r="I37" s="204"/>
      <c r="J37" s="204"/>
      <c r="K37" s="204"/>
      <c r="L37" s="204"/>
      <c r="M37" s="204"/>
      <c r="N37" s="471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ht="18" customHeight="1" x14ac:dyDescent="0.2">
      <c r="A38" s="32" t="s">
        <v>96</v>
      </c>
      <c r="B38" s="47">
        <f>SUM(B8:B37)</f>
        <v>6830591.6133999974</v>
      </c>
      <c r="C38" s="69">
        <f>SUM(C8:C37)</f>
        <v>3244487.2993996842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2"/>
      <c r="B39" s="47"/>
      <c r="C39" s="69"/>
      <c r="D39" s="203"/>
      <c r="E39" s="32"/>
      <c r="F39" s="351"/>
      <c r="G39" s="351"/>
      <c r="H39" s="32"/>
      <c r="I39" s="32"/>
      <c r="J39" s="32"/>
      <c r="K39" s="32"/>
      <c r="L39" s="32"/>
      <c r="M39" s="32"/>
      <c r="N39" s="380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35" t="s">
        <v>89</v>
      </c>
      <c r="B40" s="336" t="s">
        <v>16</v>
      </c>
      <c r="C40" s="337" t="s">
        <v>0</v>
      </c>
      <c r="D40" s="344" t="s">
        <v>146</v>
      </c>
      <c r="E40" s="335" t="s">
        <v>90</v>
      </c>
      <c r="F40" s="338" t="s">
        <v>101</v>
      </c>
      <c r="G40" s="338" t="s">
        <v>101</v>
      </c>
      <c r="H40" s="335" t="s">
        <v>98</v>
      </c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204" t="s">
        <v>248</v>
      </c>
      <c r="B41" s="347">
        <f>+DEFS!$C$40+DEFS!$E$40+DEFS!$F$44+DEFS!$F$45+DEFS!$F$46+DEFS!$F$47+DEFS!$F$48</f>
        <v>-2806071.0700000003</v>
      </c>
      <c r="C41" s="348">
        <f>+B41/$G$5</f>
        <v>-1329891.5023696686</v>
      </c>
      <c r="D41" s="364">
        <f>+DEFS!A40</f>
        <v>37283</v>
      </c>
      <c r="E41" s="204" t="s">
        <v>85</v>
      </c>
      <c r="F41" s="32" t="s">
        <v>153</v>
      </c>
      <c r="G41" s="32" t="s">
        <v>100</v>
      </c>
      <c r="H41" s="32" t="s">
        <v>333</v>
      </c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204" t="s">
        <v>135</v>
      </c>
      <c r="B42" s="346">
        <f>+Citizens!D18</f>
        <v>-549480.09000000008</v>
      </c>
      <c r="C42" s="206">
        <f>+B42/$G$4</f>
        <v>-261657.18571428573</v>
      </c>
      <c r="D42" s="364">
        <f>+Citizens!A18</f>
        <v>37282</v>
      </c>
      <c r="E42" s="204" t="s">
        <v>85</v>
      </c>
      <c r="F42" s="204" t="s">
        <v>324</v>
      </c>
      <c r="G42" s="204" t="s">
        <v>99</v>
      </c>
      <c r="H42" s="352"/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32" t="s">
        <v>133</v>
      </c>
      <c r="B43" s="346">
        <f>+'NS Steel'!D41</f>
        <v>-292277.90000000002</v>
      </c>
      <c r="C43" s="206">
        <f>+B43/$G$4</f>
        <v>-139179.9523809524</v>
      </c>
      <c r="D43" s="365">
        <f>+'NS Steel'!A41</f>
        <v>37282</v>
      </c>
      <c r="E43" s="32" t="s">
        <v>85</v>
      </c>
      <c r="F43" s="32" t="s">
        <v>154</v>
      </c>
      <c r="G43" s="32" t="s">
        <v>100</v>
      </c>
      <c r="H43" s="35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204" t="s">
        <v>260</v>
      </c>
      <c r="B44" s="346">
        <f>+MiVida_Rich!D41</f>
        <v>-203736.06</v>
      </c>
      <c r="C44" s="206">
        <f>+B44/$G$5</f>
        <v>-96557.374407582945</v>
      </c>
      <c r="D44" s="364">
        <f>+MiVida_Rich!A41</f>
        <v>37256</v>
      </c>
      <c r="E44" s="204" t="s">
        <v>85</v>
      </c>
      <c r="F44" s="204" t="s">
        <v>152</v>
      </c>
      <c r="G44" s="204" t="s">
        <v>102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32" t="s">
        <v>216</v>
      </c>
      <c r="B45" s="346">
        <f>+crosstex!F41</f>
        <v>-116026.13999999998</v>
      </c>
      <c r="C45" s="206">
        <f>+B45/$G$4</f>
        <v>-55250.542857142849</v>
      </c>
      <c r="D45" s="365">
        <f>+crosstex!A41</f>
        <v>37282</v>
      </c>
      <c r="E45" s="32" t="s">
        <v>85</v>
      </c>
      <c r="F45" s="32" t="s">
        <v>152</v>
      </c>
      <c r="G45" s="32" t="s">
        <v>100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s="594" customFormat="1" ht="13.5" customHeight="1" x14ac:dyDescent="0.2">
      <c r="A46" s="32" t="s">
        <v>6</v>
      </c>
      <c r="B46" s="346">
        <f>+Oasis!$D$40</f>
        <v>-63931.360000000001</v>
      </c>
      <c r="C46" s="206">
        <f>+B46/$G$5</f>
        <v>-30299.222748815169</v>
      </c>
      <c r="D46" s="365">
        <f>+Oasis!A40</f>
        <v>37282</v>
      </c>
      <c r="E46" s="32" t="s">
        <v>85</v>
      </c>
      <c r="F46" s="32" t="s">
        <v>154</v>
      </c>
      <c r="G46" s="32" t="s">
        <v>102</v>
      </c>
      <c r="H46" s="32"/>
      <c r="I46" s="249"/>
      <c r="J46" s="249"/>
      <c r="K46" s="249"/>
      <c r="L46" s="249"/>
      <c r="M46" s="32"/>
      <c r="N46" s="471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ht="13.5" customHeight="1" x14ac:dyDescent="0.2">
      <c r="A47" s="32" t="s">
        <v>1</v>
      </c>
      <c r="B47" s="346">
        <f>+C47*$G$3</f>
        <v>-36268.959999999999</v>
      </c>
      <c r="C47" s="206">
        <f>+NW!$F$41</f>
        <v>-17437</v>
      </c>
      <c r="D47" s="364">
        <f>+NW!B41</f>
        <v>37282</v>
      </c>
      <c r="E47" s="32" t="s">
        <v>84</v>
      </c>
      <c r="F47" s="32" t="s">
        <v>153</v>
      </c>
      <c r="G47" s="32" t="s">
        <v>115</v>
      </c>
      <c r="H47" s="352"/>
      <c r="I47" s="32"/>
      <c r="J47" s="32"/>
      <c r="K47" s="32"/>
      <c r="L47" s="32"/>
      <c r="M47" s="32"/>
      <c r="N47" s="380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">
      <c r="A48" s="204" t="s">
        <v>204</v>
      </c>
      <c r="B48" s="347">
        <f>+WTGmktg!J43</f>
        <v>-35819.630000000005</v>
      </c>
      <c r="C48" s="206">
        <f>+B48/$G$4</f>
        <v>-17056.966666666667</v>
      </c>
      <c r="D48" s="364">
        <f>+WTGmktg!A43</f>
        <v>37282</v>
      </c>
      <c r="E48" s="32" t="s">
        <v>85</v>
      </c>
      <c r="F48" s="204" t="s">
        <v>153</v>
      </c>
      <c r="G48" s="204" t="s">
        <v>115</v>
      </c>
      <c r="H48" s="204"/>
      <c r="I48" s="32"/>
      <c r="J48" s="32"/>
      <c r="K48" s="32"/>
      <c r="L48" s="32"/>
      <c r="M48" s="32"/>
      <c r="N48" s="380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">
      <c r="A49" s="204" t="s">
        <v>142</v>
      </c>
      <c r="B49" s="347">
        <f>+C49*$G$4</f>
        <v>-28883.4</v>
      </c>
      <c r="C49" s="348">
        <f>+PEPL!D41</f>
        <v>-13754</v>
      </c>
      <c r="D49" s="364">
        <f>+PEPL!A41</f>
        <v>37283</v>
      </c>
      <c r="E49" s="204" t="s">
        <v>84</v>
      </c>
      <c r="F49" s="204" t="s">
        <v>324</v>
      </c>
      <c r="G49" s="204" t="s">
        <v>100</v>
      </c>
      <c r="H49" s="3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">
      <c r="A50" s="204" t="s">
        <v>127</v>
      </c>
      <c r="B50" s="346">
        <f>+Calpine!D41</f>
        <v>-22618.830000000016</v>
      </c>
      <c r="C50" s="206">
        <f>+B50/$G$4</f>
        <v>-10770.871428571436</v>
      </c>
      <c r="D50" s="364">
        <f>+Calpine!A41</f>
        <v>37283</v>
      </c>
      <c r="E50" s="204" t="s">
        <v>85</v>
      </c>
      <c r="F50" s="204" t="s">
        <v>153</v>
      </c>
      <c r="G50" s="204" t="s">
        <v>99</v>
      </c>
      <c r="H50" s="204"/>
      <c r="I50" s="32"/>
      <c r="J50" s="32"/>
      <c r="K50" s="32"/>
      <c r="L50" s="32"/>
      <c r="M50" s="32"/>
      <c r="N50" s="380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593" customFormat="1" ht="13.5" customHeight="1" x14ac:dyDescent="0.2">
      <c r="A51" s="32" t="s">
        <v>297</v>
      </c>
      <c r="B51" s="346">
        <f>+SWGasTrans!$D$41</f>
        <v>-20468.43</v>
      </c>
      <c r="C51" s="275">
        <f>+B51/$G$4</f>
        <v>-9746.8714285714286</v>
      </c>
      <c r="D51" s="364">
        <f>+SWGasTrans!A41</f>
        <v>37282</v>
      </c>
      <c r="E51" s="32" t="s">
        <v>85</v>
      </c>
      <c r="F51" s="32" t="s">
        <v>153</v>
      </c>
      <c r="G51" s="32" t="s">
        <v>99</v>
      </c>
      <c r="H51" s="32"/>
      <c r="I51" s="204"/>
      <c r="J51" s="204"/>
      <c r="K51" s="204"/>
      <c r="L51" s="204"/>
      <c r="M51" s="204"/>
      <c r="N51" s="471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ht="13.5" customHeight="1" x14ac:dyDescent="0.2">
      <c r="A52" s="204" t="s">
        <v>95</v>
      </c>
      <c r="B52" s="346">
        <f>+burlington!D42</f>
        <v>-10100.099999999999</v>
      </c>
      <c r="C52" s="275">
        <f>+B52/$G$3</f>
        <v>-4855.8173076923067</v>
      </c>
      <c r="D52" s="364">
        <f>+burlington!A42</f>
        <v>37282</v>
      </c>
      <c r="E52" s="204" t="s">
        <v>85</v>
      </c>
      <c r="F52" s="32" t="s">
        <v>154</v>
      </c>
      <c r="G52" s="32" t="s">
        <v>113</v>
      </c>
      <c r="H52" s="32"/>
      <c r="I52" s="32"/>
      <c r="J52" s="32"/>
      <c r="K52" s="32"/>
      <c r="L52" s="32"/>
      <c r="M52" s="32"/>
      <c r="N52" s="380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3.5" customHeight="1" x14ac:dyDescent="0.2">
      <c r="A53" s="32" t="s">
        <v>147</v>
      </c>
      <c r="B53" s="346">
        <f>+PGETX!$H$39</f>
        <v>-8905.6999999999971</v>
      </c>
      <c r="C53" s="275">
        <f>+B53/$G$4</f>
        <v>-4240.809523809522</v>
      </c>
      <c r="D53" s="365">
        <f>+PGETX!E39</f>
        <v>37282</v>
      </c>
      <c r="E53" s="32" t="s">
        <v>85</v>
      </c>
      <c r="F53" s="32" t="s">
        <v>154</v>
      </c>
      <c r="G53" s="32" t="s">
        <v>102</v>
      </c>
      <c r="H53" s="32"/>
      <c r="I53" s="32"/>
      <c r="J53" s="32"/>
      <c r="K53" s="32"/>
      <c r="L53" s="32"/>
      <c r="M53" s="32"/>
      <c r="N53" s="380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s="593" customFormat="1" ht="13.5" customHeight="1" x14ac:dyDescent="0.2">
      <c r="A54" s="32" t="s">
        <v>311</v>
      </c>
      <c r="B54" s="349">
        <f>+C54*$G$3</f>
        <v>-347.36</v>
      </c>
      <c r="C54" s="71">
        <f>+Amoco!D40</f>
        <v>-167</v>
      </c>
      <c r="D54" s="365">
        <f>+Amoco!A40</f>
        <v>37283</v>
      </c>
      <c r="E54" s="32" t="s">
        <v>84</v>
      </c>
      <c r="F54" s="32" t="s">
        <v>153</v>
      </c>
      <c r="G54" s="32" t="s">
        <v>115</v>
      </c>
      <c r="H54" s="32"/>
      <c r="I54" s="204"/>
      <c r="J54" s="204"/>
      <c r="K54" s="204"/>
      <c r="L54" s="204"/>
      <c r="M54" s="32"/>
      <c r="N54" s="380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">
      <c r="A55" s="32" t="s">
        <v>97</v>
      </c>
      <c r="B55" s="346">
        <f>SUM(B41:B54)</f>
        <v>-4194935.03</v>
      </c>
      <c r="C55" s="206">
        <f>SUM(C41:C54)</f>
        <v>-1990865.1168337588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4">
        <f>+B55+B38</f>
        <v>2635656.5833999971</v>
      </c>
      <c r="C57" s="355">
        <f>+C55+C38</f>
        <v>1253622.1825659254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2" t="s">
        <v>263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261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 t="s">
        <v>262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356"/>
      <c r="C105" s="357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2" t="s">
        <v>264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265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267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268</v>
      </c>
      <c r="B109" s="528">
        <v>-725.46</v>
      </c>
      <c r="C109" s="69"/>
      <c r="D109" s="358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275</v>
      </c>
      <c r="B110" s="525">
        <v>107948.28</v>
      </c>
      <c r="C110" s="291"/>
      <c r="D110" s="359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273</v>
      </c>
      <c r="B111" s="528">
        <v>-1777.19</v>
      </c>
      <c r="C111" s="291"/>
      <c r="D111" s="360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276</v>
      </c>
      <c r="B112" s="528">
        <v>2429.75</v>
      </c>
      <c r="C112" s="291"/>
      <c r="D112" s="361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280</v>
      </c>
      <c r="B113" s="528">
        <v>6695.6</v>
      </c>
      <c r="C113" s="496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283</v>
      </c>
      <c r="B114" s="528">
        <v>48174.22</v>
      </c>
      <c r="C114" s="496"/>
      <c r="D114" s="358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287</v>
      </c>
      <c r="B115" s="525">
        <v>-2165.34</v>
      </c>
      <c r="C115" s="496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291</v>
      </c>
      <c r="B116" s="525">
        <v>-17015.8</v>
      </c>
      <c r="C116" s="496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292</v>
      </c>
      <c r="B117" s="525">
        <v>8356.0499999999993</v>
      </c>
      <c r="C117" s="595"/>
      <c r="D117" s="358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294</v>
      </c>
      <c r="B118" s="541">
        <f>775*2.25</f>
        <v>1743.75</v>
      </c>
      <c r="C118" s="595"/>
      <c r="D118" s="358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298</v>
      </c>
      <c r="B119" s="525">
        <v>0</v>
      </c>
      <c r="C119" s="595"/>
      <c r="D119" s="358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290</v>
      </c>
      <c r="B120" s="15">
        <f>44144.84-58339.66</f>
        <v>-14194.820000000007</v>
      </c>
      <c r="C120" s="595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290</v>
      </c>
      <c r="B121" s="15">
        <v>-51695.87</v>
      </c>
      <c r="C121" s="595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290</v>
      </c>
      <c r="B122" s="15">
        <v>61340.160000000003</v>
      </c>
      <c r="C122" s="595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315</v>
      </c>
      <c r="B123" s="525">
        <v>-2475.85</v>
      </c>
      <c r="C123" s="595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299</v>
      </c>
      <c r="B124" s="525">
        <v>2493.64</v>
      </c>
      <c r="C124" s="595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300</v>
      </c>
      <c r="B125" s="435">
        <v>8282.6</v>
      </c>
      <c r="C125" s="595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286</v>
      </c>
      <c r="B126" s="435">
        <v>-7228.77</v>
      </c>
      <c r="C126" s="496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285</v>
      </c>
      <c r="B127" s="15">
        <v>249009.74</v>
      </c>
      <c r="C127" s="496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279</v>
      </c>
      <c r="B128" s="525">
        <f>1974.11-1974.11</f>
        <v>0</v>
      </c>
      <c r="C128" s="496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266</v>
      </c>
      <c r="B129" s="528">
        <v>-35893</v>
      </c>
      <c r="C129" s="496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274</v>
      </c>
      <c r="B130" s="75">
        <v>27281.87</v>
      </c>
      <c r="C130" s="496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277</v>
      </c>
      <c r="B131" s="75">
        <v>-2614.58</v>
      </c>
      <c r="C131" s="496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278</v>
      </c>
      <c r="B132" s="75">
        <v>-177733.88</v>
      </c>
      <c r="C132" s="496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281</v>
      </c>
      <c r="B133" s="15">
        <v>3338.45</v>
      </c>
      <c r="C133" s="496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282</v>
      </c>
      <c r="B134" s="15">
        <v>15325.21</v>
      </c>
      <c r="C134" s="496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284</v>
      </c>
      <c r="B135" s="15">
        <v>-33878.81</v>
      </c>
      <c r="C135" s="496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288</v>
      </c>
      <c r="B136" s="15">
        <v>-726.96</v>
      </c>
      <c r="C136" s="496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289</v>
      </c>
      <c r="B137" s="47">
        <v>-4405.4799999999996</v>
      </c>
      <c r="C137" s="496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316</v>
      </c>
      <c r="B138" s="527">
        <v>4000.5</v>
      </c>
      <c r="C138" s="496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 t="s">
        <v>317</v>
      </c>
      <c r="B139" s="527">
        <v>-725.46</v>
      </c>
      <c r="C139" s="496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269</v>
      </c>
      <c r="B145" s="497" t="s">
        <v>271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270</v>
      </c>
      <c r="B146" s="497" t="s">
        <v>272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321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 t="s">
        <v>293</v>
      </c>
      <c r="B148" s="435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0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0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0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0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0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0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0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0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0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0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0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0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0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0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0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0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0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0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0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0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0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0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0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0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0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0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0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0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0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0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0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0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0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0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0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0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0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0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0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0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0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0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0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0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0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0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0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0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09">
        <v>-846060</v>
      </c>
      <c r="C7" s="80">
        <v>-303334</v>
      </c>
      <c r="D7" s="80">
        <f t="shared" si="0"/>
        <v>542726</v>
      </c>
    </row>
    <row r="8" spans="1:4" x14ac:dyDescent="0.2">
      <c r="A8" s="32">
        <v>60667</v>
      </c>
      <c r="B8" s="309">
        <v>-147643</v>
      </c>
      <c r="C8" s="80">
        <v>-991729</v>
      </c>
      <c r="D8" s="80">
        <f t="shared" si="0"/>
        <v>-844086</v>
      </c>
    </row>
    <row r="9" spans="1:4" x14ac:dyDescent="0.2">
      <c r="A9" s="32">
        <v>60749</v>
      </c>
      <c r="B9" s="309">
        <v>91003</v>
      </c>
      <c r="C9" s="80">
        <v>-193229</v>
      </c>
      <c r="D9" s="80">
        <f t="shared" si="0"/>
        <v>-284232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-285679</v>
      </c>
      <c r="C11" s="80"/>
      <c r="D11" s="80">
        <f t="shared" si="0"/>
        <v>285679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-10698</v>
      </c>
    </row>
    <row r="19" spans="1:5" x14ac:dyDescent="0.2">
      <c r="A19" s="32" t="s">
        <v>81</v>
      </c>
      <c r="B19" s="69"/>
      <c r="C19" s="69"/>
      <c r="D19" s="73">
        <f>+summary!G4</f>
        <v>2.1</v>
      </c>
    </row>
    <row r="20" spans="1:5" x14ac:dyDescent="0.2">
      <c r="B20" s="69"/>
      <c r="C20" s="69"/>
      <c r="D20" s="75">
        <f>+D19*D18</f>
        <v>-22465.8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37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37282</v>
      </c>
      <c r="B24" s="69"/>
      <c r="C24" s="69"/>
      <c r="D24" s="332">
        <f>+D22+D20</f>
        <v>22736.7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8">
        <v>20090</v>
      </c>
    </row>
    <row r="33" spans="1:4" x14ac:dyDescent="0.2">
      <c r="A33" s="49">
        <f>+A24</f>
        <v>37282</v>
      </c>
      <c r="D33" s="350">
        <f>+D18</f>
        <v>-10698</v>
      </c>
    </row>
    <row r="34" spans="1:4" x14ac:dyDescent="0.2">
      <c r="D34" s="14">
        <f>+D33+D32</f>
        <v>9392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5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f>-87913-4569</f>
        <v>-92482</v>
      </c>
      <c r="C5" s="90">
        <v>-62044</v>
      </c>
      <c r="D5" s="90">
        <f t="shared" ref="D5:D13" si="0">+C5-B5</f>
        <v>30438</v>
      </c>
      <c r="E5" s="69"/>
      <c r="F5" s="201"/>
    </row>
    <row r="6" spans="1:13" x14ac:dyDescent="0.2">
      <c r="A6" s="87">
        <v>9238</v>
      </c>
      <c r="B6" s="90">
        <v>-12650</v>
      </c>
      <c r="C6" s="90">
        <v>-26000</v>
      </c>
      <c r="D6" s="90">
        <f t="shared" si="0"/>
        <v>-13350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-2578525</v>
      </c>
      <c r="C7" s="90">
        <v>-2557482</v>
      </c>
      <c r="D7" s="90">
        <f t="shared" si="0"/>
        <v>21043</v>
      </c>
      <c r="E7" s="275"/>
      <c r="F7" s="201"/>
    </row>
    <row r="8" spans="1:13" x14ac:dyDescent="0.2">
      <c r="A8" s="87">
        <v>58710</v>
      </c>
      <c r="B8" s="90">
        <v>-173607</v>
      </c>
      <c r="C8" s="90">
        <v>-196736</v>
      </c>
      <c r="D8" s="90">
        <f t="shared" si="0"/>
        <v>-23129</v>
      </c>
      <c r="E8" s="275"/>
      <c r="F8" s="201"/>
    </row>
    <row r="9" spans="1:13" x14ac:dyDescent="0.2">
      <c r="A9" s="87">
        <v>60921</v>
      </c>
      <c r="B9" s="90">
        <v>-1185333</v>
      </c>
      <c r="C9" s="90">
        <v>-1193898</v>
      </c>
      <c r="D9" s="90">
        <f t="shared" si="0"/>
        <v>-8565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67"/>
    </row>
    <row r="11" spans="1:13" x14ac:dyDescent="0.2">
      <c r="A11" s="87">
        <v>500084</v>
      </c>
      <c r="B11" s="90">
        <v>-61956</v>
      </c>
      <c r="C11" s="90">
        <v>-78000</v>
      </c>
      <c r="D11" s="90">
        <f t="shared" si="0"/>
        <v>-16044</v>
      </c>
      <c r="E11" s="276"/>
      <c r="F11" s="467"/>
    </row>
    <row r="12" spans="1:13" x14ac:dyDescent="0.2">
      <c r="A12" s="317">
        <v>500085</v>
      </c>
      <c r="B12" s="90">
        <v>-12987</v>
      </c>
      <c r="C12" s="90"/>
      <c r="D12" s="90">
        <f t="shared" si="0"/>
        <v>12987</v>
      </c>
      <c r="E12" s="275"/>
      <c r="F12" s="467"/>
    </row>
    <row r="13" spans="1:13" x14ac:dyDescent="0.2">
      <c r="A13" s="87">
        <v>500097</v>
      </c>
      <c r="B13" s="90">
        <v>-88284</v>
      </c>
      <c r="C13" s="90">
        <v>-104000</v>
      </c>
      <c r="D13" s="90">
        <f t="shared" si="0"/>
        <v>-15716</v>
      </c>
      <c r="E13" s="275"/>
      <c r="F13" s="467"/>
    </row>
    <row r="14" spans="1:13" x14ac:dyDescent="0.2">
      <c r="A14" s="87"/>
      <c r="B14" s="90"/>
      <c r="C14" s="90"/>
      <c r="D14" s="90"/>
      <c r="E14" s="275"/>
      <c r="F14" s="467"/>
    </row>
    <row r="15" spans="1:13" x14ac:dyDescent="0.2">
      <c r="A15" s="87"/>
      <c r="B15" s="90"/>
      <c r="C15" s="90"/>
      <c r="D15" s="90"/>
      <c r="E15" s="275"/>
      <c r="F15" s="467"/>
    </row>
    <row r="16" spans="1:13" x14ac:dyDescent="0.2">
      <c r="A16" s="87"/>
      <c r="B16" s="88"/>
      <c r="C16" s="88"/>
      <c r="D16" s="94"/>
      <c r="E16" s="275"/>
      <c r="F16" s="467"/>
    </row>
    <row r="17" spans="1:7" x14ac:dyDescent="0.2">
      <c r="A17" s="87"/>
      <c r="B17" s="88"/>
      <c r="C17" s="88"/>
      <c r="D17" s="88">
        <f>SUM(D5:D16)</f>
        <v>-12336</v>
      </c>
      <c r="E17" s="275"/>
      <c r="F17" s="467"/>
    </row>
    <row r="18" spans="1:7" x14ac:dyDescent="0.2">
      <c r="A18" s="87" t="s">
        <v>81</v>
      </c>
      <c r="B18" s="88"/>
      <c r="C18" s="88"/>
      <c r="D18" s="95">
        <f>+summary!G4</f>
        <v>2.1</v>
      </c>
      <c r="E18" s="277"/>
      <c r="F18" s="467"/>
    </row>
    <row r="19" spans="1:7" x14ac:dyDescent="0.2">
      <c r="A19" s="87"/>
      <c r="B19" s="88"/>
      <c r="C19" s="88"/>
      <c r="D19" s="96">
        <f>+D18*D17</f>
        <v>-25905.600000000002</v>
      </c>
      <c r="E19" s="207"/>
      <c r="F19" s="467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0">
        <v>766914.32</v>
      </c>
      <c r="E21" s="207"/>
      <c r="F21" s="468"/>
    </row>
    <row r="22" spans="1:7" x14ac:dyDescent="0.2">
      <c r="A22" s="87"/>
      <c r="B22" s="88"/>
      <c r="C22" s="88"/>
      <c r="D22" s="308"/>
      <c r="E22" s="207"/>
      <c r="F22" s="468"/>
    </row>
    <row r="23" spans="1:7" ht="13.5" thickBot="1" x14ac:dyDescent="0.25">
      <c r="A23" s="99">
        <v>37282</v>
      </c>
      <c r="B23" s="88"/>
      <c r="C23" s="88"/>
      <c r="D23" s="318">
        <f>+D21+D19</f>
        <v>741008.72</v>
      </c>
      <c r="E23" s="207"/>
      <c r="F23" s="468"/>
    </row>
    <row r="24" spans="1:7" ht="13.5" thickTop="1" x14ac:dyDescent="0.2">
      <c r="E24" s="278"/>
    </row>
    <row r="25" spans="1:7" x14ac:dyDescent="0.2">
      <c r="E25" s="506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24">
        <v>307322</v>
      </c>
    </row>
    <row r="29" spans="1:7" x14ac:dyDescent="0.2">
      <c r="A29" s="49">
        <f>+A23</f>
        <v>37282</v>
      </c>
      <c r="B29" s="32"/>
      <c r="C29" s="32"/>
      <c r="D29" s="350">
        <f>+D17</f>
        <v>-12336</v>
      </c>
    </row>
    <row r="30" spans="1:7" x14ac:dyDescent="0.2">
      <c r="A30" s="32"/>
      <c r="B30" s="32"/>
      <c r="C30" s="32"/>
      <c r="D30" s="14">
        <f>+D29+D28</f>
        <v>294986</v>
      </c>
      <c r="E30" s="345"/>
    </row>
    <row r="31" spans="1:7" x14ac:dyDescent="0.2">
      <c r="A31" s="139"/>
      <c r="B31" s="119"/>
      <c r="C31" s="140"/>
      <c r="D31" s="555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7"/>
      <c r="G44" s="204"/>
    </row>
    <row r="45" spans="1:7" x14ac:dyDescent="0.2">
      <c r="B45" s="69"/>
      <c r="C45" s="69"/>
      <c r="D45" s="292"/>
      <c r="E45" s="275"/>
      <c r="F45" s="467"/>
      <c r="G45" s="204"/>
    </row>
    <row r="46" spans="1:7" x14ac:dyDescent="0.2">
      <c r="A46" s="32"/>
      <c r="B46" s="69"/>
      <c r="C46" s="69"/>
      <c r="D46" s="275"/>
      <c r="E46" s="275"/>
      <c r="F46" s="467"/>
      <c r="G46" s="204"/>
    </row>
    <row r="47" spans="1:7" x14ac:dyDescent="0.2">
      <c r="A47" s="32"/>
      <c r="B47" s="69"/>
      <c r="C47" s="69"/>
      <c r="D47" s="277"/>
      <c r="E47" s="277"/>
      <c r="F47" s="467"/>
      <c r="G47" s="204"/>
    </row>
    <row r="48" spans="1:7" x14ac:dyDescent="0.2">
      <c r="B48" s="69"/>
      <c r="C48" s="69"/>
      <c r="D48" s="275"/>
      <c r="E48" s="275"/>
      <c r="F48" s="467"/>
      <c r="G48" s="204"/>
    </row>
    <row r="49" spans="1:7" x14ac:dyDescent="0.2">
      <c r="B49" s="69"/>
      <c r="C49" s="69"/>
      <c r="D49" s="275"/>
      <c r="E49" s="275"/>
      <c r="F49" s="467"/>
      <c r="G49" s="204"/>
    </row>
    <row r="50" spans="1:7" x14ac:dyDescent="0.2">
      <c r="C50" s="289"/>
      <c r="D50" s="289"/>
      <c r="E50" s="289"/>
      <c r="F50" s="469"/>
      <c r="G50" s="290"/>
    </row>
    <row r="51" spans="1:7" x14ac:dyDescent="0.2">
      <c r="A51" s="32"/>
      <c r="C51" s="289"/>
      <c r="D51" s="289"/>
      <c r="E51" s="289"/>
      <c r="F51" s="469"/>
    </row>
    <row r="52" spans="1:7" x14ac:dyDescent="0.2">
      <c r="A52" s="32"/>
      <c r="C52" s="289"/>
      <c r="D52" s="289"/>
      <c r="E52" s="289"/>
      <c r="F52" s="469"/>
    </row>
    <row r="53" spans="1:7" x14ac:dyDescent="0.2">
      <c r="A53" s="32"/>
      <c r="C53" s="289"/>
      <c r="D53" s="289"/>
      <c r="E53" s="289"/>
      <c r="F53" s="469"/>
    </row>
    <row r="54" spans="1:7" x14ac:dyDescent="0.2">
      <c r="A54" s="32"/>
      <c r="C54" s="289"/>
      <c r="D54" s="289"/>
      <c r="E54" s="289"/>
      <c r="F54" s="469"/>
    </row>
    <row r="55" spans="1:7" x14ac:dyDescent="0.2">
      <c r="A55" s="32"/>
      <c r="C55" s="289"/>
      <c r="D55" s="289"/>
      <c r="E55" s="278"/>
      <c r="F55" s="422"/>
    </row>
    <row r="56" spans="1:7" x14ac:dyDescent="0.2">
      <c r="C56" s="289"/>
      <c r="D56" s="289"/>
      <c r="E56" s="278"/>
      <c r="F56" s="422"/>
    </row>
    <row r="57" spans="1:7" x14ac:dyDescent="0.2">
      <c r="C57" s="289"/>
      <c r="D57" s="289"/>
      <c r="E57" s="278"/>
      <c r="F57" s="422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0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8"/>
    </row>
    <row r="101" spans="1:6" x14ac:dyDescent="0.2">
      <c r="A101" s="32"/>
      <c r="E101" s="63"/>
      <c r="F101" s="468"/>
    </row>
    <row r="102" spans="1:6" ht="13.5" thickBot="1" x14ac:dyDescent="0.25">
      <c r="A102" s="32"/>
      <c r="D102" s="68"/>
      <c r="E102" s="68"/>
      <c r="F102" s="468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0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8"/>
    </row>
    <row r="127" spans="1:6" x14ac:dyDescent="0.2">
      <c r="A127" s="32"/>
      <c r="D127" s="75"/>
      <c r="E127" s="75"/>
      <c r="F127" s="468"/>
    </row>
    <row r="128" spans="1:6" ht="13.5" thickBot="1" x14ac:dyDescent="0.25">
      <c r="A128" s="32"/>
      <c r="D128" s="77"/>
      <c r="E128" s="77"/>
      <c r="F128" s="468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0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8"/>
    </row>
    <row r="152" spans="1:6" x14ac:dyDescent="0.2">
      <c r="A152" s="32"/>
      <c r="D152" s="75"/>
      <c r="E152" s="75"/>
      <c r="F152" s="468"/>
    </row>
    <row r="153" spans="1:6" ht="13.5" thickBot="1" x14ac:dyDescent="0.25">
      <c r="A153" s="32"/>
      <c r="D153" s="77"/>
      <c r="E153" s="77"/>
      <c r="F153" s="468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0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8"/>
    </row>
    <row r="177" spans="1:6" x14ac:dyDescent="0.2">
      <c r="A177" s="32"/>
      <c r="D177" s="75"/>
      <c r="E177" s="75"/>
      <c r="F177" s="468"/>
    </row>
    <row r="178" spans="1:6" ht="13.5" thickBot="1" x14ac:dyDescent="0.25">
      <c r="A178" s="32"/>
      <c r="D178" s="77"/>
      <c r="E178" s="77"/>
      <c r="F178" s="468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0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8"/>
    </row>
    <row r="201" spans="1:6" x14ac:dyDescent="0.2">
      <c r="A201" s="32"/>
      <c r="D201" s="75"/>
      <c r="E201" s="75"/>
      <c r="F201" s="468"/>
    </row>
    <row r="202" spans="1:6" ht="13.5" thickBot="1" x14ac:dyDescent="0.25">
      <c r="A202" s="32"/>
      <c r="D202" s="83"/>
      <c r="E202" s="77"/>
      <c r="F202" s="468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0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8"/>
    </row>
    <row r="227" spans="1:6" x14ac:dyDescent="0.2">
      <c r="A227" s="32"/>
      <c r="D227" s="75"/>
      <c r="E227" s="75"/>
      <c r="F227" s="468"/>
    </row>
    <row r="228" spans="1:6" ht="13.5" thickBot="1" x14ac:dyDescent="0.25">
      <c r="A228" s="32"/>
      <c r="D228" s="83"/>
      <c r="E228" s="77"/>
      <c r="F228" s="468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0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8"/>
    </row>
    <row r="251" spans="1:6" x14ac:dyDescent="0.2">
      <c r="A251" s="32"/>
      <c r="D251" s="75"/>
      <c r="E251" s="75"/>
      <c r="F251" s="468"/>
    </row>
    <row r="252" spans="1:6" ht="13.5" thickBot="1" x14ac:dyDescent="0.25">
      <c r="A252" s="32"/>
      <c r="D252" s="86"/>
      <c r="E252" s="77"/>
      <c r="F252" s="468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0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8"/>
    </row>
    <row r="275" spans="1:6" x14ac:dyDescent="0.2">
      <c r="A275" s="87"/>
      <c r="B275" s="88"/>
      <c r="C275" s="88"/>
      <c r="D275" s="96"/>
      <c r="E275" s="75"/>
      <c r="F275" s="468"/>
    </row>
    <row r="276" spans="1:6" ht="13.5" thickBot="1" x14ac:dyDescent="0.25">
      <c r="A276" s="87"/>
      <c r="B276" s="88"/>
      <c r="C276" s="88"/>
      <c r="D276" s="98"/>
      <c r="E276" s="77"/>
      <c r="F276" s="468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0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8"/>
    </row>
    <row r="300" spans="1:6" x14ac:dyDescent="0.2">
      <c r="A300" s="87"/>
      <c r="B300" s="88"/>
      <c r="C300" s="88"/>
      <c r="D300" s="96"/>
      <c r="E300" s="75"/>
      <c r="F300" s="468"/>
    </row>
    <row r="301" spans="1:6" ht="13.5" thickBot="1" x14ac:dyDescent="0.25">
      <c r="A301" s="87"/>
      <c r="B301" s="88"/>
      <c r="C301" s="88"/>
      <c r="D301" s="98"/>
      <c r="E301" s="77"/>
      <c r="F301" s="468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0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8"/>
    </row>
    <row r="327" spans="1:6" x14ac:dyDescent="0.2">
      <c r="A327" s="87"/>
      <c r="B327" s="88"/>
      <c r="C327" s="88"/>
      <c r="D327" s="96"/>
      <c r="E327" s="75"/>
      <c r="F327" s="468"/>
    </row>
    <row r="328" spans="1:6" ht="13.5" thickBot="1" x14ac:dyDescent="0.25">
      <c r="A328" s="87"/>
      <c r="B328" s="88"/>
      <c r="C328" s="88"/>
      <c r="D328" s="98"/>
      <c r="E328" s="77"/>
      <c r="F328" s="468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8" workbookViewId="0">
      <selection activeCell="E29" sqref="E2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">
      <c r="A17">
        <v>15</v>
      </c>
      <c r="B17" s="88">
        <v>29984</v>
      </c>
      <c r="C17" s="88">
        <v>30338</v>
      </c>
      <c r="D17" s="327">
        <v>-647</v>
      </c>
      <c r="E17" s="327"/>
      <c r="F17" s="90">
        <f t="shared" si="0"/>
        <v>1001</v>
      </c>
    </row>
    <row r="18" spans="1:21" x14ac:dyDescent="0.2">
      <c r="A18">
        <v>16</v>
      </c>
      <c r="B18" s="88">
        <v>48253</v>
      </c>
      <c r="C18" s="88">
        <v>48338</v>
      </c>
      <c r="D18" s="327"/>
      <c r="E18" s="327"/>
      <c r="F18" s="90">
        <f t="shared" si="0"/>
        <v>85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">
      <c r="A19">
        <v>17</v>
      </c>
      <c r="B19" s="88">
        <v>30456</v>
      </c>
      <c r="C19" s="88">
        <v>30338</v>
      </c>
      <c r="D19" s="327"/>
      <c r="E19" s="327"/>
      <c r="F19" s="90">
        <f t="shared" si="0"/>
        <v>-118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">
      <c r="A20">
        <v>18</v>
      </c>
      <c r="B20" s="327">
        <v>43183</v>
      </c>
      <c r="C20" s="327">
        <v>43338</v>
      </c>
      <c r="D20" s="327">
        <v>-14965</v>
      </c>
      <c r="E20" s="327">
        <v>-14800</v>
      </c>
      <c r="F20" s="90">
        <f t="shared" si="0"/>
        <v>320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">
      <c r="A21">
        <v>19</v>
      </c>
      <c r="B21" s="327">
        <v>53211</v>
      </c>
      <c r="C21" s="327">
        <v>53338</v>
      </c>
      <c r="D21" s="327">
        <v>-5264</v>
      </c>
      <c r="E21" s="327">
        <v>-5000</v>
      </c>
      <c r="F21" s="90">
        <f t="shared" si="0"/>
        <v>391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">
      <c r="A22">
        <v>20</v>
      </c>
      <c r="B22" s="428">
        <v>53307</v>
      </c>
      <c r="C22" s="327">
        <v>53338</v>
      </c>
      <c r="D22" s="327">
        <v>-5074</v>
      </c>
      <c r="E22" s="327">
        <v>-5000</v>
      </c>
      <c r="F22" s="90">
        <f t="shared" si="0"/>
        <v>105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">
      <c r="A23">
        <v>21</v>
      </c>
      <c r="B23" s="327">
        <v>53312</v>
      </c>
      <c r="C23" s="327">
        <v>53338</v>
      </c>
      <c r="D23" s="327">
        <v>-5324</v>
      </c>
      <c r="E23" s="327">
        <v>-5000</v>
      </c>
      <c r="F23" s="90">
        <f t="shared" ref="F23:F33" si="2">+E23-D23+C23-B23</f>
        <v>350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">
      <c r="A24">
        <v>22</v>
      </c>
      <c r="B24" s="327">
        <v>53299</v>
      </c>
      <c r="C24" s="327">
        <v>53338</v>
      </c>
      <c r="D24" s="327">
        <v>-5221</v>
      </c>
      <c r="E24" s="327">
        <v>-5000</v>
      </c>
      <c r="F24" s="90">
        <f t="shared" si="2"/>
        <v>260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">
      <c r="A25">
        <v>23</v>
      </c>
      <c r="B25" s="597">
        <v>32338</v>
      </c>
      <c r="C25" s="327">
        <v>32338</v>
      </c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">
      <c r="A26">
        <v>24</v>
      </c>
      <c r="B26" s="327">
        <v>32275</v>
      </c>
      <c r="C26" s="327">
        <v>32338</v>
      </c>
      <c r="D26" s="327"/>
      <c r="E26" s="327"/>
      <c r="F26" s="90">
        <f t="shared" si="2"/>
        <v>63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">
      <c r="A27">
        <v>25</v>
      </c>
      <c r="B27" s="327">
        <v>30341</v>
      </c>
      <c r="C27" s="327">
        <v>30338</v>
      </c>
      <c r="D27" s="327">
        <v>-1</v>
      </c>
      <c r="E27" s="327"/>
      <c r="F27" s="90">
        <f t="shared" si="2"/>
        <v>-2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">
      <c r="A28">
        <v>26</v>
      </c>
      <c r="B28" s="327">
        <v>39356</v>
      </c>
      <c r="C28" s="327">
        <v>39493</v>
      </c>
      <c r="D28" s="14"/>
      <c r="E28" s="14"/>
      <c r="F28" s="90">
        <f t="shared" si="2"/>
        <v>137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">
      <c r="A29">
        <v>27</v>
      </c>
      <c r="B29" s="327">
        <v>39450</v>
      </c>
      <c r="C29" s="327">
        <v>39493</v>
      </c>
      <c r="D29" s="14"/>
      <c r="E29" s="14"/>
      <c r="F29" s="90">
        <f t="shared" si="2"/>
        <v>43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1229087</v>
      </c>
      <c r="C34" s="287">
        <f>SUM(C3:C33)</f>
        <v>1239998</v>
      </c>
      <c r="D34" s="14">
        <f>SUM(D3:D33)</f>
        <v>-199425</v>
      </c>
      <c r="E34" s="14">
        <f>SUM(E3:E33)</f>
        <v>-189900</v>
      </c>
      <c r="F34" s="14">
        <f>SUM(F3:F33)</f>
        <v>20436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1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86">
        <f>8222+107019</f>
        <v>115241</v>
      </c>
      <c r="M37" s="259"/>
      <c r="N37" s="259"/>
      <c r="O37" s="259"/>
      <c r="T37" s="259"/>
      <c r="U37" s="259"/>
    </row>
    <row r="38" spans="1:21" x14ac:dyDescent="0.2">
      <c r="A38" s="581">
        <v>37283</v>
      </c>
      <c r="B38" s="14"/>
      <c r="C38" s="14"/>
      <c r="D38" s="14"/>
      <c r="E38" s="14"/>
      <c r="F38" s="150">
        <f>+F37+F34</f>
        <v>135677</v>
      </c>
      <c r="M38" s="259"/>
      <c r="N38" s="259"/>
      <c r="O38" s="259"/>
    </row>
    <row r="39" spans="1:21" x14ac:dyDescent="0.2">
      <c r="F39" s="290"/>
      <c r="M39" s="259"/>
      <c r="N39" s="259"/>
      <c r="O39" s="259"/>
    </row>
    <row r="40" spans="1:21" x14ac:dyDescent="0.2">
      <c r="F40" s="290"/>
      <c r="I40" s="345"/>
      <c r="M40" s="259"/>
      <c r="N40" s="259"/>
      <c r="O40" s="259"/>
    </row>
    <row r="41" spans="1:21" x14ac:dyDescent="0.2">
      <c r="F41" s="290"/>
      <c r="I41" s="345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89">
        <v>296376</v>
      </c>
      <c r="F43" s="290"/>
      <c r="G43" s="31"/>
      <c r="I43" s="345"/>
      <c r="M43" s="259"/>
      <c r="N43" s="259"/>
      <c r="O43" s="259"/>
    </row>
    <row r="44" spans="1:21" x14ac:dyDescent="0.2">
      <c r="A44" s="49">
        <f>+A38</f>
        <v>37283</v>
      </c>
      <c r="B44" s="32"/>
      <c r="C44" s="32"/>
      <c r="D44" s="375">
        <f>+F34*'by type_area'!G4</f>
        <v>42915.6</v>
      </c>
      <c r="F44" s="290"/>
      <c r="I44" s="345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339291.6</v>
      </c>
      <c r="F45" s="290"/>
      <c r="I45" s="504"/>
      <c r="M45" s="259"/>
      <c r="N45" s="259"/>
      <c r="O45" s="259"/>
    </row>
    <row r="46" spans="1:21" x14ac:dyDescent="0.2">
      <c r="F46" s="290"/>
      <c r="I46" s="345"/>
      <c r="M46" s="259"/>
      <c r="N46" s="259"/>
      <c r="O46" s="259"/>
    </row>
    <row r="47" spans="1:21" x14ac:dyDescent="0.2">
      <c r="F47" s="290"/>
      <c r="M47" s="259"/>
      <c r="N47" s="259"/>
      <c r="O47" s="259"/>
    </row>
    <row r="48" spans="1:21" x14ac:dyDescent="0.2">
      <c r="F48" s="290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0" workbookViewId="0">
      <selection activeCell="C30" sqref="C30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8" x14ac:dyDescent="0.2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8" x14ac:dyDescent="0.2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8" x14ac:dyDescent="0.2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8" x14ac:dyDescent="0.2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8" x14ac:dyDescent="0.2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8" x14ac:dyDescent="0.2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8" x14ac:dyDescent="0.2">
      <c r="A23" s="10">
        <v>20</v>
      </c>
      <c r="B23" s="129">
        <v>-19798</v>
      </c>
      <c r="C23" s="11">
        <v>-19652</v>
      </c>
      <c r="D23" s="25">
        <f t="shared" si="0"/>
        <v>146</v>
      </c>
      <c r="F23" s="25"/>
      <c r="H23" s="34"/>
    </row>
    <row r="24" spans="1:8" x14ac:dyDescent="0.2">
      <c r="A24" s="10">
        <v>21</v>
      </c>
      <c r="B24" s="11">
        <v>-19806</v>
      </c>
      <c r="C24" s="11">
        <v>-19652</v>
      </c>
      <c r="D24" s="25">
        <f t="shared" si="0"/>
        <v>154</v>
      </c>
      <c r="F24" s="25"/>
    </row>
    <row r="25" spans="1:8" x14ac:dyDescent="0.2">
      <c r="A25" s="10">
        <v>22</v>
      </c>
      <c r="B25" s="11">
        <v>-19910</v>
      </c>
      <c r="C25" s="11">
        <v>-19652</v>
      </c>
      <c r="D25" s="25">
        <f t="shared" si="0"/>
        <v>258</v>
      </c>
      <c r="F25" s="25"/>
    </row>
    <row r="26" spans="1:8" x14ac:dyDescent="0.2">
      <c r="A26" s="10">
        <v>23</v>
      </c>
      <c r="B26" s="11">
        <v>-19862</v>
      </c>
      <c r="C26" s="11">
        <v>-20000</v>
      </c>
      <c r="D26" s="25">
        <f t="shared" si="0"/>
        <v>-138</v>
      </c>
      <c r="F26" s="25"/>
    </row>
    <row r="27" spans="1:8" x14ac:dyDescent="0.2">
      <c r="A27" s="10">
        <v>24</v>
      </c>
      <c r="B27" s="11">
        <v>-19794</v>
      </c>
      <c r="C27" s="11">
        <v>-19952</v>
      </c>
      <c r="D27" s="25">
        <f t="shared" si="0"/>
        <v>-158</v>
      </c>
    </row>
    <row r="28" spans="1:8" x14ac:dyDescent="0.2">
      <c r="A28" s="10">
        <v>25</v>
      </c>
      <c r="B28" s="11">
        <v>-2538</v>
      </c>
      <c r="C28" s="11">
        <v>-19779</v>
      </c>
      <c r="D28" s="25">
        <f t="shared" si="0"/>
        <v>-17241</v>
      </c>
    </row>
    <row r="29" spans="1:8" x14ac:dyDescent="0.2">
      <c r="A29" s="10">
        <v>26</v>
      </c>
      <c r="B29" s="11">
        <v>-20129</v>
      </c>
      <c r="C29" s="11">
        <v>-19939</v>
      </c>
      <c r="D29" s="25">
        <f t="shared" si="0"/>
        <v>190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-480023</v>
      </c>
      <c r="C35" s="11">
        <f>SUM(C4:C34)</f>
        <v>-487486</v>
      </c>
      <c r="D35" s="11">
        <f>SUM(D4:D34)</f>
        <v>-7463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3">
        <v>186823</v>
      </c>
    </row>
    <row r="39" spans="1:4" x14ac:dyDescent="0.2">
      <c r="A39" s="2"/>
      <c r="D39" s="24"/>
    </row>
    <row r="40" spans="1:4" x14ac:dyDescent="0.2">
      <c r="A40" s="57">
        <v>37282</v>
      </c>
      <c r="D40" s="51">
        <f>+D38+D35</f>
        <v>179360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2">
        <v>199813</v>
      </c>
    </row>
    <row r="46" spans="1:4" x14ac:dyDescent="0.2">
      <c r="A46" s="49">
        <f>+A40</f>
        <v>37282</v>
      </c>
      <c r="B46" s="32"/>
      <c r="C46" s="32"/>
      <c r="D46" s="375">
        <f>+D35*'by type_area'!G4</f>
        <v>-15672.300000000001</v>
      </c>
    </row>
    <row r="47" spans="1:4" x14ac:dyDescent="0.2">
      <c r="A47" s="32"/>
      <c r="B47" s="32"/>
      <c r="C47" s="32"/>
      <c r="D47" s="200">
        <f>+D46+D45</f>
        <v>184140.7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G30" sqref="G3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7955</v>
      </c>
      <c r="G13" s="11">
        <v>7800</v>
      </c>
      <c r="H13" s="11"/>
      <c r="I13" s="11"/>
      <c r="J13" s="11">
        <f t="shared" si="0"/>
        <v>-955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8979</v>
      </c>
      <c r="C24" s="11">
        <v>8927</v>
      </c>
      <c r="D24" s="11">
        <v>7845</v>
      </c>
      <c r="E24" s="11">
        <v>7935</v>
      </c>
      <c r="F24" s="11">
        <v>7404</v>
      </c>
      <c r="G24" s="11">
        <v>6943</v>
      </c>
      <c r="H24" s="11"/>
      <c r="I24" s="11"/>
      <c r="J24" s="11">
        <f t="shared" si="0"/>
        <v>-423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5948</v>
      </c>
      <c r="C25" s="11">
        <v>9000</v>
      </c>
      <c r="D25" s="11">
        <v>7914</v>
      </c>
      <c r="E25" s="11">
        <v>8000</v>
      </c>
      <c r="F25" s="11">
        <v>8924</v>
      </c>
      <c r="G25" s="11">
        <v>7000</v>
      </c>
      <c r="H25" s="11"/>
      <c r="I25" s="11"/>
      <c r="J25" s="11">
        <f t="shared" si="0"/>
        <v>1214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7675</v>
      </c>
      <c r="C26" s="11">
        <v>9000</v>
      </c>
      <c r="D26" s="11">
        <v>8105</v>
      </c>
      <c r="E26" s="11">
        <v>8000</v>
      </c>
      <c r="F26" s="11">
        <v>8281</v>
      </c>
      <c r="G26" s="11">
        <v>7000</v>
      </c>
      <c r="H26" s="11"/>
      <c r="I26" s="11"/>
      <c r="J26" s="11">
        <f t="shared" si="0"/>
        <v>-61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8104</v>
      </c>
      <c r="C27" s="11">
        <v>8500</v>
      </c>
      <c r="D27" s="11">
        <v>8906</v>
      </c>
      <c r="E27" s="11">
        <v>7500</v>
      </c>
      <c r="F27" s="11">
        <v>8896</v>
      </c>
      <c r="G27" s="11">
        <v>7000</v>
      </c>
      <c r="H27" s="11"/>
      <c r="I27" s="11"/>
      <c r="J27" s="11">
        <f t="shared" si="0"/>
        <v>-2906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8466</v>
      </c>
      <c r="C28" s="11">
        <v>8500</v>
      </c>
      <c r="D28" s="11">
        <v>8859</v>
      </c>
      <c r="E28" s="11">
        <v>7500</v>
      </c>
      <c r="F28" s="11">
        <v>11916</v>
      </c>
      <c r="G28" s="11">
        <v>7000</v>
      </c>
      <c r="H28" s="11"/>
      <c r="I28" s="11"/>
      <c r="J28" s="11">
        <f t="shared" si="0"/>
        <v>-6241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8368</v>
      </c>
      <c r="C29" s="11">
        <v>8499</v>
      </c>
      <c r="D29" s="11">
        <v>8428</v>
      </c>
      <c r="E29" s="11">
        <v>7500</v>
      </c>
      <c r="F29" s="11">
        <v>7368</v>
      </c>
      <c r="G29" s="11">
        <v>7000</v>
      </c>
      <c r="H29" s="11"/>
      <c r="I29" s="11"/>
      <c r="J29" s="11">
        <f t="shared" si="0"/>
        <v>-1165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252088</v>
      </c>
      <c r="C35" s="11">
        <f t="shared" ref="C35:I35" si="1">SUM(C4:C34)</f>
        <v>260590</v>
      </c>
      <c r="D35" s="11">
        <f t="shared" si="1"/>
        <v>211293</v>
      </c>
      <c r="E35" s="11">
        <f t="shared" si="1"/>
        <v>206752</v>
      </c>
      <c r="F35" s="11">
        <f t="shared" si="1"/>
        <v>187155</v>
      </c>
      <c r="G35" s="11">
        <f t="shared" si="1"/>
        <v>193710</v>
      </c>
      <c r="H35" s="11">
        <f t="shared" si="1"/>
        <v>0</v>
      </c>
      <c r="I35" s="11">
        <f t="shared" si="1"/>
        <v>0</v>
      </c>
      <c r="J35" s="11">
        <f>SUM(J4:J34)</f>
        <v>10516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2.1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22083.600000000002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34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37282</v>
      </c>
      <c r="J41" s="319">
        <f>+J39+J37</f>
        <v>26619.81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24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37282</v>
      </c>
      <c r="B47" s="32"/>
      <c r="C47" s="32"/>
      <c r="D47" s="350">
        <f>+J35</f>
        <v>10516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-115022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0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328</v>
      </c>
      <c r="H4" s="14" t="s">
        <v>327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326</v>
      </c>
      <c r="I5" s="14" t="s">
        <v>329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-20956</v>
      </c>
      <c r="E6" s="24">
        <v>-21274</v>
      </c>
      <c r="F6" s="24">
        <f>+C6+E6-B6-D6</f>
        <v>-84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-21291</v>
      </c>
      <c r="E7" s="24">
        <v>-21274</v>
      </c>
      <c r="F7" s="24">
        <f t="shared" ref="F7:F36" si="1">+C7+E7-B7-D7</f>
        <v>345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-11018</v>
      </c>
      <c r="E12" s="24">
        <v>-14046</v>
      </c>
      <c r="F12" s="24">
        <f t="shared" si="1"/>
        <v>-3028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-23789</v>
      </c>
      <c r="E13" s="24">
        <v>-40692</v>
      </c>
      <c r="F13" s="24">
        <f t="shared" si="1"/>
        <v>-16903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-25153</v>
      </c>
      <c r="E16" s="24">
        <v>-25367</v>
      </c>
      <c r="F16" s="24">
        <f t="shared" si="1"/>
        <v>-214</v>
      </c>
      <c r="G16" s="206"/>
      <c r="H16" s="14">
        <v>-25154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-14485</v>
      </c>
      <c r="E18" s="24">
        <v>-5474</v>
      </c>
      <c r="F18" s="24">
        <f t="shared" si="1"/>
        <v>9011</v>
      </c>
      <c r="G18" s="206">
        <v>-2931</v>
      </c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-2931</v>
      </c>
      <c r="E19" s="24">
        <v>-5474</v>
      </c>
      <c r="F19" s="24">
        <f t="shared" si="1"/>
        <v>-2543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-34508</v>
      </c>
      <c r="E20" s="24">
        <v>-33250</v>
      </c>
      <c r="F20" s="24">
        <f t="shared" si="1"/>
        <v>1258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-15603</v>
      </c>
      <c r="E21" s="24">
        <v>-15561</v>
      </c>
      <c r="F21" s="24">
        <f t="shared" si="1"/>
        <v>42</v>
      </c>
      <c r="G21" s="206"/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-35137</v>
      </c>
      <c r="E22" s="24">
        <v>-37474</v>
      </c>
      <c r="F22" s="24">
        <f t="shared" si="1"/>
        <v>-2337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-19715</v>
      </c>
      <c r="E23" s="24">
        <v>-19629</v>
      </c>
      <c r="F23" s="24">
        <f t="shared" si="1"/>
        <v>86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-161</v>
      </c>
      <c r="E24" s="24">
        <v>5659</v>
      </c>
      <c r="F24" s="24">
        <f t="shared" si="1"/>
        <v>5820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-7781</v>
      </c>
      <c r="E25" s="24">
        <v>-14341</v>
      </c>
      <c r="F25" s="24">
        <f t="shared" si="1"/>
        <v>-6560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-14775</v>
      </c>
      <c r="E26" s="24">
        <v>-14341</v>
      </c>
      <c r="F26" s="24">
        <f t="shared" si="1"/>
        <v>434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-307720</v>
      </c>
      <c r="E37" s="24">
        <f>SUM(E6:E36)</f>
        <v>-362594</v>
      </c>
      <c r="F37" s="24">
        <f>SUM(F6:F36)</f>
        <v>-54312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-114055.20000000001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E40" s="14"/>
      <c r="F40" s="523">
        <v>417969.39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37277</v>
      </c>
      <c r="E41" s="14"/>
      <c r="F41" s="104">
        <f>+F40+F39</f>
        <v>303914.19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151201.08955223882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37277</v>
      </c>
      <c r="B47" s="32"/>
      <c r="C47" s="32"/>
      <c r="D47" s="350">
        <f>+F37</f>
        <v>-54312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-49188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6" workbookViewId="0">
      <selection activeCell="E35" sqref="E35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">
      <c r="A28" s="10">
        <v>21</v>
      </c>
      <c r="B28" s="11"/>
      <c r="C28" s="11"/>
      <c r="D28" s="11"/>
      <c r="E28" s="11">
        <v>3000</v>
      </c>
      <c r="F28" s="25">
        <f t="shared" si="0"/>
        <v>3000</v>
      </c>
    </row>
    <row r="29" spans="1:10" x14ac:dyDescent="0.2">
      <c r="A29" s="10">
        <v>22</v>
      </c>
      <c r="B29" s="11"/>
      <c r="C29" s="11"/>
      <c r="D29" s="11"/>
      <c r="E29" s="11">
        <v>3000</v>
      </c>
      <c r="F29" s="25">
        <f t="shared" si="0"/>
        <v>3000</v>
      </c>
    </row>
    <row r="30" spans="1:10" x14ac:dyDescent="0.2">
      <c r="A30" s="10">
        <v>23</v>
      </c>
      <c r="B30" s="11"/>
      <c r="C30" s="11"/>
      <c r="D30" s="11">
        <v>5091</v>
      </c>
      <c r="E30" s="11">
        <v>3000</v>
      </c>
      <c r="F30" s="25">
        <f t="shared" si="0"/>
        <v>-2091</v>
      </c>
    </row>
    <row r="31" spans="1:10" x14ac:dyDescent="0.2">
      <c r="A31" s="10">
        <v>24</v>
      </c>
      <c r="B31" s="11"/>
      <c r="C31" s="11"/>
      <c r="D31" s="11">
        <v>5164</v>
      </c>
      <c r="E31" s="11">
        <v>3000</v>
      </c>
      <c r="F31" s="25">
        <f t="shared" si="0"/>
        <v>-2164</v>
      </c>
    </row>
    <row r="32" spans="1:10" x14ac:dyDescent="0.2">
      <c r="A32" s="10">
        <v>25</v>
      </c>
      <c r="B32" s="11"/>
      <c r="C32" s="11"/>
      <c r="D32" s="11">
        <v>5850</v>
      </c>
      <c r="E32" s="11">
        <v>3000</v>
      </c>
      <c r="F32" s="25">
        <f t="shared" si="0"/>
        <v>-2850</v>
      </c>
    </row>
    <row r="33" spans="1:6" x14ac:dyDescent="0.2">
      <c r="A33" s="10">
        <v>26</v>
      </c>
      <c r="B33" s="11"/>
      <c r="C33" s="11"/>
      <c r="D33" s="11">
        <v>5773</v>
      </c>
      <c r="E33" s="11">
        <v>3000</v>
      </c>
      <c r="F33" s="25">
        <f t="shared" si="0"/>
        <v>-2773</v>
      </c>
    </row>
    <row r="34" spans="1:6" x14ac:dyDescent="0.2">
      <c r="A34" s="10">
        <v>27</v>
      </c>
      <c r="B34" s="11"/>
      <c r="C34" s="11"/>
      <c r="D34" s="11">
        <v>5499</v>
      </c>
      <c r="E34" s="11">
        <v>3000</v>
      </c>
      <c r="F34" s="25">
        <f t="shared" si="0"/>
        <v>-2499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27377</v>
      </c>
      <c r="E39" s="11">
        <f>SUM(E8:E38)</f>
        <v>33200</v>
      </c>
      <c r="F39" s="25">
        <f>SUM(F8:F38)</f>
        <v>5823</v>
      </c>
    </row>
    <row r="40" spans="1:6" x14ac:dyDescent="0.2">
      <c r="A40" s="26"/>
      <c r="C40" s="14"/>
      <c r="F40" s="253">
        <f>+summary!G4</f>
        <v>2.1</v>
      </c>
    </row>
    <row r="41" spans="1:6" x14ac:dyDescent="0.2">
      <c r="F41" s="138">
        <f>+F40*F39</f>
        <v>12228.300000000001</v>
      </c>
    </row>
    <row r="42" spans="1:6" x14ac:dyDescent="0.2">
      <c r="A42" s="57">
        <v>37256</v>
      </c>
      <c r="C42" s="15"/>
      <c r="F42" s="495">
        <v>34262</v>
      </c>
    </row>
    <row r="43" spans="1:6" x14ac:dyDescent="0.2">
      <c r="A43" s="57">
        <v>37283</v>
      </c>
      <c r="C43" s="48"/>
      <c r="F43" s="138">
        <f>+F42+F41</f>
        <v>46490.3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0">
        <v>748</v>
      </c>
    </row>
    <row r="49" spans="1:4" x14ac:dyDescent="0.2">
      <c r="A49" s="49">
        <f>+A43</f>
        <v>37283</v>
      </c>
      <c r="B49" s="32"/>
      <c r="C49" s="32"/>
      <c r="D49" s="350">
        <f>+F39</f>
        <v>5823</v>
      </c>
    </row>
    <row r="50" spans="1:4" x14ac:dyDescent="0.2">
      <c r="A50" s="32"/>
      <c r="B50" s="32"/>
      <c r="C50" s="32"/>
      <c r="D50" s="14">
        <f>+D49+D48</f>
        <v>6571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">
      <c r="A40" s="26"/>
      <c r="C40" s="14"/>
      <c r="D40" s="450"/>
    </row>
    <row r="41" spans="1:4" x14ac:dyDescent="0.2">
      <c r="A41" s="57">
        <v>37256</v>
      </c>
      <c r="C41" s="15"/>
      <c r="D41" s="457">
        <v>16328</v>
      </c>
    </row>
    <row r="42" spans="1:4" x14ac:dyDescent="0.2">
      <c r="A42" s="57">
        <v>37278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1">
        <v>383278</v>
      </c>
    </row>
    <row r="48" spans="1:4" x14ac:dyDescent="0.2">
      <c r="A48" s="49">
        <f>+A42</f>
        <v>37278</v>
      </c>
      <c r="B48" s="32"/>
      <c r="C48" s="32"/>
      <c r="D48" s="375">
        <f>+D39*summary!G4</f>
        <v>2643.9</v>
      </c>
    </row>
    <row r="49" spans="1:4" x14ac:dyDescent="0.2">
      <c r="A49" s="32"/>
      <c r="B49" s="32"/>
      <c r="C49" s="32"/>
      <c r="D49" s="200">
        <f>+D48+D47</f>
        <v>385921.9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-1877486</v>
      </c>
      <c r="I19" s="119">
        <f>+C37</f>
        <v>-1973484</v>
      </c>
      <c r="J19" s="119">
        <f>+I19-H19</f>
        <v>-95998</v>
      </c>
      <c r="K19" s="412">
        <f>+D38</f>
        <v>2.1</v>
      </c>
      <c r="L19" s="417">
        <f>+K19*J19</f>
        <v>-201595.80000000002</v>
      </c>
      <c r="M19" s="2"/>
      <c r="N19" s="34"/>
    </row>
    <row r="20" spans="1:14" x14ac:dyDescent="0.2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34494</v>
      </c>
      <c r="K24" s="408"/>
      <c r="L24" s="110">
        <f>+L19+L17</f>
        <v>-119910.70000000019</v>
      </c>
      <c r="M24" s="2"/>
      <c r="N24" s="34"/>
    </row>
    <row r="25" spans="1:14" x14ac:dyDescent="0.2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">
      <c r="A26" s="10">
        <v>21</v>
      </c>
      <c r="B26" s="129">
        <v>-44394</v>
      </c>
      <c r="C26" s="11">
        <v>-50000</v>
      </c>
      <c r="D26" s="25">
        <f t="shared" si="0"/>
        <v>-5606</v>
      </c>
      <c r="G26" s="2" t="s">
        <v>186</v>
      </c>
      <c r="H26" s="24"/>
      <c r="I26" s="24"/>
      <c r="J26" s="110"/>
      <c r="K26" s="408"/>
      <c r="L26" s="24">
        <f>+L24/K19</f>
        <v>-57100.333333333423</v>
      </c>
    </row>
    <row r="27" spans="1:14" x14ac:dyDescent="0.2">
      <c r="A27" s="10">
        <v>22</v>
      </c>
      <c r="B27" s="129">
        <v>-43663</v>
      </c>
      <c r="C27" s="11">
        <v>-50000</v>
      </c>
      <c r="D27" s="25">
        <f t="shared" si="0"/>
        <v>-6337</v>
      </c>
      <c r="G27" s="32"/>
      <c r="H27" s="24"/>
      <c r="I27" s="24"/>
      <c r="J27" s="110"/>
      <c r="K27" s="408"/>
      <c r="L27" s="110"/>
    </row>
    <row r="28" spans="1:14" x14ac:dyDescent="0.2">
      <c r="A28" s="10">
        <v>23</v>
      </c>
      <c r="B28" s="129">
        <v>-44134</v>
      </c>
      <c r="C28" s="11">
        <v>-50000</v>
      </c>
      <c r="D28" s="25">
        <f t="shared" si="0"/>
        <v>-5866</v>
      </c>
      <c r="G28" s="32"/>
      <c r="H28" s="24"/>
      <c r="I28" s="24"/>
      <c r="J28" s="110"/>
      <c r="K28" s="408"/>
      <c r="L28" s="110"/>
    </row>
    <row r="29" spans="1:14" x14ac:dyDescent="0.2">
      <c r="A29" s="10">
        <v>24</v>
      </c>
      <c r="B29" s="129">
        <v>-43048</v>
      </c>
      <c r="C29" s="11">
        <v>-50000</v>
      </c>
      <c r="D29" s="25">
        <f t="shared" si="0"/>
        <v>-6952</v>
      </c>
    </row>
    <row r="30" spans="1:14" x14ac:dyDescent="0.2">
      <c r="A30" s="10">
        <v>25</v>
      </c>
      <c r="B30" s="129">
        <v>-41991</v>
      </c>
      <c r="C30" s="11">
        <v>-50000</v>
      </c>
      <c r="D30" s="25">
        <f t="shared" si="0"/>
        <v>-8009</v>
      </c>
    </row>
    <row r="31" spans="1:14" x14ac:dyDescent="0.2">
      <c r="A31" s="10">
        <v>26</v>
      </c>
      <c r="B31" s="129">
        <v>-41997</v>
      </c>
      <c r="C31" s="11">
        <v>-45000</v>
      </c>
      <c r="D31" s="25">
        <f t="shared" si="0"/>
        <v>-3003</v>
      </c>
    </row>
    <row r="32" spans="1:14" x14ac:dyDescent="0.2">
      <c r="A32" s="10">
        <v>27</v>
      </c>
      <c r="B32" s="129">
        <v>-41784</v>
      </c>
      <c r="C32" s="11">
        <v>-45000</v>
      </c>
      <c r="D32" s="25">
        <f t="shared" si="0"/>
        <v>-3216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-1877486</v>
      </c>
      <c r="C37" s="11">
        <f>SUM(C6:C36)</f>
        <v>-1973484</v>
      </c>
      <c r="D37" s="25">
        <f>SUM(D6:D36)</f>
        <v>-95998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-201595.80000000002</v>
      </c>
    </row>
    <row r="40" spans="1:4" x14ac:dyDescent="0.2">
      <c r="A40" s="57">
        <v>37256</v>
      </c>
      <c r="C40" s="15"/>
      <c r="D40" s="529">
        <v>178976.97</v>
      </c>
    </row>
    <row r="41" spans="1:4" x14ac:dyDescent="0.2">
      <c r="A41" s="57">
        <v>37283</v>
      </c>
      <c r="C41" s="48"/>
      <c r="D41" s="138">
        <f>+D40+D39</f>
        <v>-22618.830000000016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173146</v>
      </c>
    </row>
    <row r="46" spans="1:4" x14ac:dyDescent="0.2">
      <c r="A46" s="49">
        <f>+A41</f>
        <v>37283</v>
      </c>
      <c r="B46" s="32"/>
      <c r="C46" s="32"/>
      <c r="D46" s="350">
        <f>+D37</f>
        <v>-95998</v>
      </c>
    </row>
    <row r="47" spans="1:4" x14ac:dyDescent="0.2">
      <c r="A47" s="32"/>
      <c r="B47" s="32"/>
      <c r="C47" s="32"/>
      <c r="D47" s="14">
        <f>+D46+D45</f>
        <v>77148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33" sqref="C33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">
      <c r="A26" s="10">
        <v>21</v>
      </c>
      <c r="B26" s="11">
        <v>27641</v>
      </c>
      <c r="C26" s="11">
        <v>28727</v>
      </c>
      <c r="D26" s="25">
        <f t="shared" si="0"/>
        <v>1086</v>
      </c>
    </row>
    <row r="27" spans="1:4" x14ac:dyDescent="0.2">
      <c r="A27" s="10">
        <v>22</v>
      </c>
      <c r="B27" s="11">
        <v>27458</v>
      </c>
      <c r="C27" s="11">
        <v>28727</v>
      </c>
      <c r="D27" s="25">
        <f t="shared" si="0"/>
        <v>1269</v>
      </c>
    </row>
    <row r="28" spans="1:4" x14ac:dyDescent="0.2">
      <c r="A28" s="10">
        <v>23</v>
      </c>
      <c r="B28" s="11">
        <v>30094</v>
      </c>
      <c r="C28" s="11">
        <v>28726</v>
      </c>
      <c r="D28" s="25">
        <f t="shared" si="0"/>
        <v>-1368</v>
      </c>
    </row>
    <row r="29" spans="1:4" x14ac:dyDescent="0.2">
      <c r="A29" s="10">
        <v>24</v>
      </c>
      <c r="B29" s="11">
        <v>28876</v>
      </c>
      <c r="C29" s="11">
        <v>28727</v>
      </c>
      <c r="D29" s="25">
        <f t="shared" si="0"/>
        <v>-149</v>
      </c>
    </row>
    <row r="30" spans="1:4" x14ac:dyDescent="0.2">
      <c r="A30" s="10">
        <v>25</v>
      </c>
      <c r="B30" s="11">
        <v>28518</v>
      </c>
      <c r="C30" s="11">
        <v>28727</v>
      </c>
      <c r="D30" s="25">
        <f t="shared" si="0"/>
        <v>209</v>
      </c>
    </row>
    <row r="31" spans="1:4" x14ac:dyDescent="0.2">
      <c r="A31" s="10">
        <v>26</v>
      </c>
      <c r="B31" s="11">
        <v>27427</v>
      </c>
      <c r="C31" s="11">
        <v>28600</v>
      </c>
      <c r="D31" s="25">
        <f t="shared" si="0"/>
        <v>1173</v>
      </c>
    </row>
    <row r="32" spans="1:4" x14ac:dyDescent="0.2">
      <c r="A32" s="10">
        <v>27</v>
      </c>
      <c r="B32" s="11">
        <v>28541</v>
      </c>
      <c r="C32" s="11">
        <v>28600</v>
      </c>
      <c r="D32" s="25">
        <f t="shared" si="0"/>
        <v>59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828102</v>
      </c>
      <c r="C37" s="11">
        <f>SUM(C6:C36)</f>
        <v>823802</v>
      </c>
      <c r="D37" s="25">
        <f>SUM(D6:D36)</f>
        <v>-4300</v>
      </c>
    </row>
    <row r="38" spans="1:4" x14ac:dyDescent="0.2">
      <c r="A38" s="26"/>
      <c r="B38" s="31"/>
      <c r="C38" s="14"/>
      <c r="D38" s="326">
        <f>+summary!G5</f>
        <v>2.11</v>
      </c>
    </row>
    <row r="39" spans="1:4" x14ac:dyDescent="0.2">
      <c r="D39" s="138">
        <f>+D38*D37</f>
        <v>-9073</v>
      </c>
    </row>
    <row r="40" spans="1:4" x14ac:dyDescent="0.2">
      <c r="A40" s="57">
        <v>37256</v>
      </c>
      <c r="C40" s="15"/>
      <c r="D40" s="529">
        <v>85001.93</v>
      </c>
    </row>
    <row r="41" spans="1:4" x14ac:dyDescent="0.2">
      <c r="A41" s="57">
        <v>37283</v>
      </c>
      <c r="C41" s="48"/>
      <c r="D41" s="138">
        <f>+D40+D39</f>
        <v>75928.929999999993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54581</v>
      </c>
    </row>
    <row r="46" spans="1:4" x14ac:dyDescent="0.2">
      <c r="A46" s="49">
        <f>+A41</f>
        <v>37283</v>
      </c>
      <c r="B46" s="32"/>
      <c r="C46" s="32"/>
      <c r="D46" s="350">
        <f>+D37</f>
        <v>-4300</v>
      </c>
    </row>
    <row r="47" spans="1:4" x14ac:dyDescent="0.2">
      <c r="A47" s="32"/>
      <c r="B47" s="32"/>
      <c r="C47" s="32"/>
      <c r="D47" s="14">
        <f>+D46+D45</f>
        <v>50281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0" workbookViewId="0">
      <selection activeCell="F30" sqref="F30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7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313108</v>
      </c>
      <c r="C24" s="11">
        <v>312195</v>
      </c>
      <c r="D24" s="11">
        <v>36330</v>
      </c>
      <c r="E24" s="11">
        <v>35667</v>
      </c>
      <c r="F24" s="11">
        <v>34101</v>
      </c>
      <c r="G24" s="11">
        <v>48505</v>
      </c>
      <c r="H24" s="11">
        <v>157490</v>
      </c>
      <c r="I24" s="11">
        <v>140887</v>
      </c>
      <c r="J24" s="11">
        <f t="shared" si="0"/>
        <v>-3775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305636</v>
      </c>
      <c r="C25" s="11">
        <v>310653</v>
      </c>
      <c r="D25" s="11">
        <v>41707</v>
      </c>
      <c r="E25" s="11">
        <v>39898</v>
      </c>
      <c r="F25" s="11">
        <v>47396</v>
      </c>
      <c r="G25" s="11">
        <v>46090</v>
      </c>
      <c r="H25" s="11">
        <v>144567</v>
      </c>
      <c r="I25" s="11">
        <v>142187</v>
      </c>
      <c r="J25" s="11">
        <f t="shared" si="0"/>
        <v>-478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343369</v>
      </c>
      <c r="C26" s="11">
        <v>345360</v>
      </c>
      <c r="D26" s="11">
        <v>39373</v>
      </c>
      <c r="E26" s="11">
        <v>38545</v>
      </c>
      <c r="F26" s="11">
        <v>48566</v>
      </c>
      <c r="G26" s="11">
        <v>48505</v>
      </c>
      <c r="H26" s="11">
        <v>144185</v>
      </c>
      <c r="I26" s="11">
        <v>145371</v>
      </c>
      <c r="J26" s="11">
        <f t="shared" si="0"/>
        <v>2288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344645</v>
      </c>
      <c r="C27" s="11">
        <v>346709</v>
      </c>
      <c r="D27" s="11">
        <v>41988</v>
      </c>
      <c r="E27" s="11">
        <v>39369</v>
      </c>
      <c r="F27" s="11">
        <v>42962</v>
      </c>
      <c r="G27" s="11">
        <v>42102</v>
      </c>
      <c r="H27" s="11">
        <v>131778</v>
      </c>
      <c r="I27" s="11">
        <v>129985</v>
      </c>
      <c r="J27" s="11">
        <f t="shared" si="0"/>
        <v>-3208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301204</v>
      </c>
      <c r="C28" s="11">
        <v>299954</v>
      </c>
      <c r="D28" s="11">
        <v>45019</v>
      </c>
      <c r="E28" s="11">
        <v>39679</v>
      </c>
      <c r="F28" s="11">
        <v>44464</v>
      </c>
      <c r="G28" s="11">
        <v>45039</v>
      </c>
      <c r="H28" s="11">
        <v>137179</v>
      </c>
      <c r="I28" s="11">
        <v>135495</v>
      </c>
      <c r="J28" s="11">
        <f t="shared" si="0"/>
        <v>-7699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>
        <v>275970</v>
      </c>
      <c r="C29" s="11">
        <v>292464</v>
      </c>
      <c r="D29" s="11">
        <v>44983</v>
      </c>
      <c r="E29" s="11">
        <v>40595</v>
      </c>
      <c r="F29" s="11">
        <v>43509</v>
      </c>
      <c r="G29" s="11">
        <v>44505</v>
      </c>
      <c r="H29" s="11">
        <v>136829</v>
      </c>
      <c r="I29" s="11">
        <v>130852</v>
      </c>
      <c r="J29" s="11">
        <f t="shared" si="0"/>
        <v>7125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7804156</v>
      </c>
      <c r="C35" s="11">
        <f t="shared" ref="C35:I35" si="3">SUM(C4:C34)</f>
        <v>7804521</v>
      </c>
      <c r="D35" s="11">
        <f t="shared" si="3"/>
        <v>1018423</v>
      </c>
      <c r="E35" s="11">
        <f t="shared" si="3"/>
        <v>1023232</v>
      </c>
      <c r="F35" s="11">
        <f t="shared" si="3"/>
        <v>1095078</v>
      </c>
      <c r="G35" s="11">
        <f t="shared" si="3"/>
        <v>1197247</v>
      </c>
      <c r="H35" s="11">
        <f t="shared" si="3"/>
        <v>3376078</v>
      </c>
      <c r="I35" s="11">
        <f t="shared" si="3"/>
        <v>3298591</v>
      </c>
      <c r="J35" s="11">
        <f>SUM(J4:J34)</f>
        <v>29856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88">
        <v>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">
      <c r="A40" s="33">
        <v>37282</v>
      </c>
      <c r="J40" s="51">
        <f>+J38+J35</f>
        <v>29856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8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37282</v>
      </c>
      <c r="B47" s="32"/>
      <c r="C47" s="32"/>
      <c r="D47" s="375">
        <f>+J35*'by type_area'!G3</f>
        <v>62100.480000000003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62100.480000000003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9"/>
      <c r="S295" s="1"/>
    </row>
    <row r="296" spans="9:21" x14ac:dyDescent="0.2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9"/>
      <c r="S337" s="1"/>
    </row>
    <row r="338" spans="11:21" x14ac:dyDescent="0.2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9"/>
      <c r="S379" s="1"/>
    </row>
    <row r="380" spans="11:21" x14ac:dyDescent="0.2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9"/>
      <c r="S423" s="1"/>
    </row>
    <row r="424" spans="11:21" x14ac:dyDescent="0.2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31" workbookViewId="0">
      <selection activeCell="C38" sqref="C38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">
      <c r="A26" s="10">
        <v>21</v>
      </c>
      <c r="B26" s="11">
        <v>47402</v>
      </c>
      <c r="C26" s="11">
        <v>49004</v>
      </c>
      <c r="D26" s="25">
        <f t="shared" si="0"/>
        <v>1602</v>
      </c>
    </row>
    <row r="27" spans="1:4" x14ac:dyDescent="0.2">
      <c r="A27" s="10">
        <v>22</v>
      </c>
      <c r="B27" s="11">
        <v>56240</v>
      </c>
      <c r="C27" s="11">
        <v>57866</v>
      </c>
      <c r="D27" s="25">
        <f t="shared" si="0"/>
        <v>1626</v>
      </c>
    </row>
    <row r="28" spans="1:4" x14ac:dyDescent="0.2">
      <c r="A28" s="10">
        <v>23</v>
      </c>
      <c r="B28" s="11">
        <v>43863</v>
      </c>
      <c r="C28" s="11">
        <v>42889</v>
      </c>
      <c r="D28" s="25">
        <f t="shared" si="0"/>
        <v>-974</v>
      </c>
    </row>
    <row r="29" spans="1:4" x14ac:dyDescent="0.2">
      <c r="A29" s="10">
        <v>24</v>
      </c>
      <c r="B29" s="11">
        <v>34764</v>
      </c>
      <c r="C29" s="11">
        <v>33119</v>
      </c>
      <c r="D29" s="25">
        <f t="shared" si="0"/>
        <v>-1645</v>
      </c>
    </row>
    <row r="30" spans="1:4" x14ac:dyDescent="0.2">
      <c r="A30" s="10">
        <v>25</v>
      </c>
      <c r="B30" s="11">
        <v>38311</v>
      </c>
      <c r="C30" s="11">
        <v>38495</v>
      </c>
      <c r="D30" s="25">
        <f t="shared" si="0"/>
        <v>184</v>
      </c>
    </row>
    <row r="31" spans="1:4" x14ac:dyDescent="0.2">
      <c r="A31" s="10">
        <v>26</v>
      </c>
      <c r="B31" s="11">
        <v>48358</v>
      </c>
      <c r="C31" s="11">
        <v>48579</v>
      </c>
      <c r="D31" s="25">
        <f t="shared" si="0"/>
        <v>221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1219482</v>
      </c>
      <c r="C37" s="11">
        <f>SUM(C6:C36)</f>
        <v>1218651</v>
      </c>
      <c r="D37" s="25">
        <f>SUM(D6:D36)</f>
        <v>-831</v>
      </c>
    </row>
    <row r="38" spans="1:4" x14ac:dyDescent="0.2">
      <c r="A38" s="26"/>
      <c r="C38" s="14"/>
      <c r="D38" s="326">
        <f>+summary!G5</f>
        <v>2.11</v>
      </c>
    </row>
    <row r="39" spans="1:4" x14ac:dyDescent="0.2">
      <c r="D39" s="138">
        <f>+D38*D37</f>
        <v>-1753.4099999999999</v>
      </c>
    </row>
    <row r="40" spans="1:4" x14ac:dyDescent="0.2">
      <c r="A40" s="57">
        <v>37256</v>
      </c>
      <c r="C40" s="15"/>
      <c r="D40" s="532">
        <v>40735.550000000003</v>
      </c>
    </row>
    <row r="41" spans="1:4" x14ac:dyDescent="0.2">
      <c r="A41" s="57">
        <v>37282</v>
      </c>
      <c r="C41" s="48"/>
      <c r="D41" s="138">
        <f>+D40+D39</f>
        <v>38982.14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19256</v>
      </c>
    </row>
    <row r="47" spans="1:4" x14ac:dyDescent="0.2">
      <c r="A47" s="49">
        <f>+A41</f>
        <v>37282</v>
      </c>
      <c r="B47" s="32"/>
      <c r="C47" s="32"/>
      <c r="D47" s="350">
        <f>+D37</f>
        <v>-831</v>
      </c>
    </row>
    <row r="48" spans="1:4" x14ac:dyDescent="0.2">
      <c r="A48" s="32"/>
      <c r="B48" s="32"/>
      <c r="C48" s="32"/>
      <c r="D48" s="14">
        <f>+D47+D46</f>
        <v>18425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7" workbookViewId="0">
      <selection activeCell="B32" sqref="B3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2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5" thickBot="1" x14ac:dyDescent="0.25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">
      <c r="A26" s="10">
        <v>21</v>
      </c>
      <c r="B26" s="11">
        <v>-2043</v>
      </c>
      <c r="C26" s="11"/>
      <c r="D26" s="25">
        <f t="shared" si="0"/>
        <v>2043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-2082</v>
      </c>
      <c r="C27" s="11"/>
      <c r="D27" s="25">
        <f t="shared" si="0"/>
        <v>2082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-2043</v>
      </c>
      <c r="C28" s="11"/>
      <c r="D28" s="25">
        <f t="shared" si="0"/>
        <v>2043</v>
      </c>
    </row>
    <row r="29" spans="1:15" x14ac:dyDescent="0.2">
      <c r="A29" s="10">
        <v>24</v>
      </c>
      <c r="B29" s="11">
        <v>-37</v>
      </c>
      <c r="C29" s="11"/>
      <c r="D29" s="25">
        <f t="shared" si="0"/>
        <v>37</v>
      </c>
    </row>
    <row r="30" spans="1:15" x14ac:dyDescent="0.2">
      <c r="A30" s="10">
        <v>25</v>
      </c>
      <c r="B30" s="11">
        <v>-3</v>
      </c>
      <c r="C30" s="11"/>
      <c r="D30" s="25">
        <f t="shared" si="0"/>
        <v>3</v>
      </c>
    </row>
    <row r="31" spans="1:15" x14ac:dyDescent="0.2">
      <c r="A31" s="10">
        <v>26</v>
      </c>
      <c r="B31" s="11">
        <v>-2</v>
      </c>
      <c r="C31" s="11"/>
      <c r="D31" s="25">
        <f t="shared" si="0"/>
        <v>2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-29343</v>
      </c>
      <c r="C37" s="11">
        <f>SUM(C6:C36)</f>
        <v>908</v>
      </c>
      <c r="D37" s="25">
        <f>SUM(D6:D36)</f>
        <v>30251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63527.100000000006</v>
      </c>
    </row>
    <row r="40" spans="1:4" x14ac:dyDescent="0.2">
      <c r="A40" s="57">
        <v>37256</v>
      </c>
      <c r="C40" s="15"/>
      <c r="D40" s="529">
        <v>-355805</v>
      </c>
    </row>
    <row r="41" spans="1:4" x14ac:dyDescent="0.2">
      <c r="A41" s="57">
        <v>37282</v>
      </c>
      <c r="C41" s="48"/>
      <c r="D41" s="138">
        <f>+D40+D39</f>
        <v>-292277.90000000002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24">
        <v>-44621</v>
      </c>
    </row>
    <row r="49" spans="1:4" x14ac:dyDescent="0.2">
      <c r="A49" s="49">
        <f>+A41</f>
        <v>37282</v>
      </c>
      <c r="B49" s="32"/>
      <c r="C49" s="32"/>
      <c r="D49" s="350">
        <f>+D37</f>
        <v>30251</v>
      </c>
    </row>
    <row r="50" spans="1:4" x14ac:dyDescent="0.2">
      <c r="A50" s="32"/>
      <c r="B50" s="32"/>
      <c r="C50" s="32"/>
      <c r="D50" s="14">
        <f>+D49+D48</f>
        <v>-14370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C33" sqref="C3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">
      <c r="A26" s="10">
        <v>21</v>
      </c>
      <c r="B26" s="11">
        <v>-62000</v>
      </c>
      <c r="C26" s="11">
        <v>-53000</v>
      </c>
      <c r="D26" s="25">
        <f t="shared" si="0"/>
        <v>9000</v>
      </c>
    </row>
    <row r="27" spans="1:4" x14ac:dyDescent="0.2">
      <c r="A27" s="10">
        <v>22</v>
      </c>
      <c r="B27" s="11">
        <v>-63289</v>
      </c>
      <c r="C27" s="11">
        <v>-58000</v>
      </c>
      <c r="D27" s="25">
        <f t="shared" si="0"/>
        <v>5289</v>
      </c>
    </row>
    <row r="28" spans="1:4" x14ac:dyDescent="0.2">
      <c r="A28" s="10">
        <v>23</v>
      </c>
      <c r="B28" s="11">
        <v>-59443</v>
      </c>
      <c r="C28" s="11">
        <v>-55000</v>
      </c>
      <c r="D28" s="25">
        <f t="shared" si="0"/>
        <v>4443</v>
      </c>
    </row>
    <row r="29" spans="1:4" x14ac:dyDescent="0.2">
      <c r="A29" s="10">
        <v>24</v>
      </c>
      <c r="B29" s="11">
        <v>-48405</v>
      </c>
      <c r="C29" s="11">
        <v>-57000</v>
      </c>
      <c r="D29" s="25">
        <f t="shared" si="0"/>
        <v>-8595</v>
      </c>
    </row>
    <row r="30" spans="1:4" x14ac:dyDescent="0.2">
      <c r="A30" s="10">
        <v>25</v>
      </c>
      <c r="B30" s="11">
        <v>-3</v>
      </c>
      <c r="C30" s="11"/>
      <c r="D30" s="25">
        <f t="shared" si="0"/>
        <v>3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>
        <v>-6727</v>
      </c>
      <c r="C32" s="11">
        <v>-9500</v>
      </c>
      <c r="D32" s="25">
        <f t="shared" si="0"/>
        <v>-2773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-362308</v>
      </c>
      <c r="C37" s="11">
        <f>SUM(C6:C36)</f>
        <v>-388711</v>
      </c>
      <c r="D37" s="25">
        <f>SUM(D6:D36)</f>
        <v>-26403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-55446.3</v>
      </c>
    </row>
    <row r="40" spans="1:4" x14ac:dyDescent="0.2">
      <c r="A40" s="57">
        <v>37256</v>
      </c>
      <c r="C40" s="15"/>
      <c r="D40" s="529">
        <v>67742.52</v>
      </c>
    </row>
    <row r="41" spans="1:4" x14ac:dyDescent="0.2">
      <c r="A41" s="57">
        <v>37283</v>
      </c>
      <c r="C41" s="48"/>
      <c r="D41" s="138">
        <f>+D40+D39</f>
        <v>12296.220000000001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36151</v>
      </c>
    </row>
    <row r="47" spans="1:4" x14ac:dyDescent="0.2">
      <c r="A47" s="49">
        <f>+A41</f>
        <v>37283</v>
      </c>
      <c r="B47" s="32"/>
      <c r="C47" s="32"/>
      <c r="D47" s="350">
        <f>+D37</f>
        <v>-26403</v>
      </c>
    </row>
    <row r="48" spans="1:4" x14ac:dyDescent="0.2">
      <c r="A48" s="32"/>
      <c r="B48" s="32"/>
      <c r="C48" s="32"/>
      <c r="D48" s="14">
        <f>+D47+D46</f>
        <v>9748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A19" sqref="A1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-47</v>
      </c>
      <c r="C5" s="90">
        <v>-3150</v>
      </c>
      <c r="D5" s="90">
        <f>+C5-B5</f>
        <v>-3103</v>
      </c>
      <c r="E5" s="275"/>
      <c r="F5" s="273"/>
    </row>
    <row r="6" spans="1:13" x14ac:dyDescent="0.2">
      <c r="A6" s="87">
        <v>500046</v>
      </c>
      <c r="B6" s="90">
        <v>-16889</v>
      </c>
      <c r="C6" s="90"/>
      <c r="D6" s="90">
        <f t="shared" ref="D6:D11" si="0">+C6-B6</f>
        <v>16889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-23976</v>
      </c>
      <c r="C8" s="90">
        <v>-43375</v>
      </c>
      <c r="D8" s="90">
        <f t="shared" si="0"/>
        <v>-19399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-5613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2.1</v>
      </c>
      <c r="E13" s="277"/>
      <c r="F13" s="273"/>
    </row>
    <row r="14" spans="1:13" x14ac:dyDescent="0.2">
      <c r="A14" s="87"/>
      <c r="B14" s="88"/>
      <c r="C14" s="88"/>
      <c r="D14" s="96">
        <f>+D13*D12</f>
        <v>-11787.300000000001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0">
        <v>-537692.79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37282</v>
      </c>
      <c r="B18" s="88"/>
      <c r="C18" s="88"/>
      <c r="D18" s="318">
        <f>+D16+D14</f>
        <v>-549480.09000000008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24">
        <v>-36823</v>
      </c>
    </row>
    <row r="23" spans="1:7" x14ac:dyDescent="0.2">
      <c r="A23" s="49"/>
      <c r="B23" s="32"/>
      <c r="C23" s="32"/>
      <c r="D23" s="350">
        <f>+D12</f>
        <v>-5613</v>
      </c>
    </row>
    <row r="24" spans="1:7" x14ac:dyDescent="0.2">
      <c r="A24" s="49">
        <f>+A18</f>
        <v>37282</v>
      </c>
      <c r="B24" s="32"/>
      <c r="C24" s="32"/>
      <c r="D24" s="14">
        <f>+D23+D22</f>
        <v>-42436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A42" sqref="A4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">
      <c r="A26" s="10">
        <v>21</v>
      </c>
      <c r="B26" s="11">
        <v>-42980</v>
      </c>
      <c r="C26" s="11">
        <v>-43709</v>
      </c>
      <c r="D26" s="25">
        <f t="shared" si="0"/>
        <v>-729</v>
      </c>
    </row>
    <row r="27" spans="1:4" x14ac:dyDescent="0.2">
      <c r="A27" s="10">
        <v>22</v>
      </c>
      <c r="B27" s="11">
        <v>-16682</v>
      </c>
      <c r="C27" s="11">
        <v>-7709</v>
      </c>
      <c r="D27" s="25">
        <f t="shared" si="0"/>
        <v>8973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>
        <v>-305</v>
      </c>
      <c r="D29" s="25">
        <f t="shared" si="0"/>
        <v>-305</v>
      </c>
    </row>
    <row r="30" spans="1:4" x14ac:dyDescent="0.2">
      <c r="A30" s="10">
        <v>25</v>
      </c>
      <c r="B30" s="129">
        <v>-4405</v>
      </c>
      <c r="C30" s="11">
        <v>-3000</v>
      </c>
      <c r="D30" s="25">
        <f t="shared" si="0"/>
        <v>1405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-617701</v>
      </c>
      <c r="C37" s="11">
        <f>SUM(C6:C36)</f>
        <v>-617140</v>
      </c>
      <c r="D37" s="25">
        <f>SUM(D6:D36)</f>
        <v>561</v>
      </c>
    </row>
    <row r="38" spans="1:4" x14ac:dyDescent="0.2">
      <c r="A38" s="26"/>
      <c r="C38" s="14"/>
      <c r="D38" s="339"/>
    </row>
    <row r="39" spans="1:4" x14ac:dyDescent="0.2">
      <c r="D39" s="138"/>
    </row>
    <row r="40" spans="1:4" x14ac:dyDescent="0.2">
      <c r="A40" s="57">
        <v>37256</v>
      </c>
      <c r="C40" s="15"/>
      <c r="D40" s="488">
        <v>-14315</v>
      </c>
    </row>
    <row r="41" spans="1:4" x14ac:dyDescent="0.2">
      <c r="A41" s="57">
        <v>37283</v>
      </c>
      <c r="C41" s="48"/>
      <c r="D41" s="25">
        <f>+D40+D37</f>
        <v>-13754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87">
        <v>163235</v>
      </c>
    </row>
    <row r="46" spans="1:4" x14ac:dyDescent="0.2">
      <c r="A46" s="49">
        <f>+A41</f>
        <v>37283</v>
      </c>
      <c r="B46" s="32"/>
      <c r="C46" s="32"/>
      <c r="D46" s="375">
        <f>+D37*'by type_area'!G4</f>
        <v>1178.1000000000001</v>
      </c>
    </row>
    <row r="47" spans="1:4" x14ac:dyDescent="0.2">
      <c r="A47" s="32"/>
      <c r="B47" s="32"/>
      <c r="C47" s="32"/>
      <c r="D47" s="200">
        <f>+D46+D45</f>
        <v>164413.1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2.11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29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-51454</v>
      </c>
    </row>
    <row r="47" spans="1:4" x14ac:dyDescent="0.2">
      <c r="A47" s="49">
        <f>+A41</f>
        <v>37256</v>
      </c>
      <c r="B47" s="32"/>
      <c r="C47" s="32"/>
      <c r="D47" s="459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0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>
        <v>-159</v>
      </c>
      <c r="C26" s="11">
        <v>-170</v>
      </c>
      <c r="D26" s="11"/>
      <c r="E26" s="11"/>
      <c r="F26" s="11">
        <v>-864</v>
      </c>
      <c r="G26" s="11">
        <v>-1050</v>
      </c>
      <c r="H26" s="11"/>
      <c r="I26" s="11"/>
      <c r="J26" s="11">
        <f t="shared" si="0"/>
        <v>-197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>
        <v>-148</v>
      </c>
      <c r="C27" s="11">
        <v>-170</v>
      </c>
      <c r="D27" s="11"/>
      <c r="E27" s="11"/>
      <c r="F27" s="11">
        <v>-668</v>
      </c>
      <c r="G27" s="11">
        <v>-1050</v>
      </c>
      <c r="H27" s="11"/>
      <c r="I27" s="11"/>
      <c r="J27" s="11">
        <f t="shared" si="0"/>
        <v>-404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>
        <v>-165</v>
      </c>
      <c r="C28" s="11">
        <v>-170</v>
      </c>
      <c r="D28" s="11"/>
      <c r="E28" s="11"/>
      <c r="F28" s="11">
        <v>-796</v>
      </c>
      <c r="G28" s="11">
        <v>-1050</v>
      </c>
      <c r="H28" s="11"/>
      <c r="I28" s="11"/>
      <c r="J28" s="11">
        <f t="shared" si="0"/>
        <v>-259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>
        <v>-156</v>
      </c>
      <c r="C29" s="11">
        <v>-170</v>
      </c>
      <c r="D29" s="11"/>
      <c r="E29" s="11"/>
      <c r="F29" s="11">
        <v>-1331</v>
      </c>
      <c r="G29" s="11">
        <v>-1050</v>
      </c>
      <c r="H29" s="11"/>
      <c r="I29" s="11"/>
      <c r="J29" s="11">
        <f t="shared" si="0"/>
        <v>267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>
        <v>-148</v>
      </c>
      <c r="C30" s="11">
        <v>-170</v>
      </c>
      <c r="D30" s="11"/>
      <c r="E30" s="11"/>
      <c r="F30" s="11">
        <v>-1108</v>
      </c>
      <c r="G30" s="11">
        <v>-1050</v>
      </c>
      <c r="H30" s="11"/>
      <c r="I30" s="11"/>
      <c r="J30" s="11">
        <f t="shared" si="0"/>
        <v>36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>
        <v>-156</v>
      </c>
      <c r="C31" s="11">
        <v>-170</v>
      </c>
      <c r="D31" s="11"/>
      <c r="E31" s="11"/>
      <c r="F31" s="11">
        <v>-942</v>
      </c>
      <c r="G31" s="11">
        <v>-1050</v>
      </c>
      <c r="H31" s="11"/>
      <c r="I31" s="11"/>
      <c r="J31" s="11">
        <f t="shared" si="0"/>
        <v>-122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-4023</v>
      </c>
      <c r="C37" s="11">
        <f t="shared" ref="C37:I37" si="1">SUM(C6:C36)</f>
        <v>-4420</v>
      </c>
      <c r="D37" s="11">
        <f t="shared" si="1"/>
        <v>0</v>
      </c>
      <c r="E37" s="11">
        <f t="shared" si="1"/>
        <v>0</v>
      </c>
      <c r="F37" s="11">
        <f t="shared" si="1"/>
        <v>-27564</v>
      </c>
      <c r="G37" s="11">
        <f t="shared" si="1"/>
        <v>-27300</v>
      </c>
      <c r="H37" s="11">
        <f t="shared" si="1"/>
        <v>0</v>
      </c>
      <c r="I37" s="11">
        <f t="shared" si="1"/>
        <v>0</v>
      </c>
      <c r="J37" s="11">
        <f>SUM(J6:J36)</f>
        <v>-133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2.1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-279.3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34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37282</v>
      </c>
      <c r="J43" s="319">
        <f>+J41+J39</f>
        <v>-35819.630000000005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24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37282</v>
      </c>
      <c r="B49" s="32"/>
      <c r="C49" s="32"/>
      <c r="D49" s="350">
        <f>+J37</f>
        <v>-133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-3567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301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303</v>
      </c>
      <c r="C4" s="4"/>
      <c r="D4" s="38" t="s">
        <v>304</v>
      </c>
      <c r="E4" s="4"/>
      <c r="F4" s="38" t="s">
        <v>305</v>
      </c>
      <c r="G4" s="4"/>
      <c r="H4" s="38" t="s">
        <v>306</v>
      </c>
      <c r="I4" s="4"/>
      <c r="J4" s="38" t="s">
        <v>307</v>
      </c>
      <c r="K4" s="4"/>
      <c r="L4" s="38" t="s">
        <v>308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9"/>
      <c r="C6" s="11"/>
      <c r="D6" s="499"/>
      <c r="E6" s="11"/>
      <c r="F6" s="499"/>
      <c r="G6" s="11"/>
      <c r="H6" s="499"/>
      <c r="I6" s="11"/>
      <c r="J6" s="499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9"/>
      <c r="C7" s="11"/>
      <c r="D7" s="499"/>
      <c r="E7" s="11"/>
      <c r="F7" s="499"/>
      <c r="G7" s="11"/>
      <c r="H7" s="499"/>
      <c r="I7" s="11"/>
      <c r="J7" s="499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9"/>
      <c r="C8" s="11"/>
      <c r="D8" s="499"/>
      <c r="E8" s="11"/>
      <c r="F8" s="499"/>
      <c r="G8" s="11"/>
      <c r="H8" s="499"/>
      <c r="I8" s="11"/>
      <c r="J8" s="499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9"/>
      <c r="C9" s="11"/>
      <c r="D9" s="499"/>
      <c r="E9" s="11"/>
      <c r="F9" s="499"/>
      <c r="G9" s="11"/>
      <c r="H9" s="499"/>
      <c r="I9" s="11"/>
      <c r="J9" s="499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9"/>
      <c r="C10" s="11"/>
      <c r="D10" s="499"/>
      <c r="E10" s="11"/>
      <c r="F10" s="499"/>
      <c r="G10" s="11"/>
      <c r="H10" s="499"/>
      <c r="I10" s="11"/>
      <c r="J10" s="499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9"/>
      <c r="C11" s="11"/>
      <c r="D11" s="499"/>
      <c r="E11" s="11"/>
      <c r="F11" s="499"/>
      <c r="G11" s="11"/>
      <c r="H11" s="499"/>
      <c r="I11" s="11"/>
      <c r="J11" s="499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9"/>
      <c r="C12" s="11"/>
      <c r="D12" s="499"/>
      <c r="E12" s="11"/>
      <c r="F12" s="499"/>
      <c r="G12" s="11"/>
      <c r="H12" s="499"/>
      <c r="I12" s="11"/>
      <c r="J12" s="499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9"/>
      <c r="C13" s="11"/>
      <c r="D13" s="499"/>
      <c r="E13" s="11"/>
      <c r="F13" s="499"/>
      <c r="G13" s="11"/>
      <c r="H13" s="499"/>
      <c r="I13" s="11"/>
      <c r="J13" s="499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9"/>
      <c r="C14" s="11"/>
      <c r="D14" s="499"/>
      <c r="E14" s="11"/>
      <c r="F14" s="499"/>
      <c r="G14" s="11"/>
      <c r="H14" s="499"/>
      <c r="I14" s="11"/>
      <c r="J14" s="499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9"/>
      <c r="C15" s="11"/>
      <c r="D15" s="499"/>
      <c r="E15" s="11"/>
      <c r="F15" s="499"/>
      <c r="G15" s="11"/>
      <c r="H15" s="499"/>
      <c r="I15" s="11"/>
      <c r="J15" s="499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9"/>
      <c r="C16" s="11"/>
      <c r="D16" s="499"/>
      <c r="E16" s="11"/>
      <c r="F16" s="499"/>
      <c r="G16" s="11"/>
      <c r="H16" s="499"/>
      <c r="I16" s="11"/>
      <c r="J16" s="499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9"/>
      <c r="C17" s="11"/>
      <c r="D17" s="499"/>
      <c r="E17" s="11"/>
      <c r="F17" s="499"/>
      <c r="G17" s="11"/>
      <c r="H17" s="499"/>
      <c r="I17" s="11"/>
      <c r="J17" s="499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9"/>
      <c r="C18" s="11"/>
      <c r="D18" s="499"/>
      <c r="E18" s="11"/>
      <c r="F18" s="499"/>
      <c r="G18" s="11"/>
      <c r="H18" s="499"/>
      <c r="I18" s="11"/>
      <c r="J18" s="499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9"/>
      <c r="C19" s="11"/>
      <c r="D19" s="499"/>
      <c r="E19" s="11"/>
      <c r="F19" s="499"/>
      <c r="G19" s="11"/>
      <c r="H19" s="499"/>
      <c r="I19" s="11"/>
      <c r="J19" s="499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9"/>
      <c r="C20" s="11"/>
      <c r="D20" s="499"/>
      <c r="E20" s="11"/>
      <c r="F20" s="499"/>
      <c r="G20" s="11"/>
      <c r="H20" s="499"/>
      <c r="I20" s="11"/>
      <c r="J20" s="499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9"/>
      <c r="C21" s="11"/>
      <c r="D21" s="499"/>
      <c r="E21" s="11"/>
      <c r="F21" s="499"/>
      <c r="G21" s="11"/>
      <c r="H21" s="499"/>
      <c r="I21" s="11"/>
      <c r="J21" s="499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9"/>
      <c r="C22" s="11"/>
      <c r="D22" s="499"/>
      <c r="E22" s="11"/>
      <c r="F22" s="499"/>
      <c r="G22" s="11"/>
      <c r="H22" s="499"/>
      <c r="I22" s="11"/>
      <c r="J22" s="499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9"/>
      <c r="C23" s="11"/>
      <c r="D23" s="499"/>
      <c r="E23" s="11"/>
      <c r="F23" s="499"/>
      <c r="G23" s="11"/>
      <c r="H23" s="499"/>
      <c r="I23" s="11"/>
      <c r="J23" s="499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9"/>
      <c r="C24" s="11"/>
      <c r="D24" s="499"/>
      <c r="E24" s="11"/>
      <c r="F24" s="499"/>
      <c r="G24" s="11"/>
      <c r="H24" s="499"/>
      <c r="I24" s="11"/>
      <c r="J24" s="499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9"/>
      <c r="C25" s="11"/>
      <c r="D25" s="499"/>
      <c r="E25" s="11"/>
      <c r="F25" s="499"/>
      <c r="G25" s="11"/>
      <c r="H25" s="499"/>
      <c r="I25" s="11"/>
      <c r="J25" s="499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9"/>
      <c r="C26" s="11"/>
      <c r="D26" s="499"/>
      <c r="E26" s="11"/>
      <c r="F26" s="499"/>
      <c r="G26" s="11"/>
      <c r="H26" s="499"/>
      <c r="I26" s="11"/>
      <c r="J26" s="499"/>
      <c r="K26" s="11"/>
      <c r="L26" s="11">
        <v>-850</v>
      </c>
      <c r="M26" s="11">
        <v>-778</v>
      </c>
      <c r="N26" s="11">
        <f t="shared" si="0"/>
        <v>72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9"/>
      <c r="C27" s="11"/>
      <c r="D27" s="499"/>
      <c r="E27" s="11"/>
      <c r="F27" s="499"/>
      <c r="G27" s="11"/>
      <c r="H27" s="499"/>
      <c r="I27" s="11"/>
      <c r="J27" s="499"/>
      <c r="K27" s="11"/>
      <c r="L27" s="11">
        <v>-1060</v>
      </c>
      <c r="M27" s="11">
        <v>-778</v>
      </c>
      <c r="N27" s="11">
        <f t="shared" si="0"/>
        <v>282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9"/>
      <c r="C28" s="11"/>
      <c r="D28" s="499"/>
      <c r="E28" s="11"/>
      <c r="F28" s="499"/>
      <c r="G28" s="11"/>
      <c r="H28" s="499"/>
      <c r="I28" s="11"/>
      <c r="J28" s="499"/>
      <c r="K28" s="11"/>
      <c r="L28" s="11">
        <v>-1040</v>
      </c>
      <c r="M28" s="11">
        <v>-1765</v>
      </c>
      <c r="N28" s="11">
        <f t="shared" si="0"/>
        <v>-725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9"/>
      <c r="C29" s="11"/>
      <c r="D29" s="499"/>
      <c r="E29" s="11"/>
      <c r="F29" s="499"/>
      <c r="G29" s="11"/>
      <c r="H29" s="499"/>
      <c r="I29" s="11"/>
      <c r="J29" s="499"/>
      <c r="K29" s="11"/>
      <c r="L29" s="11">
        <v>-3584</v>
      </c>
      <c r="M29" s="11">
        <v>-1778</v>
      </c>
      <c r="N29" s="11">
        <f t="shared" si="0"/>
        <v>1806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9"/>
      <c r="C30" s="11"/>
      <c r="D30" s="499"/>
      <c r="E30" s="11"/>
      <c r="F30" s="499"/>
      <c r="G30" s="11"/>
      <c r="H30" s="499"/>
      <c r="I30" s="11"/>
      <c r="J30" s="499"/>
      <c r="K30" s="11"/>
      <c r="L30" s="11">
        <v>-185</v>
      </c>
      <c r="M30" s="11">
        <v>-1778</v>
      </c>
      <c r="N30" s="11">
        <f t="shared" si="0"/>
        <v>-1593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>
        <v>-700</v>
      </c>
      <c r="M31" s="11">
        <v>-1778</v>
      </c>
      <c r="N31" s="11">
        <f t="shared" si="0"/>
        <v>-1078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-23045</v>
      </c>
      <c r="M37" s="11">
        <f>SUM(M6:M36)</f>
        <v>-21851</v>
      </c>
      <c r="N37" s="11">
        <f t="shared" si="1"/>
        <v>1194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2.1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2507.4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34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37282</v>
      </c>
      <c r="N43" s="319">
        <f>+N41+N39</f>
        <v>34195.89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24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37282</v>
      </c>
      <c r="B49" s="32"/>
      <c r="C49" s="32"/>
      <c r="D49" s="350">
        <f>+N37</f>
        <v>1194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12875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">
      <c r="A26" s="10">
        <v>21</v>
      </c>
      <c r="B26" s="11">
        <v>244</v>
      </c>
      <c r="C26" s="11">
        <v>150</v>
      </c>
      <c r="D26" s="25">
        <f t="shared" si="0"/>
        <v>-94</v>
      </c>
    </row>
    <row r="27" spans="1:4" x14ac:dyDescent="0.2">
      <c r="A27" s="10">
        <v>22</v>
      </c>
      <c r="B27" s="11">
        <v>225</v>
      </c>
      <c r="C27" s="11">
        <v>150</v>
      </c>
      <c r="D27" s="25">
        <f t="shared" si="0"/>
        <v>-75</v>
      </c>
    </row>
    <row r="28" spans="1:4" x14ac:dyDescent="0.2">
      <c r="A28" s="10">
        <v>23</v>
      </c>
      <c r="B28" s="11">
        <v>260</v>
      </c>
      <c r="C28" s="11">
        <v>150</v>
      </c>
      <c r="D28" s="25">
        <f t="shared" si="0"/>
        <v>-110</v>
      </c>
    </row>
    <row r="29" spans="1:4" x14ac:dyDescent="0.2">
      <c r="A29" s="10">
        <v>24</v>
      </c>
      <c r="B29" s="11">
        <v>287</v>
      </c>
      <c r="C29" s="11">
        <v>150</v>
      </c>
      <c r="D29" s="25">
        <f t="shared" si="0"/>
        <v>-137</v>
      </c>
    </row>
    <row r="30" spans="1:4" x14ac:dyDescent="0.2">
      <c r="A30" s="10">
        <v>25</v>
      </c>
      <c r="B30" s="11">
        <v>230</v>
      </c>
      <c r="C30" s="11">
        <v>150</v>
      </c>
      <c r="D30" s="25">
        <f t="shared" si="0"/>
        <v>-80</v>
      </c>
    </row>
    <row r="31" spans="1:4" x14ac:dyDescent="0.2">
      <c r="A31" s="10">
        <v>26</v>
      </c>
      <c r="B31" s="11">
        <v>232</v>
      </c>
      <c r="C31" s="11">
        <v>150</v>
      </c>
      <c r="D31" s="25">
        <f t="shared" si="0"/>
        <v>-82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6199</v>
      </c>
      <c r="C37" s="11">
        <f>SUM(C6:C36)</f>
        <v>3900</v>
      </c>
      <c r="D37" s="25">
        <f>SUM(D6:D36)</f>
        <v>-2299</v>
      </c>
    </row>
    <row r="38" spans="1:4" x14ac:dyDescent="0.2">
      <c r="A38" s="26"/>
      <c r="C38" s="14"/>
      <c r="D38" s="326">
        <f>+summary!G5</f>
        <v>2.11</v>
      </c>
    </row>
    <row r="39" spans="1:4" x14ac:dyDescent="0.2">
      <c r="D39" s="138">
        <f>+D38*D37</f>
        <v>-4850.8899999999994</v>
      </c>
    </row>
    <row r="40" spans="1:4" x14ac:dyDescent="0.2">
      <c r="A40" s="57">
        <v>37256</v>
      </c>
      <c r="C40" s="15"/>
      <c r="D40" s="529">
        <v>180048.98</v>
      </c>
    </row>
    <row r="41" spans="1:4" x14ac:dyDescent="0.2">
      <c r="A41" s="57">
        <v>37282</v>
      </c>
      <c r="C41" s="48"/>
      <c r="D41" s="138">
        <f>+D40+D39</f>
        <v>175198.09000000003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79013</v>
      </c>
    </row>
    <row r="47" spans="1:4" x14ac:dyDescent="0.2">
      <c r="A47" s="49">
        <f>+A41</f>
        <v>37282</v>
      </c>
      <c r="B47" s="32"/>
      <c r="C47" s="32"/>
      <c r="D47" s="350">
        <f>+D37</f>
        <v>-2299</v>
      </c>
    </row>
    <row r="48" spans="1:4" x14ac:dyDescent="0.2">
      <c r="A48" s="32"/>
      <c r="B48" s="32"/>
      <c r="C48" s="32"/>
      <c r="D48" s="14">
        <f>+D47+D46</f>
        <v>76714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">
      <c r="A26" s="10">
        <v>21</v>
      </c>
      <c r="B26" s="11">
        <v>536</v>
      </c>
      <c r="C26" s="11">
        <v>88</v>
      </c>
      <c r="D26" s="25">
        <f t="shared" si="0"/>
        <v>-448</v>
      </c>
    </row>
    <row r="27" spans="1:4" x14ac:dyDescent="0.2">
      <c r="A27" s="10">
        <v>22</v>
      </c>
      <c r="B27" s="11">
        <v>648</v>
      </c>
      <c r="C27" s="11">
        <v>88</v>
      </c>
      <c r="D27" s="25">
        <f t="shared" si="0"/>
        <v>-560</v>
      </c>
    </row>
    <row r="28" spans="1:4" x14ac:dyDescent="0.2">
      <c r="A28" s="10">
        <v>23</v>
      </c>
      <c r="B28" s="11">
        <v>639</v>
      </c>
      <c r="C28" s="11">
        <v>88</v>
      </c>
      <c r="D28" s="25">
        <f t="shared" si="0"/>
        <v>-551</v>
      </c>
    </row>
    <row r="29" spans="1:4" x14ac:dyDescent="0.2">
      <c r="A29" s="10">
        <v>24</v>
      </c>
      <c r="B29" s="11">
        <v>355</v>
      </c>
      <c r="C29" s="11">
        <v>88</v>
      </c>
      <c r="D29" s="25">
        <f t="shared" si="0"/>
        <v>-267</v>
      </c>
    </row>
    <row r="30" spans="1:4" x14ac:dyDescent="0.2">
      <c r="A30" s="10">
        <v>25</v>
      </c>
      <c r="B30" s="11">
        <v>37</v>
      </c>
      <c r="C30" s="11">
        <v>88</v>
      </c>
      <c r="D30" s="25">
        <f t="shared" si="0"/>
        <v>51</v>
      </c>
    </row>
    <row r="31" spans="1:4" x14ac:dyDescent="0.2">
      <c r="A31" s="10">
        <v>26</v>
      </c>
      <c r="B31" s="11">
        <v>5</v>
      </c>
      <c r="C31" s="11">
        <v>88</v>
      </c>
      <c r="D31" s="25">
        <f t="shared" si="0"/>
        <v>83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10265</v>
      </c>
      <c r="C37" s="11">
        <f>SUM(C6:C36)</f>
        <v>5818</v>
      </c>
      <c r="D37" s="25">
        <f>SUM(D6:D36)</f>
        <v>-4447</v>
      </c>
    </row>
    <row r="38" spans="1:4" x14ac:dyDescent="0.2">
      <c r="A38" s="26"/>
      <c r="C38" s="14"/>
      <c r="D38" s="326">
        <f>+summary!G5</f>
        <v>2.11</v>
      </c>
    </row>
    <row r="39" spans="1:4" x14ac:dyDescent="0.2">
      <c r="D39" s="138">
        <f>+D38*D37</f>
        <v>-9383.17</v>
      </c>
    </row>
    <row r="40" spans="1:4" x14ac:dyDescent="0.2">
      <c r="A40" s="57">
        <v>37256</v>
      </c>
      <c r="C40" s="15"/>
      <c r="D40" s="529">
        <v>161292.49</v>
      </c>
    </row>
    <row r="41" spans="1:4" x14ac:dyDescent="0.2">
      <c r="A41" s="57">
        <v>37282</v>
      </c>
      <c r="C41" s="48"/>
      <c r="D41" s="138">
        <f>+D40+D39</f>
        <v>151909.31999999998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33971</v>
      </c>
    </row>
    <row r="47" spans="1:4" x14ac:dyDescent="0.2">
      <c r="A47" s="49">
        <f>+A41</f>
        <v>37282</v>
      </c>
      <c r="B47" s="32"/>
      <c r="C47" s="32"/>
      <c r="D47" s="350">
        <f>+D37</f>
        <v>-4447</v>
      </c>
    </row>
    <row r="48" spans="1:4" x14ac:dyDescent="0.2">
      <c r="A48" s="32"/>
      <c r="B48" s="32"/>
      <c r="C48" s="32"/>
      <c r="D48" s="14">
        <f>+D47+D46</f>
        <v>29524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F42" sqref="F42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">
      <c r="A25" s="41">
        <v>21</v>
      </c>
      <c r="B25" s="11"/>
      <c r="C25" s="11"/>
      <c r="D25" s="11">
        <v>-61293</v>
      </c>
      <c r="E25" s="11">
        <v>-62649</v>
      </c>
      <c r="F25" s="11">
        <f t="shared" si="0"/>
        <v>-1356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">
      <c r="A26" s="41">
        <v>22</v>
      </c>
      <c r="B26" s="11"/>
      <c r="C26" s="11"/>
      <c r="D26" s="11">
        <v>-72050</v>
      </c>
      <c r="E26" s="11">
        <v>-71395</v>
      </c>
      <c r="F26" s="11">
        <f t="shared" si="0"/>
        <v>655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">
      <c r="A27" s="41">
        <v>23</v>
      </c>
      <c r="B27" s="11">
        <v>-11234</v>
      </c>
      <c r="C27" s="11">
        <v>-10000</v>
      </c>
      <c r="D27" s="11">
        <v>-29918</v>
      </c>
      <c r="E27" s="11">
        <v>-29430</v>
      </c>
      <c r="F27" s="11">
        <f t="shared" si="0"/>
        <v>1722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">
      <c r="A28" s="41">
        <v>24</v>
      </c>
      <c r="B28" s="11">
        <v>-10772</v>
      </c>
      <c r="C28" s="11">
        <v>-10000</v>
      </c>
      <c r="D28" s="11">
        <v>-62174</v>
      </c>
      <c r="E28" s="11">
        <v>-61769</v>
      </c>
      <c r="F28" s="11">
        <f t="shared" si="0"/>
        <v>1177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">
      <c r="A29" s="41">
        <v>25</v>
      </c>
      <c r="B29" s="11">
        <v>-10014</v>
      </c>
      <c r="C29" s="11">
        <v>-10000</v>
      </c>
      <c r="D29" s="11">
        <v>-57210</v>
      </c>
      <c r="E29" s="11">
        <v>-57075</v>
      </c>
      <c r="F29" s="11">
        <f t="shared" si="0"/>
        <v>149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">
      <c r="A30" s="41">
        <v>26</v>
      </c>
      <c r="B30" s="11">
        <v>-10509</v>
      </c>
      <c r="C30" s="11">
        <v>-10000</v>
      </c>
      <c r="D30" s="11">
        <v>-37432</v>
      </c>
      <c r="E30" s="11">
        <v>-36900</v>
      </c>
      <c r="F30" s="11">
        <f t="shared" si="0"/>
        <v>1041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">
      <c r="A36" s="41"/>
      <c r="B36" s="11">
        <f>SUM(B5:B35)</f>
        <v>-247165</v>
      </c>
      <c r="C36" s="44">
        <f>SUM(C5:C35)</f>
        <v>-241068</v>
      </c>
      <c r="D36" s="43">
        <f>SUM(D5:D35)</f>
        <v>-1712166</v>
      </c>
      <c r="E36" s="43">
        <f>SUM(E5:E35)</f>
        <v>-1703909</v>
      </c>
      <c r="F36" s="11">
        <f>SUM(F5:F35)</f>
        <v>14354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">
      <c r="A39" s="32"/>
      <c r="B39" s="32"/>
      <c r="C39" s="15"/>
      <c r="D39" s="15"/>
      <c r="E39" s="15"/>
      <c r="F39" s="494">
        <f>+summary!G5</f>
        <v>2.11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">
      <c r="A40" s="32"/>
      <c r="B40" s="32"/>
      <c r="C40" s="48"/>
      <c r="D40" s="47"/>
      <c r="E40" s="48"/>
      <c r="F40" s="46">
        <f>+F39*F36</f>
        <v>30286.94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">
      <c r="A42" s="57">
        <v>37256</v>
      </c>
      <c r="B42" s="32"/>
      <c r="C42" s="462"/>
      <c r="D42" s="111"/>
      <c r="E42" s="462"/>
      <c r="F42" s="493">
        <v>9676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">
      <c r="A43" s="57">
        <v>37282</v>
      </c>
      <c r="B43" s="32"/>
      <c r="C43" s="106"/>
      <c r="D43" s="106"/>
      <c r="E43" s="106"/>
      <c r="F43" s="24">
        <f>+F40+F42</f>
        <v>39962.94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">
      <c r="A47" s="32" t="s">
        <v>314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">
      <c r="A48" s="49">
        <f>+A42</f>
        <v>37256</v>
      </c>
      <c r="B48" s="32"/>
      <c r="C48" s="32"/>
      <c r="D48" s="508">
        <v>19943.240000000002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">
      <c r="A49" s="49">
        <f>+A43</f>
        <v>37282</v>
      </c>
      <c r="B49" s="32"/>
      <c r="C49" s="32"/>
      <c r="D49" s="76">
        <f>+F36</f>
        <v>14354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">
      <c r="A50" s="32"/>
      <c r="B50" s="32"/>
      <c r="C50" s="32"/>
      <c r="D50" s="75">
        <f>+D49+D48</f>
        <v>34297.240000000005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C42" sqref="C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-834</v>
      </c>
      <c r="C26" s="24">
        <v>-1613</v>
      </c>
      <c r="D26" s="24">
        <v>-2456</v>
      </c>
      <c r="E26" s="24">
        <v>-2000</v>
      </c>
      <c r="F26" s="24">
        <f t="shared" si="0"/>
        <v>-323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-2018</v>
      </c>
      <c r="C27" s="24">
        <v>-1613</v>
      </c>
      <c r="D27" s="24">
        <v>-2286</v>
      </c>
      <c r="E27" s="24">
        <v>-2000</v>
      </c>
      <c r="F27" s="24">
        <f t="shared" si="0"/>
        <v>691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-2349</v>
      </c>
      <c r="C28" s="24">
        <v>-3613</v>
      </c>
      <c r="D28" s="24">
        <v>-2539</v>
      </c>
      <c r="E28" s="24">
        <v>-2000</v>
      </c>
      <c r="F28" s="24">
        <f t="shared" si="0"/>
        <v>-725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-1994</v>
      </c>
      <c r="C29" s="24">
        <v>-3613</v>
      </c>
      <c r="D29" s="24">
        <v>-2614</v>
      </c>
      <c r="E29" s="24">
        <v>-2000</v>
      </c>
      <c r="F29" s="24">
        <f t="shared" si="0"/>
        <v>-1005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-2459</v>
      </c>
      <c r="C30" s="24">
        <v>-3613</v>
      </c>
      <c r="D30" s="24">
        <v>-2233</v>
      </c>
      <c r="E30" s="24">
        <v>-2000</v>
      </c>
      <c r="F30" s="24">
        <f t="shared" si="0"/>
        <v>-921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-2170</v>
      </c>
      <c r="C31" s="24">
        <v>-3613</v>
      </c>
      <c r="D31" s="24">
        <v>-91</v>
      </c>
      <c r="E31" s="24">
        <v>-2000</v>
      </c>
      <c r="F31" s="24">
        <f t="shared" si="0"/>
        <v>-3352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-55113</v>
      </c>
      <c r="C37" s="24">
        <f>SUM(C6:C36)</f>
        <v>-49938</v>
      </c>
      <c r="D37" s="24">
        <f>SUM(D6:D36)</f>
        <v>-53096</v>
      </c>
      <c r="E37" s="24">
        <f>SUM(E6:E36)</f>
        <v>-50000</v>
      </c>
      <c r="F37" s="24">
        <f>SUM(F6:F36)</f>
        <v>8271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17369.100000000002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C40" s="319"/>
      <c r="D40" s="262"/>
      <c r="E40" s="262"/>
      <c r="F40" s="523">
        <v>-133395.24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37282</v>
      </c>
      <c r="C41" s="319"/>
      <c r="D41" s="262"/>
      <c r="E41" s="262"/>
      <c r="F41" s="104">
        <f>+F40+F39</f>
        <v>-116026.13999999998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37282</v>
      </c>
      <c r="B47" s="32"/>
      <c r="C47" s="32"/>
      <c r="D47" s="350">
        <f>+F37</f>
        <v>8271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-35141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1" sqref="A41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-2072</v>
      </c>
      <c r="C26" s="24">
        <v>-2135</v>
      </c>
      <c r="D26" s="24"/>
      <c r="E26" s="24">
        <v>-25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-88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-1958</v>
      </c>
      <c r="C27" s="24">
        <v>-2135</v>
      </c>
      <c r="D27" s="24"/>
      <c r="E27" s="24">
        <v>-25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-202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>
        <v>-2118</v>
      </c>
      <c r="C28" s="24">
        <v>-2135</v>
      </c>
      <c r="D28" s="24">
        <v>-7</v>
      </c>
      <c r="E28" s="24">
        <v>-25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-35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>
        <v>-2191</v>
      </c>
      <c r="C29" s="24">
        <v>-2135</v>
      </c>
      <c r="D29" s="24"/>
      <c r="E29" s="24">
        <v>-25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31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>
        <v>-2157</v>
      </c>
      <c r="C30" s="24">
        <v>-2135</v>
      </c>
      <c r="D30" s="24"/>
      <c r="E30" s="24">
        <v>-25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-3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>
        <v>-2127</v>
      </c>
      <c r="C31" s="24">
        <v>-2135</v>
      </c>
      <c r="D31" s="24"/>
      <c r="E31" s="24">
        <v>-25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-33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-55200</v>
      </c>
      <c r="C37" s="24">
        <f t="shared" si="1"/>
        <v>-55510</v>
      </c>
      <c r="D37" s="24">
        <f t="shared" si="1"/>
        <v>-15</v>
      </c>
      <c r="E37" s="24">
        <f t="shared" si="1"/>
        <v>-650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-945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-1984.5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37256</v>
      </c>
      <c r="E40" s="14"/>
      <c r="O40" s="442"/>
      <c r="P40" s="523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37282</v>
      </c>
      <c r="E41" s="14"/>
      <c r="O41" s="442"/>
      <c r="P41" s="104">
        <f>+P40+P39</f>
        <v>92004.9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24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37282</v>
      </c>
      <c r="B47" s="32"/>
      <c r="C47" s="32"/>
      <c r="D47" s="350">
        <f>+P37</f>
        <v>-945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38125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B28" sqref="B2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296</v>
      </c>
      <c r="C3" s="87"/>
      <c r="D3" s="87"/>
    </row>
    <row r="4" spans="1:4" x14ac:dyDescent="0.2">
      <c r="A4" s="3"/>
      <c r="B4" s="328" t="s">
        <v>295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">
      <c r="A26" s="10">
        <v>21</v>
      </c>
      <c r="B26" s="11">
        <v>-14148</v>
      </c>
      <c r="C26" s="11">
        <v>-14000</v>
      </c>
      <c r="D26" s="25">
        <f t="shared" si="0"/>
        <v>148</v>
      </c>
    </row>
    <row r="27" spans="1:4" x14ac:dyDescent="0.2">
      <c r="A27" s="10">
        <v>22</v>
      </c>
      <c r="B27" s="11">
        <v>-14162</v>
      </c>
      <c r="C27" s="11">
        <v>-14000</v>
      </c>
      <c r="D27" s="25">
        <f t="shared" si="0"/>
        <v>162</v>
      </c>
    </row>
    <row r="28" spans="1:4" x14ac:dyDescent="0.2">
      <c r="A28" s="10">
        <v>23</v>
      </c>
      <c r="B28" s="108">
        <v>-14000</v>
      </c>
      <c r="C28" s="11">
        <v>-14000</v>
      </c>
      <c r="D28" s="25">
        <f t="shared" si="0"/>
        <v>0</v>
      </c>
    </row>
    <row r="29" spans="1:4" x14ac:dyDescent="0.2">
      <c r="A29" s="10">
        <v>24</v>
      </c>
      <c r="B29" s="11">
        <v>-15412</v>
      </c>
      <c r="C29" s="11">
        <v>-14000</v>
      </c>
      <c r="D29" s="25">
        <f t="shared" si="0"/>
        <v>1412</v>
      </c>
    </row>
    <row r="30" spans="1:4" x14ac:dyDescent="0.2">
      <c r="A30" s="10">
        <v>25</v>
      </c>
      <c r="B30" s="11">
        <v>-14122</v>
      </c>
      <c r="C30" s="11">
        <v>-14000</v>
      </c>
      <c r="D30" s="25">
        <f t="shared" si="0"/>
        <v>122</v>
      </c>
    </row>
    <row r="31" spans="1:4" x14ac:dyDescent="0.2">
      <c r="A31" s="10">
        <v>26</v>
      </c>
      <c r="B31" s="11">
        <v>-14127</v>
      </c>
      <c r="C31" s="11">
        <v>-14000</v>
      </c>
      <c r="D31" s="25">
        <f t="shared" si="0"/>
        <v>127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-373569</v>
      </c>
      <c r="C37" s="11">
        <f>SUM(C6:C36)</f>
        <v>-375928</v>
      </c>
      <c r="D37" s="25">
        <f>SUM(D6:D36)</f>
        <v>-2359</v>
      </c>
    </row>
    <row r="38" spans="1:4" x14ac:dyDescent="0.2">
      <c r="A38" s="26"/>
      <c r="C38" s="14"/>
      <c r="D38" s="326">
        <f>+summary!G4</f>
        <v>2.1</v>
      </c>
    </row>
    <row r="39" spans="1:4" x14ac:dyDescent="0.2">
      <c r="D39" s="138">
        <f>+D38*D37</f>
        <v>-4953.9000000000005</v>
      </c>
    </row>
    <row r="40" spans="1:4" x14ac:dyDescent="0.2">
      <c r="A40" s="57">
        <v>37256</v>
      </c>
      <c r="C40" s="15"/>
      <c r="D40" s="529">
        <v>-15514.53</v>
      </c>
    </row>
    <row r="41" spans="1:4" x14ac:dyDescent="0.2">
      <c r="A41" s="57">
        <v>37282</v>
      </c>
      <c r="C41" s="48"/>
      <c r="D41" s="138">
        <f>+D40+D39</f>
        <v>-20468.43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5596</v>
      </c>
    </row>
    <row r="47" spans="1:4" x14ac:dyDescent="0.2">
      <c r="A47" s="49">
        <f>+A41</f>
        <v>37282</v>
      </c>
      <c r="B47" s="32"/>
      <c r="C47" s="32"/>
      <c r="D47" s="350">
        <f>+D37</f>
        <v>-2359</v>
      </c>
    </row>
    <row r="48" spans="1:4" x14ac:dyDescent="0.2">
      <c r="A48" s="32"/>
      <c r="B48" s="32"/>
      <c r="C48" s="32"/>
      <c r="D48" s="14">
        <f>+D47+D46</f>
        <v>3237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1" sqref="A4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318</v>
      </c>
      <c r="C3" s="87"/>
      <c r="D3" s="87"/>
    </row>
    <row r="4" spans="1:4" x14ac:dyDescent="0.2">
      <c r="A4" s="3"/>
      <c r="B4" s="328" t="s">
        <v>319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">
      <c r="A38" s="26"/>
      <c r="C38" s="14"/>
      <c r="D38" s="326">
        <f>+summary!G5</f>
        <v>2.11</v>
      </c>
    </row>
    <row r="39" spans="1:4" x14ac:dyDescent="0.2">
      <c r="D39" s="138">
        <f>+D38*D37</f>
        <v>-586.57999999999993</v>
      </c>
    </row>
    <row r="40" spans="1:4" x14ac:dyDescent="0.2">
      <c r="A40" s="57">
        <v>37256</v>
      </c>
      <c r="C40" s="15"/>
      <c r="D40" s="529">
        <v>43180.07</v>
      </c>
    </row>
    <row r="41" spans="1:4" x14ac:dyDescent="0.2">
      <c r="A41" s="57">
        <v>37257</v>
      </c>
      <c r="C41" s="48"/>
      <c r="D41" s="138">
        <f>+D40+D39</f>
        <v>42593.49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14850</v>
      </c>
    </row>
    <row r="47" spans="1:4" x14ac:dyDescent="0.2">
      <c r="A47" s="49">
        <f>+A41</f>
        <v>37257</v>
      </c>
      <c r="B47" s="32"/>
      <c r="C47" s="32"/>
      <c r="D47" s="350">
        <f>+D37</f>
        <v>-278</v>
      </c>
    </row>
    <row r="48" spans="1:4" x14ac:dyDescent="0.2">
      <c r="A48" s="32"/>
      <c r="B48" s="32"/>
      <c r="C48" s="32"/>
      <c r="D48" s="14">
        <f>+D47+D46</f>
        <v>14572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56" t="s">
        <v>301</v>
      </c>
    </row>
    <row r="3" spans="1:37" x14ac:dyDescent="0.2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">
      <c r="B4" s="557" t="s">
        <v>303</v>
      </c>
      <c r="C4" s="558"/>
      <c r="D4" s="559" t="s">
        <v>304</v>
      </c>
      <c r="E4" s="558"/>
      <c r="F4" s="559" t="s">
        <v>305</v>
      </c>
      <c r="G4" s="558"/>
      <c r="H4" s="559" t="s">
        <v>306</v>
      </c>
      <c r="I4" s="558"/>
      <c r="J4" s="559" t="s">
        <v>307</v>
      </c>
      <c r="K4" s="558"/>
      <c r="L4" s="559" t="s">
        <v>308</v>
      </c>
      <c r="M4" s="558"/>
      <c r="N4" s="558"/>
    </row>
    <row r="5" spans="1:37" x14ac:dyDescent="0.2">
      <c r="A5" s="560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1"/>
      <c r="Q5" s="561"/>
      <c r="R5" s="561"/>
      <c r="S5" s="561"/>
      <c r="T5" s="561"/>
      <c r="V5" s="562"/>
      <c r="AA5" s="563"/>
      <c r="AB5" s="561"/>
      <c r="AC5" s="561"/>
      <c r="AD5" s="561"/>
      <c r="AE5" s="561"/>
      <c r="AF5" s="561"/>
      <c r="AH5" s="562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1"/>
      <c r="Q6" s="561"/>
      <c r="R6" s="561"/>
      <c r="S6" s="561"/>
      <c r="T6" s="561"/>
      <c r="U6" s="564"/>
      <c r="V6" s="562"/>
      <c r="Y6" s="565"/>
      <c r="AA6" s="563"/>
      <c r="AB6" s="561"/>
      <c r="AC6" s="561"/>
      <c r="AD6" s="561"/>
      <c r="AE6" s="561"/>
      <c r="AF6" s="561"/>
      <c r="AG6" s="564"/>
      <c r="AH6" s="562"/>
      <c r="AK6" s="565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6"/>
      <c r="AB7" s="567"/>
      <c r="AC7" s="567"/>
      <c r="AD7" s="567"/>
      <c r="AE7" s="567"/>
      <c r="AF7" s="567"/>
      <c r="AG7" s="19"/>
      <c r="AH7" s="568"/>
      <c r="AI7" s="252"/>
      <c r="AJ7" s="264"/>
      <c r="AK7" s="565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7"/>
      <c r="Q8" s="567"/>
      <c r="R8" s="567"/>
      <c r="S8" s="567"/>
      <c r="T8" s="567"/>
      <c r="U8" s="19"/>
      <c r="V8" s="568"/>
      <c r="W8" s="252"/>
      <c r="X8" s="264"/>
      <c r="Y8" s="565"/>
      <c r="AA8" s="566"/>
      <c r="AB8" s="567"/>
      <c r="AC8" s="567"/>
      <c r="AD8" s="567"/>
      <c r="AE8" s="567"/>
      <c r="AF8" s="567"/>
      <c r="AG8" s="19"/>
      <c r="AH8" s="568"/>
      <c r="AI8" s="252"/>
      <c r="AJ8" s="264"/>
      <c r="AK8" s="565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7"/>
      <c r="S9" s="28"/>
      <c r="T9" s="567"/>
      <c r="U9" s="19"/>
      <c r="V9" s="568"/>
      <c r="W9" s="252"/>
      <c r="X9" s="264"/>
      <c r="Y9" s="565"/>
      <c r="AA9" s="566"/>
      <c r="AB9" s="567"/>
      <c r="AC9" s="567"/>
      <c r="AD9" s="567"/>
      <c r="AE9" s="567"/>
      <c r="AF9" s="567"/>
      <c r="AG9" s="19"/>
      <c r="AH9" s="568"/>
      <c r="AI9" s="252"/>
      <c r="AJ9" s="264"/>
      <c r="AK9" s="565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7"/>
      <c r="S10" s="28"/>
      <c r="T10" s="567"/>
      <c r="U10" s="19"/>
      <c r="V10" s="568"/>
      <c r="W10" s="252"/>
      <c r="X10" s="264"/>
      <c r="Y10" s="565"/>
      <c r="AA10" s="566"/>
      <c r="AB10" s="567"/>
      <c r="AC10" s="567"/>
      <c r="AD10" s="567"/>
      <c r="AE10" s="567"/>
      <c r="AF10" s="567"/>
      <c r="AG10" s="19"/>
      <c r="AH10" s="568"/>
      <c r="AI10" s="252"/>
      <c r="AJ10" s="264"/>
      <c r="AK10" s="565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7"/>
      <c r="S11" s="28"/>
      <c r="T11" s="567"/>
      <c r="U11" s="19"/>
      <c r="V11" s="568"/>
      <c r="W11" s="252"/>
      <c r="X11" s="264"/>
      <c r="Y11" s="565"/>
      <c r="AA11" s="566"/>
      <c r="AB11" s="567"/>
      <c r="AC11" s="567"/>
      <c r="AD11" s="567"/>
      <c r="AE11" s="567"/>
      <c r="AF11" s="567"/>
      <c r="AG11" s="19"/>
      <c r="AH11" s="568"/>
      <c r="AI11" s="252"/>
      <c r="AJ11" s="264"/>
      <c r="AK11" s="565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7"/>
      <c r="S12" s="28"/>
      <c r="T12" s="567"/>
      <c r="U12" s="19"/>
      <c r="V12" s="568"/>
      <c r="W12" s="252"/>
      <c r="X12" s="264"/>
      <c r="Y12" s="565"/>
      <c r="AA12" s="566"/>
      <c r="AB12" s="567"/>
      <c r="AC12" s="567"/>
      <c r="AD12" s="567"/>
      <c r="AE12" s="567"/>
      <c r="AF12" s="567"/>
      <c r="AG12" s="19"/>
      <c r="AH12" s="568"/>
      <c r="AI12" s="252"/>
      <c r="AJ12" s="264"/>
      <c r="AK12" s="565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7"/>
      <c r="S13" s="569"/>
      <c r="T13" s="567"/>
      <c r="U13" s="19"/>
      <c r="V13" s="568"/>
      <c r="W13" s="252"/>
      <c r="X13" s="264"/>
      <c r="Y13" s="565"/>
      <c r="AA13" s="566"/>
      <c r="AB13" s="567"/>
      <c r="AC13" s="567"/>
      <c r="AD13" s="567"/>
      <c r="AE13" s="567"/>
      <c r="AF13" s="567"/>
      <c r="AG13" s="19"/>
      <c r="AH13" s="568"/>
      <c r="AI13" s="252"/>
      <c r="AJ13" s="264"/>
      <c r="AK13" s="565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7"/>
      <c r="S14" s="569"/>
      <c r="T14" s="567"/>
      <c r="U14" s="19"/>
      <c r="V14" s="568"/>
      <c r="W14" s="252"/>
      <c r="X14" s="264"/>
      <c r="Y14" s="565"/>
      <c r="AA14" s="566"/>
      <c r="AB14" s="567"/>
      <c r="AC14" s="567"/>
      <c r="AD14" s="567"/>
      <c r="AE14" s="567"/>
      <c r="AF14" s="567"/>
      <c r="AG14" s="19"/>
      <c r="AH14" s="568"/>
      <c r="AI14" s="252"/>
      <c r="AJ14" s="264"/>
      <c r="AK14" s="565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7"/>
      <c r="S15" s="569"/>
      <c r="T15" s="567"/>
      <c r="U15" s="19"/>
      <c r="V15" s="568"/>
      <c r="W15" s="252"/>
      <c r="X15" s="264"/>
      <c r="Y15" s="565"/>
      <c r="AA15" s="566"/>
      <c r="AB15" s="567"/>
      <c r="AC15" s="567"/>
      <c r="AD15" s="567"/>
      <c r="AE15" s="567"/>
      <c r="AF15" s="567"/>
      <c r="AG15" s="19"/>
      <c r="AH15" s="568"/>
      <c r="AI15" s="252"/>
      <c r="AJ15" s="264"/>
      <c r="AK15" s="565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7"/>
      <c r="S16" s="569"/>
      <c r="T16" s="567"/>
      <c r="U16" s="19"/>
      <c r="V16" s="568"/>
      <c r="W16" s="252"/>
      <c r="X16" s="264"/>
      <c r="Y16" s="565"/>
      <c r="AA16" s="566"/>
      <c r="AB16" s="567"/>
      <c r="AC16" s="567"/>
      <c r="AD16" s="567"/>
      <c r="AE16" s="567"/>
      <c r="AF16" s="567"/>
      <c r="AG16" s="19"/>
      <c r="AH16" s="568"/>
      <c r="AI16" s="252"/>
      <c r="AJ16" s="264"/>
      <c r="AK16" s="565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7"/>
      <c r="S17" s="569"/>
      <c r="T17" s="567"/>
      <c r="U17" s="19"/>
      <c r="V17" s="568"/>
      <c r="W17" s="252"/>
      <c r="X17" s="264"/>
      <c r="Y17" s="565"/>
      <c r="AA17" s="566"/>
      <c r="AB17" s="567"/>
      <c r="AC17" s="567"/>
      <c r="AD17" s="567"/>
      <c r="AE17" s="567"/>
      <c r="AF17" s="567"/>
      <c r="AG17" s="19"/>
      <c r="AH17" s="568"/>
      <c r="AI17" s="252"/>
      <c r="AJ17" s="264"/>
      <c r="AK17" s="565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7"/>
      <c r="S18" s="569"/>
      <c r="T18" s="567"/>
      <c r="U18" s="19"/>
      <c r="V18" s="568"/>
      <c r="W18" s="252"/>
      <c r="X18" s="264"/>
      <c r="Y18" s="565"/>
      <c r="AA18" s="566"/>
      <c r="AB18" s="567"/>
      <c r="AF18" s="567"/>
      <c r="AG18" s="19"/>
      <c r="AH18" s="568"/>
      <c r="AI18" s="252"/>
      <c r="AJ18" s="264"/>
      <c r="AK18" s="565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7"/>
      <c r="T19" s="567"/>
      <c r="U19" s="19"/>
      <c r="V19" s="568"/>
      <c r="W19" s="252"/>
      <c r="X19" s="264"/>
      <c r="Y19" s="565"/>
      <c r="AA19" s="566"/>
      <c r="AB19" s="567"/>
      <c r="AF19" s="567"/>
      <c r="AG19" s="19"/>
      <c r="AH19" s="568"/>
      <c r="AI19" s="252"/>
      <c r="AJ19" s="264"/>
      <c r="AK19" s="565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7"/>
      <c r="T20" s="567"/>
      <c r="U20" s="19"/>
      <c r="V20" s="568"/>
      <c r="W20" s="252"/>
      <c r="X20" s="264"/>
      <c r="Y20" s="565"/>
      <c r="AA20" s="566"/>
      <c r="AB20" s="567"/>
      <c r="AF20" s="567"/>
      <c r="AG20" s="19"/>
      <c r="AH20" s="568"/>
      <c r="AI20" s="252"/>
      <c r="AJ20" s="264"/>
      <c r="AK20" s="565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6"/>
      <c r="AB21" s="567"/>
      <c r="AF21" s="567"/>
      <c r="AG21" s="19"/>
      <c r="AH21" s="568"/>
      <c r="AI21" s="252"/>
      <c r="AJ21" s="264"/>
      <c r="AK21" s="565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6"/>
      <c r="AB22" s="51"/>
      <c r="AF22" s="567"/>
      <c r="AG22" s="19"/>
      <c r="AH22" s="568"/>
      <c r="AI22" s="252"/>
      <c r="AJ22" s="264"/>
      <c r="AK22" s="565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7"/>
      <c r="Q23" s="567"/>
      <c r="R23" s="567"/>
      <c r="S23" s="567"/>
      <c r="T23" s="567"/>
      <c r="U23" s="19"/>
      <c r="V23" s="568"/>
      <c r="W23" s="252"/>
      <c r="X23" s="264"/>
      <c r="Y23" s="565"/>
      <c r="AA23" s="566"/>
      <c r="AB23" s="51"/>
      <c r="AF23" s="567"/>
      <c r="AG23" s="19"/>
      <c r="AH23" s="568"/>
      <c r="AI23" s="252"/>
      <c r="AJ23" s="264"/>
      <c r="AK23" s="565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7"/>
      <c r="Q24" s="567"/>
      <c r="R24" s="567"/>
      <c r="S24" s="567"/>
      <c r="T24" s="567"/>
      <c r="U24" s="19"/>
      <c r="V24" s="568"/>
      <c r="W24" s="252"/>
      <c r="X24" s="264"/>
      <c r="Y24" s="565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7"/>
      <c r="Q25" s="567"/>
      <c r="R25" s="567"/>
      <c r="S25" s="567"/>
      <c r="T25" s="567"/>
      <c r="U25" s="19"/>
      <c r="V25" s="568"/>
      <c r="W25" s="252"/>
      <c r="X25" s="264"/>
      <c r="Y25" s="565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7"/>
      <c r="Q26" s="567"/>
      <c r="R26" s="567"/>
      <c r="S26" s="567"/>
      <c r="T26" s="567"/>
      <c r="U26" s="19"/>
      <c r="V26" s="568"/>
      <c r="W26" s="252"/>
      <c r="X26" s="264"/>
      <c r="Y26" s="565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7"/>
      <c r="Q27" s="567"/>
      <c r="R27" s="567"/>
      <c r="S27" s="567"/>
      <c r="T27" s="567"/>
      <c r="U27" s="19"/>
      <c r="V27" s="568"/>
      <c r="W27" s="252"/>
      <c r="X27" s="264"/>
      <c r="Y27" s="565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7"/>
      <c r="Q28" s="567"/>
      <c r="R28" s="567"/>
      <c r="S28" s="567"/>
      <c r="T28" s="567"/>
      <c r="U28" s="19"/>
      <c r="V28" s="568"/>
      <c r="W28" s="252"/>
      <c r="X28" s="264"/>
      <c r="Y28" s="565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7"/>
      <c r="Q29" s="567"/>
      <c r="R29" s="567"/>
      <c r="S29" s="567"/>
      <c r="T29" s="567"/>
      <c r="U29" s="19"/>
      <c r="V29" s="568"/>
      <c r="W29" s="252"/>
      <c r="X29" s="264"/>
      <c r="Y29" s="565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7"/>
      <c r="Q30" s="567"/>
      <c r="R30" s="567"/>
      <c r="S30" s="567"/>
      <c r="T30" s="567"/>
      <c r="U30" s="19"/>
      <c r="V30" s="568"/>
      <c r="W30" s="252"/>
      <c r="X30" s="264"/>
      <c r="Y30" s="565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7"/>
      <c r="Q31" s="567"/>
      <c r="R31" s="567"/>
      <c r="S31" s="567"/>
      <c r="T31" s="567"/>
      <c r="U31" s="19"/>
      <c r="V31" s="568"/>
      <c r="W31" s="252"/>
      <c r="X31" s="264"/>
      <c r="Y31" s="565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7"/>
      <c r="Q32" s="567"/>
      <c r="R32" s="567"/>
      <c r="S32" s="567"/>
      <c r="T32" s="567"/>
      <c r="U32" s="19"/>
      <c r="V32" s="568"/>
      <c r="W32" s="252"/>
      <c r="X32" s="264"/>
      <c r="Y32" s="565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7"/>
      <c r="Q33" s="567"/>
      <c r="R33" s="567"/>
      <c r="S33" s="567"/>
      <c r="T33" s="567"/>
      <c r="U33" s="19"/>
      <c r="V33" s="568"/>
      <c r="W33" s="252"/>
      <c r="X33" s="264"/>
      <c r="Y33" s="565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7"/>
      <c r="T34" s="567"/>
      <c r="U34" s="19"/>
      <c r="V34" s="568"/>
      <c r="W34" s="252"/>
      <c r="X34" s="264"/>
      <c r="Y34" s="565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7"/>
      <c r="T35" s="567"/>
      <c r="U35" s="19"/>
      <c r="V35" s="568"/>
      <c r="W35" s="252"/>
      <c r="X35" s="264"/>
      <c r="Y35" s="565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7"/>
      <c r="T36" s="567"/>
      <c r="U36" s="19"/>
      <c r="V36" s="568"/>
      <c r="W36" s="252"/>
      <c r="X36" s="264"/>
      <c r="Y36" s="565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7"/>
      <c r="T37" s="567"/>
      <c r="U37" s="19"/>
      <c r="V37" s="568"/>
      <c r="W37" s="252"/>
      <c r="X37" s="264"/>
      <c r="Y37" s="565"/>
    </row>
    <row r="38" spans="1:25" x14ac:dyDescent="0.2">
      <c r="N38" s="264">
        <f>+summary!G4</f>
        <v>2.1</v>
      </c>
      <c r="P38" s="51"/>
      <c r="T38" s="567"/>
      <c r="U38" s="19"/>
      <c r="V38" s="568"/>
      <c r="W38" s="252"/>
      <c r="X38" s="264"/>
      <c r="Y38" s="565"/>
    </row>
    <row r="39" spans="1:25" x14ac:dyDescent="0.2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7"/>
      <c r="U39" s="19"/>
      <c r="V39" s="568"/>
      <c r="W39" s="252"/>
      <c r="X39" s="264"/>
      <c r="Y39" s="565"/>
    </row>
    <row r="40" spans="1:25" x14ac:dyDescent="0.2">
      <c r="N40" s="329"/>
      <c r="P40" s="567"/>
      <c r="T40" s="567"/>
      <c r="U40" s="19"/>
      <c r="V40" s="568"/>
      <c r="W40" s="252"/>
      <c r="X40" s="264"/>
      <c r="Y40" s="565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70">
        <v>107948.28</v>
      </c>
      <c r="P41" s="567"/>
      <c r="T41" s="567"/>
      <c r="U41" s="19"/>
      <c r="V41" s="568"/>
      <c r="W41" s="252"/>
      <c r="X41" s="264"/>
      <c r="Y41" s="565"/>
    </row>
    <row r="42" spans="1:25" x14ac:dyDescent="0.2">
      <c r="N42" s="319"/>
      <c r="P42" s="567"/>
      <c r="T42" s="567"/>
      <c r="U42" s="19"/>
      <c r="V42" s="568"/>
      <c r="W42" s="252"/>
      <c r="X42" s="264"/>
      <c r="Y42" s="565"/>
    </row>
    <row r="43" spans="1:25" x14ac:dyDescent="0.2">
      <c r="A43" s="263">
        <v>37256</v>
      </c>
      <c r="N43" s="319">
        <f>+N41+N39</f>
        <v>107948.28</v>
      </c>
      <c r="P43" s="567"/>
      <c r="T43" s="567"/>
      <c r="U43" s="19"/>
      <c r="V43" s="568"/>
      <c r="W43" s="252"/>
      <c r="X43" s="264"/>
      <c r="Y43" s="565"/>
    </row>
    <row r="44" spans="1:25" x14ac:dyDescent="0.2">
      <c r="N44" s="329"/>
      <c r="P44" s="567"/>
      <c r="T44" s="567"/>
      <c r="U44" s="19"/>
      <c r="V44" s="568"/>
      <c r="W44" s="252"/>
      <c r="X44" s="264"/>
      <c r="Y44" s="565"/>
    </row>
    <row r="45" spans="1:25" x14ac:dyDescent="0.2">
      <c r="P45" s="567"/>
      <c r="T45" s="567"/>
      <c r="U45" s="19"/>
      <c r="V45" s="568"/>
      <c r="W45" s="252"/>
      <c r="X45" s="264"/>
      <c r="Y45" s="565"/>
    </row>
    <row r="46" spans="1:25" x14ac:dyDescent="0.2">
      <c r="B46" s="465"/>
      <c r="D46" s="465"/>
      <c r="F46" s="465"/>
      <c r="H46" s="465"/>
      <c r="J46" s="465"/>
      <c r="L46" s="465"/>
      <c r="O46" s="566"/>
      <c r="P46" s="51"/>
      <c r="T46" s="567"/>
      <c r="U46" s="19"/>
      <c r="V46" s="568"/>
      <c r="W46" s="252"/>
      <c r="X46" s="264"/>
      <c r="Y46" s="565"/>
    </row>
    <row r="47" spans="1:25" x14ac:dyDescent="0.2">
      <c r="A47" s="249" t="s">
        <v>149</v>
      </c>
      <c r="B47" s="249"/>
      <c r="C47" s="249"/>
      <c r="D47" s="249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66"/>
      <c r="P47" s="51"/>
      <c r="T47" s="567"/>
      <c r="U47" s="19"/>
      <c r="V47" s="568"/>
      <c r="W47" s="252"/>
      <c r="X47" s="264"/>
      <c r="Y47" s="565"/>
    </row>
    <row r="48" spans="1:25" x14ac:dyDescent="0.2">
      <c r="A48" s="571">
        <f>+A41</f>
        <v>37256</v>
      </c>
      <c r="B48" s="249"/>
      <c r="C48" s="249"/>
      <c r="D48" s="572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6"/>
      <c r="T48" s="567"/>
      <c r="U48" s="19"/>
      <c r="V48" s="568"/>
      <c r="W48" s="252"/>
      <c r="X48" s="264"/>
      <c r="Y48" s="565"/>
    </row>
    <row r="49" spans="1:25" x14ac:dyDescent="0.2">
      <c r="A49" s="571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6"/>
      <c r="T49" s="567"/>
      <c r="U49" s="19"/>
      <c r="V49" s="568"/>
      <c r="W49" s="252"/>
      <c r="X49" s="264"/>
      <c r="Y49" s="565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6"/>
      <c r="U50" s="19"/>
    </row>
    <row r="51" spans="1:25" x14ac:dyDescent="0.2">
      <c r="A51" s="573"/>
      <c r="B51" s="574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6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6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6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6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6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6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6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6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6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6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6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6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6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6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6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6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6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6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6"/>
      <c r="P70" s="567"/>
      <c r="Q70" s="567"/>
      <c r="R70" s="567"/>
      <c r="S70" s="567"/>
      <c r="T70" s="567"/>
      <c r="U70" s="28"/>
      <c r="V70" s="575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6"/>
      <c r="P71" s="567"/>
      <c r="Q71" s="567"/>
      <c r="R71" s="567"/>
      <c r="S71" s="567"/>
      <c r="T71" s="567"/>
      <c r="U71" s="28"/>
      <c r="V71" s="575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6"/>
      <c r="P72" s="567"/>
      <c r="Q72" s="567"/>
      <c r="R72" s="567"/>
      <c r="S72" s="567"/>
      <c r="T72" s="567"/>
      <c r="U72" s="28"/>
      <c r="V72" s="575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6"/>
      <c r="P73" s="567"/>
      <c r="Q73" s="567"/>
      <c r="R73" s="567"/>
      <c r="S73" s="567"/>
      <c r="T73" s="567"/>
      <c r="U73" s="28"/>
      <c r="V73" s="575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6"/>
      <c r="P74" s="567"/>
      <c r="Q74" s="567"/>
      <c r="R74" s="567"/>
      <c r="S74" s="567"/>
      <c r="T74" s="567"/>
      <c r="U74" s="28"/>
      <c r="V74" s="575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6"/>
      <c r="P75" s="567"/>
      <c r="Q75" s="567"/>
      <c r="R75" s="567"/>
      <c r="S75" s="567"/>
      <c r="T75" s="567"/>
      <c r="U75" s="28"/>
      <c r="V75" s="575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6"/>
      <c r="P76" s="567"/>
      <c r="Q76" s="567"/>
      <c r="R76" s="567"/>
      <c r="S76" s="567"/>
      <c r="T76" s="567"/>
      <c r="U76" s="28"/>
      <c r="V76" s="575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6"/>
      <c r="P77" s="567"/>
      <c r="Q77" s="567"/>
      <c r="R77" s="567"/>
      <c r="S77" s="567"/>
      <c r="T77" s="567"/>
      <c r="U77" s="28"/>
      <c r="V77" s="575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6"/>
      <c r="P78" s="567"/>
      <c r="Q78" s="567"/>
      <c r="R78" s="567"/>
      <c r="S78" s="567"/>
      <c r="T78" s="567"/>
      <c r="U78" s="28"/>
      <c r="V78" s="575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6"/>
      <c r="P79" s="567"/>
      <c r="Q79" s="567"/>
      <c r="R79" s="567"/>
      <c r="S79" s="567"/>
      <c r="T79" s="567"/>
      <c r="U79" s="28"/>
      <c r="V79" s="575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6"/>
      <c r="P80" s="567"/>
      <c r="Q80" s="567"/>
      <c r="R80" s="567"/>
      <c r="S80" s="567"/>
      <c r="T80" s="567"/>
      <c r="U80" s="28"/>
      <c r="V80" s="575"/>
    </row>
    <row r="81" spans="1:22" x14ac:dyDescent="0.2">
      <c r="A81" s="261"/>
      <c r="C81" s="131"/>
      <c r="E81" s="131"/>
      <c r="G81" s="131"/>
      <c r="I81" s="131"/>
      <c r="K81" s="131"/>
      <c r="M81" s="131"/>
      <c r="O81" s="566"/>
      <c r="P81" s="567"/>
      <c r="Q81" s="567"/>
      <c r="R81" s="567"/>
      <c r="S81" s="567"/>
      <c r="T81" s="567"/>
      <c r="U81" s="28"/>
      <c r="V81" s="575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6"/>
      <c r="P82" s="567"/>
      <c r="Q82" s="567"/>
      <c r="R82" s="567"/>
      <c r="S82" s="567"/>
      <c r="T82" s="567"/>
      <c r="U82" s="28"/>
      <c r="V82" s="575"/>
    </row>
    <row r="83" spans="1:22" x14ac:dyDescent="0.2">
      <c r="A83" s="261"/>
      <c r="C83" s="131"/>
      <c r="E83" s="131"/>
      <c r="H83" s="576"/>
      <c r="I83" s="576"/>
      <c r="J83" s="576"/>
      <c r="K83" s="576"/>
      <c r="L83" s="576"/>
      <c r="M83" s="576"/>
      <c r="N83" s="131"/>
      <c r="O83" s="566"/>
      <c r="P83" s="567"/>
      <c r="Q83" s="567"/>
      <c r="R83" s="567"/>
      <c r="S83" s="567"/>
      <c r="T83" s="567"/>
      <c r="V83" s="575"/>
    </row>
    <row r="84" spans="1:22" x14ac:dyDescent="0.2">
      <c r="A84" s="261"/>
      <c r="O84" s="566"/>
      <c r="P84" s="567"/>
      <c r="Q84" s="567"/>
      <c r="R84" s="567"/>
      <c r="S84" s="567"/>
      <c r="T84" s="567"/>
      <c r="V84" s="575"/>
    </row>
    <row r="85" spans="1:22" x14ac:dyDescent="0.2">
      <c r="A85" s="261"/>
      <c r="O85" s="566"/>
      <c r="P85" s="567"/>
      <c r="Q85" s="567"/>
      <c r="R85" s="567"/>
      <c r="S85" s="567"/>
      <c r="T85" s="567"/>
      <c r="V85" s="575"/>
    </row>
    <row r="86" spans="1:22" x14ac:dyDescent="0.2">
      <c r="A86" s="261"/>
      <c r="O86" s="566"/>
      <c r="P86" s="567"/>
      <c r="Q86" s="567"/>
      <c r="R86" s="567"/>
      <c r="S86" s="567"/>
      <c r="T86" s="567"/>
      <c r="V86" s="575"/>
    </row>
    <row r="87" spans="1:22" x14ac:dyDescent="0.2">
      <c r="A87" s="261"/>
      <c r="O87" s="566"/>
      <c r="P87" s="567"/>
      <c r="Q87" s="567"/>
      <c r="R87" s="567"/>
      <c r="S87" s="567"/>
      <c r="T87" s="567"/>
      <c r="V87" s="575"/>
    </row>
    <row r="88" spans="1:22" x14ac:dyDescent="0.2">
      <c r="A88" s="261"/>
      <c r="O88" s="566"/>
      <c r="P88" s="567"/>
      <c r="Q88" s="567"/>
      <c r="R88" s="567"/>
      <c r="S88" s="567"/>
      <c r="T88" s="567"/>
      <c r="V88" s="575"/>
    </row>
    <row r="89" spans="1:22" x14ac:dyDescent="0.2">
      <c r="A89" s="261"/>
      <c r="O89" s="566"/>
      <c r="P89" s="567"/>
      <c r="Q89" s="567"/>
      <c r="R89" s="567"/>
      <c r="S89" s="567"/>
      <c r="T89" s="567"/>
      <c r="V89" s="575"/>
    </row>
    <row r="90" spans="1:22" x14ac:dyDescent="0.2">
      <c r="B90" s="465"/>
      <c r="D90" s="465"/>
      <c r="F90" s="465"/>
      <c r="H90" s="465"/>
      <c r="J90" s="465"/>
      <c r="L90" s="465"/>
      <c r="O90" s="566"/>
      <c r="P90" s="567"/>
      <c r="Q90" s="567"/>
      <c r="R90" s="567"/>
      <c r="S90" s="567"/>
      <c r="T90" s="567"/>
      <c r="V90" s="575"/>
    </row>
    <row r="91" spans="1:22" x14ac:dyDescent="0.2">
      <c r="A91" s="577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6"/>
      <c r="P91" s="567"/>
      <c r="Q91" s="567"/>
      <c r="R91" s="567"/>
      <c r="S91" s="567"/>
      <c r="T91" s="567"/>
      <c r="V91" s="575"/>
    </row>
    <row r="92" spans="1:22" x14ac:dyDescent="0.2">
      <c r="A92" s="560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6"/>
      <c r="P92" s="576"/>
      <c r="Q92" s="576"/>
      <c r="R92" s="576"/>
      <c r="S92" s="576"/>
      <c r="T92" s="576"/>
      <c r="V92" s="561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76"/>
      <c r="I127" s="576"/>
      <c r="J127" s="576"/>
      <c r="K127" s="576"/>
      <c r="L127" s="576"/>
      <c r="M127" s="576"/>
      <c r="N127" s="131"/>
    </row>
    <row r="128" spans="1:14" x14ac:dyDescent="0.2">
      <c r="A128" s="261"/>
    </row>
    <row r="129" spans="1:14" x14ac:dyDescent="0.2">
      <c r="B129" s="465"/>
      <c r="D129" s="465"/>
      <c r="F129" s="465"/>
      <c r="H129" s="465"/>
      <c r="J129" s="465"/>
      <c r="L129" s="465"/>
    </row>
    <row r="130" spans="1:14" x14ac:dyDescent="0.2">
      <c r="B130" s="557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</row>
    <row r="131" spans="1:14" x14ac:dyDescent="0.2">
      <c r="A131" s="560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78"/>
      <c r="K166" s="578"/>
      <c r="M166" s="578"/>
      <c r="N166" s="51"/>
    </row>
    <row r="167" spans="1:14" x14ac:dyDescent="0.2">
      <c r="N167" s="51"/>
    </row>
    <row r="171" spans="1:14" x14ac:dyDescent="0.2">
      <c r="B171" s="465"/>
      <c r="D171" s="465"/>
      <c r="F171" s="465"/>
      <c r="H171" s="465"/>
      <c r="J171" s="465"/>
      <c r="L171" s="465"/>
    </row>
    <row r="172" spans="1:14" x14ac:dyDescent="0.2">
      <c r="B172" s="557"/>
      <c r="C172" s="558"/>
      <c r="D172" s="558"/>
      <c r="E172" s="558"/>
      <c r="F172" s="558"/>
      <c r="G172" s="558"/>
      <c r="H172" s="558"/>
      <c r="I172" s="558"/>
      <c r="J172" s="558"/>
      <c r="K172" s="558"/>
      <c r="L172" s="558"/>
      <c r="M172" s="558"/>
    </row>
    <row r="173" spans="1:14" x14ac:dyDescent="0.2">
      <c r="A173" s="560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78"/>
      <c r="K208" s="578"/>
      <c r="M208" s="578"/>
    </row>
    <row r="214" spans="1:13" x14ac:dyDescent="0.2">
      <c r="B214" s="465"/>
      <c r="D214" s="465"/>
      <c r="F214" s="465"/>
      <c r="H214" s="465"/>
      <c r="J214" s="465"/>
      <c r="L214" s="465"/>
    </row>
    <row r="215" spans="1:13" x14ac:dyDescent="0.2">
      <c r="B215" s="557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</row>
    <row r="216" spans="1:13" x14ac:dyDescent="0.2">
      <c r="A216" s="560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78"/>
      <c r="K251" s="578"/>
      <c r="M251" s="578"/>
    </row>
    <row r="256" spans="1:21" x14ac:dyDescent="0.2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">
      <c r="B257" s="557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O257" s="557"/>
      <c r="P257" s="558"/>
      <c r="Q257" s="558"/>
      <c r="R257" s="558"/>
      <c r="S257" s="558"/>
      <c r="T257" s="558"/>
      <c r="U257" s="558"/>
      <c r="V257" s="558"/>
      <c r="W257" s="558"/>
    </row>
    <row r="258" spans="1:23" x14ac:dyDescent="0.2">
      <c r="A258" s="560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60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78"/>
      <c r="K293" s="578"/>
      <c r="M293" s="578"/>
      <c r="V293" s="578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5"/>
      <c r="Q297" s="465"/>
      <c r="S297" s="465"/>
      <c r="U297" s="465"/>
    </row>
    <row r="298" spans="1:23" x14ac:dyDescent="0.2">
      <c r="O298" s="557"/>
      <c r="P298" s="558"/>
      <c r="Q298" s="558"/>
      <c r="R298" s="558"/>
      <c r="S298" s="558"/>
      <c r="T298" s="558"/>
      <c r="U298" s="558"/>
      <c r="V298" s="558"/>
      <c r="W298" s="558"/>
    </row>
    <row r="299" spans="1:23" x14ac:dyDescent="0.2">
      <c r="N299" s="560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79"/>
      <c r="W336" s="51"/>
    </row>
    <row r="339" spans="14:23" x14ac:dyDescent="0.2">
      <c r="O339" s="465"/>
      <c r="Q339" s="465"/>
      <c r="S339" s="465"/>
      <c r="U339" s="465"/>
    </row>
    <row r="340" spans="14:23" x14ac:dyDescent="0.2">
      <c r="O340" s="557"/>
      <c r="P340" s="558"/>
      <c r="Q340" s="558"/>
      <c r="R340" s="558"/>
      <c r="S340" s="558"/>
      <c r="T340" s="558"/>
      <c r="U340" s="558"/>
      <c r="V340" s="558"/>
      <c r="W340" s="558"/>
    </row>
    <row r="341" spans="14:23" x14ac:dyDescent="0.2">
      <c r="N341" s="560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56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79"/>
      <c r="W378" s="580"/>
    </row>
    <row r="381" spans="14:23" x14ac:dyDescent="0.2">
      <c r="O381" s="465"/>
      <c r="Q381" s="465"/>
      <c r="S381" s="465"/>
      <c r="U381" s="465"/>
    </row>
    <row r="382" spans="14:23" x14ac:dyDescent="0.2">
      <c r="O382" s="557"/>
      <c r="P382" s="558"/>
      <c r="Q382" s="558"/>
      <c r="R382" s="558"/>
      <c r="S382" s="558"/>
      <c r="T382" s="558"/>
      <c r="U382" s="558"/>
      <c r="V382" s="558"/>
      <c r="W382" s="558"/>
    </row>
    <row r="383" spans="14:23" x14ac:dyDescent="0.2">
      <c r="N383" s="560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56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79"/>
      <c r="W420" s="580"/>
    </row>
    <row r="425" spans="14:23" x14ac:dyDescent="0.2">
      <c r="O425" s="465"/>
      <c r="Q425" s="465"/>
      <c r="S425" s="465"/>
      <c r="U425" s="465"/>
    </row>
    <row r="426" spans="14:23" x14ac:dyDescent="0.2">
      <c r="O426" s="557"/>
      <c r="P426" s="558"/>
      <c r="Q426" s="558"/>
      <c r="R426" s="558"/>
      <c r="S426" s="558"/>
      <c r="T426" s="558"/>
      <c r="U426" s="558"/>
      <c r="V426" s="558"/>
      <c r="W426" s="558"/>
    </row>
    <row r="427" spans="14:23" x14ac:dyDescent="0.2">
      <c r="N427" s="560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56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79"/>
      <c r="W464" s="51"/>
    </row>
    <row r="467" spans="14:33" x14ac:dyDescent="0.2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">
      <c r="O468" s="557"/>
      <c r="P468" s="558"/>
      <c r="Q468" s="558"/>
      <c r="R468" s="558"/>
      <c r="S468" s="558"/>
      <c r="T468" s="558"/>
      <c r="U468" s="558"/>
      <c r="V468" s="558"/>
      <c r="W468" s="558"/>
      <c r="Y468" s="557"/>
      <c r="Z468" s="558"/>
      <c r="AA468" s="558"/>
      <c r="AB468" s="558"/>
      <c r="AC468" s="558"/>
      <c r="AD468" s="558"/>
      <c r="AE468" s="558"/>
      <c r="AF468" s="558"/>
      <c r="AG468" s="558"/>
    </row>
    <row r="469" spans="14:33" x14ac:dyDescent="0.2">
      <c r="N469" s="560"/>
      <c r="O469" s="466"/>
      <c r="P469" s="466"/>
      <c r="Q469" s="466"/>
      <c r="R469" s="466"/>
      <c r="S469" s="466"/>
      <c r="T469" s="466"/>
      <c r="U469" s="466"/>
      <c r="V469" s="466"/>
      <c r="W469" s="466"/>
      <c r="X469" s="560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56"/>
      <c r="P504" s="131"/>
      <c r="R504" s="131"/>
      <c r="T504" s="131"/>
      <c r="V504" s="131"/>
      <c r="W504" s="51"/>
      <c r="X504" s="556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79"/>
      <c r="W506" s="51"/>
      <c r="X506" s="579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41" sqref="C4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">
      <c r="A27" s="10">
        <v>21</v>
      </c>
      <c r="B27" s="129">
        <v>125668</v>
      </c>
      <c r="C27" s="11">
        <v>125294</v>
      </c>
      <c r="D27" s="25">
        <f t="shared" si="0"/>
        <v>-374</v>
      </c>
    </row>
    <row r="28" spans="1:4" x14ac:dyDescent="0.2">
      <c r="A28" s="10">
        <v>22</v>
      </c>
      <c r="B28" s="11">
        <v>125226</v>
      </c>
      <c r="C28" s="11">
        <v>125294</v>
      </c>
      <c r="D28" s="25">
        <f t="shared" si="0"/>
        <v>68</v>
      </c>
    </row>
    <row r="29" spans="1:4" x14ac:dyDescent="0.2">
      <c r="A29" s="10">
        <v>23</v>
      </c>
      <c r="B29" s="11">
        <v>121913</v>
      </c>
      <c r="C29" s="11">
        <v>121546</v>
      </c>
      <c r="D29" s="25">
        <f t="shared" si="0"/>
        <v>-367</v>
      </c>
    </row>
    <row r="30" spans="1:4" x14ac:dyDescent="0.2">
      <c r="A30" s="10">
        <v>24</v>
      </c>
      <c r="B30" s="11">
        <v>132972</v>
      </c>
      <c r="C30" s="11">
        <v>132944</v>
      </c>
      <c r="D30" s="25">
        <f t="shared" si="0"/>
        <v>-28</v>
      </c>
    </row>
    <row r="31" spans="1:4" x14ac:dyDescent="0.2">
      <c r="A31" s="10">
        <v>25</v>
      </c>
      <c r="B31" s="11">
        <v>134340</v>
      </c>
      <c r="C31" s="11">
        <v>135467</v>
      </c>
      <c r="D31" s="25">
        <f t="shared" si="0"/>
        <v>1127</v>
      </c>
    </row>
    <row r="32" spans="1:4" x14ac:dyDescent="0.2">
      <c r="A32" s="10">
        <v>26</v>
      </c>
      <c r="B32" s="11">
        <v>130514</v>
      </c>
      <c r="C32" s="11">
        <v>130597</v>
      </c>
      <c r="D32" s="25">
        <f t="shared" si="0"/>
        <v>83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3580442</v>
      </c>
      <c r="C38" s="11">
        <f>SUM(C7:C37)</f>
        <v>3552704</v>
      </c>
      <c r="D38" s="11">
        <f>SUM(D7:D37)</f>
        <v>-27738</v>
      </c>
    </row>
    <row r="39" spans="1:8" x14ac:dyDescent="0.2">
      <c r="A39" s="26"/>
      <c r="C39" s="14"/>
      <c r="D39" s="106">
        <f>+summary!G3</f>
        <v>2.08</v>
      </c>
    </row>
    <row r="40" spans="1:8" x14ac:dyDescent="0.2">
      <c r="D40" s="138">
        <f>+D39*D38</f>
        <v>-57695.040000000001</v>
      </c>
      <c r="H40">
        <v>20</v>
      </c>
    </row>
    <row r="41" spans="1:8" x14ac:dyDescent="0.2">
      <c r="A41" s="57">
        <v>37256</v>
      </c>
      <c r="C41" s="15"/>
      <c r="D41" s="542">
        <v>47594.94</v>
      </c>
      <c r="H41">
        <v>530</v>
      </c>
    </row>
    <row r="42" spans="1:8" x14ac:dyDescent="0.2">
      <c r="A42" s="57">
        <v>37282</v>
      </c>
      <c r="D42" s="319">
        <f>+D41+D40</f>
        <v>-10100.099999999999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24">
        <v>20411</v>
      </c>
    </row>
    <row r="48" spans="1:8" x14ac:dyDescent="0.2">
      <c r="A48" s="49">
        <f>+A42</f>
        <v>37282</v>
      </c>
      <c r="B48" s="32"/>
      <c r="C48" s="32"/>
      <c r="D48" s="350">
        <f>+D38</f>
        <v>-27738</v>
      </c>
    </row>
    <row r="49" spans="1:4" x14ac:dyDescent="0.2">
      <c r="A49" s="32"/>
      <c r="B49" s="32"/>
      <c r="C49" s="32"/>
      <c r="D49" s="14">
        <f>+D48+D47</f>
        <v>-7327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5" workbookViewId="0">
      <selection activeCell="C31" sqref="C3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">
      <c r="A24" s="10">
        <v>21</v>
      </c>
      <c r="B24" s="129">
        <v>-205676</v>
      </c>
      <c r="C24" s="11">
        <v>-208000</v>
      </c>
      <c r="D24" s="25">
        <f t="shared" si="0"/>
        <v>-2324</v>
      </c>
    </row>
    <row r="25" spans="1:4" x14ac:dyDescent="0.2">
      <c r="A25" s="10">
        <v>22</v>
      </c>
      <c r="B25" s="11">
        <v>-208617</v>
      </c>
      <c r="C25" s="11">
        <v>-208000</v>
      </c>
      <c r="D25" s="25">
        <f t="shared" si="0"/>
        <v>617</v>
      </c>
    </row>
    <row r="26" spans="1:4" x14ac:dyDescent="0.2">
      <c r="A26" s="10">
        <v>23</v>
      </c>
      <c r="B26" s="129">
        <v>-248388</v>
      </c>
      <c r="C26" s="11">
        <v>-247667</v>
      </c>
      <c r="D26" s="25">
        <f t="shared" si="0"/>
        <v>721</v>
      </c>
    </row>
    <row r="27" spans="1:4" x14ac:dyDescent="0.2">
      <c r="A27" s="10">
        <v>24</v>
      </c>
      <c r="B27" s="129">
        <v>-247337</v>
      </c>
      <c r="C27" s="11">
        <v>-248000</v>
      </c>
      <c r="D27" s="25">
        <f t="shared" si="0"/>
        <v>-663</v>
      </c>
    </row>
    <row r="28" spans="1:4" x14ac:dyDescent="0.2">
      <c r="A28" s="10">
        <v>25</v>
      </c>
      <c r="B28" s="129">
        <v>-238336</v>
      </c>
      <c r="C28" s="11">
        <v>-237756</v>
      </c>
      <c r="D28" s="25">
        <f t="shared" si="0"/>
        <v>580</v>
      </c>
    </row>
    <row r="29" spans="1:4" x14ac:dyDescent="0.2">
      <c r="A29" s="10">
        <v>26</v>
      </c>
      <c r="B29" s="129">
        <v>-253429</v>
      </c>
      <c r="C29" s="11">
        <v>-252666</v>
      </c>
      <c r="D29" s="25">
        <f t="shared" si="0"/>
        <v>763</v>
      </c>
    </row>
    <row r="30" spans="1:4" x14ac:dyDescent="0.2">
      <c r="A30" s="10">
        <v>27</v>
      </c>
      <c r="B30" s="129">
        <v>-253772</v>
      </c>
      <c r="C30" s="11">
        <v>-252999</v>
      </c>
      <c r="D30" s="25">
        <f t="shared" si="0"/>
        <v>773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-4986173</v>
      </c>
      <c r="C35" s="11">
        <f>SUM(C4:C34)</f>
        <v>-5019096</v>
      </c>
      <c r="D35" s="11">
        <f>SUM(D4:D34)</f>
        <v>-32923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1">
        <v>59071</v>
      </c>
    </row>
    <row r="39" spans="1:30" x14ac:dyDescent="0.2">
      <c r="A39" s="12"/>
      <c r="D39" s="51"/>
    </row>
    <row r="40" spans="1:30" x14ac:dyDescent="0.2">
      <c r="A40" s="245">
        <v>37283</v>
      </c>
      <c r="D40" s="51">
        <f>+D38+D35</f>
        <v>26148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3"/>
      <c r="K44"/>
    </row>
    <row r="45" spans="1:30" x14ac:dyDescent="0.2">
      <c r="A45" s="49">
        <f>+A38</f>
        <v>37256</v>
      </c>
      <c r="B45" s="32"/>
      <c r="C45" s="32"/>
      <c r="D45" s="550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37283</v>
      </c>
      <c r="B46" s="32"/>
      <c r="C46" s="32"/>
      <c r="D46" s="375">
        <f>+D35*'by type_area'!G4</f>
        <v>-69138.3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-149681.45000000001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2" workbookViewId="0">
      <selection activeCell="C31" sqref="C3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">
      <c r="A24" s="10">
        <v>21</v>
      </c>
      <c r="B24" s="11">
        <v>-539935</v>
      </c>
      <c r="C24" s="11">
        <v>-542926</v>
      </c>
      <c r="D24" s="129"/>
      <c r="E24" s="11"/>
      <c r="F24" s="25">
        <f t="shared" si="0"/>
        <v>-2991</v>
      </c>
      <c r="H24" s="10"/>
      <c r="I24" s="11"/>
      <c r="K24" s="25"/>
    </row>
    <row r="25" spans="1:11" x14ac:dyDescent="0.2">
      <c r="A25" s="10">
        <v>22</v>
      </c>
      <c r="B25" s="11">
        <v>-554211</v>
      </c>
      <c r="C25" s="11">
        <v>-535626</v>
      </c>
      <c r="D25" s="11"/>
      <c r="E25" s="11"/>
      <c r="F25" s="25">
        <f t="shared" si="0"/>
        <v>18585</v>
      </c>
      <c r="H25" s="10"/>
      <c r="I25" s="11"/>
    </row>
    <row r="26" spans="1:11" x14ac:dyDescent="0.2">
      <c r="A26" s="10">
        <v>23</v>
      </c>
      <c r="B26" s="11">
        <v>-586599</v>
      </c>
      <c r="C26" s="11">
        <v>-594921</v>
      </c>
      <c r="D26" s="11"/>
      <c r="E26" s="11"/>
      <c r="F26" s="25">
        <f t="shared" si="0"/>
        <v>-8322</v>
      </c>
      <c r="H26" s="10"/>
      <c r="I26" s="11"/>
    </row>
    <row r="27" spans="1:11" x14ac:dyDescent="0.2">
      <c r="A27" s="10">
        <v>24</v>
      </c>
      <c r="B27" s="11">
        <v>-612451</v>
      </c>
      <c r="C27" s="11">
        <v>-604325</v>
      </c>
      <c r="D27" s="11"/>
      <c r="E27" s="11"/>
      <c r="F27" s="25">
        <f t="shared" si="0"/>
        <v>8126</v>
      </c>
      <c r="H27" s="10"/>
      <c r="I27" s="11"/>
      <c r="K27" s="25"/>
    </row>
    <row r="28" spans="1:11" x14ac:dyDescent="0.2">
      <c r="A28" s="10">
        <v>25</v>
      </c>
      <c r="B28" s="11">
        <v>-642961</v>
      </c>
      <c r="C28" s="11">
        <v>-634701</v>
      </c>
      <c r="D28" s="11"/>
      <c r="E28" s="11"/>
      <c r="F28" s="25">
        <f t="shared" si="0"/>
        <v>8260</v>
      </c>
      <c r="H28" s="10"/>
      <c r="I28" s="11"/>
      <c r="K28" s="25"/>
    </row>
    <row r="29" spans="1:11" x14ac:dyDescent="0.2">
      <c r="A29" s="10">
        <v>26</v>
      </c>
      <c r="B29" s="11">
        <v>-743399</v>
      </c>
      <c r="C29" s="11">
        <v>-757633</v>
      </c>
      <c r="D29" s="11"/>
      <c r="E29" s="11"/>
      <c r="F29" s="25">
        <f t="shared" si="0"/>
        <v>-14234</v>
      </c>
      <c r="H29" s="10"/>
      <c r="I29" s="11"/>
      <c r="K29" s="25"/>
    </row>
    <row r="30" spans="1:11" x14ac:dyDescent="0.2">
      <c r="A30" s="10">
        <v>27</v>
      </c>
      <c r="B30" s="11">
        <v>-753956</v>
      </c>
      <c r="C30" s="11">
        <v>-751782</v>
      </c>
      <c r="D30" s="11"/>
      <c r="E30" s="11"/>
      <c r="F30" s="25">
        <f t="shared" si="0"/>
        <v>2174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-15436269</v>
      </c>
      <c r="C35" s="11">
        <f>SUM(C4:C34)</f>
        <v>-15462833</v>
      </c>
      <c r="D35" s="11">
        <f>SUM(D4:D34)</f>
        <v>0</v>
      </c>
      <c r="E35" s="11">
        <f>SUM(E4:E34)</f>
        <v>0</v>
      </c>
      <c r="F35" s="11">
        <f>SUM(F4:F34)</f>
        <v>-26564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33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37283</v>
      </c>
      <c r="D40" s="246"/>
      <c r="E40" s="246"/>
      <c r="F40" s="51">
        <f>+F38+F35</f>
        <v>77856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37256</v>
      </c>
      <c r="B45" s="32"/>
      <c r="C45" s="32"/>
      <c r="D45" s="550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37283</v>
      </c>
      <c r="B46" s="32"/>
      <c r="C46" s="32"/>
      <c r="D46" s="474">
        <f>+F35*'by type_area'!G4</f>
        <v>-55784.4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2">
        <f>+D46+D45</f>
        <v>276132.59999999998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K1" workbookViewId="0">
      <selection activeCell="N13" sqref="N13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9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0" t="s">
        <v>49</v>
      </c>
      <c r="Q3" s="521" t="s">
        <v>15</v>
      </c>
      <c r="R3" s="522" t="s">
        <v>27</v>
      </c>
    </row>
    <row r="4" spans="1:19" ht="18" customHeight="1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-121567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-8744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1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1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1"/>
      <c r="L23" s="11"/>
      <c r="M23" s="11"/>
      <c r="N23" s="11"/>
      <c r="O23" s="2"/>
    </row>
    <row r="24" spans="1:18" x14ac:dyDescent="0.2">
      <c r="A24" s="41">
        <v>21</v>
      </c>
      <c r="B24" s="11">
        <v>-87575</v>
      </c>
      <c r="C24" s="11">
        <v>-14795</v>
      </c>
      <c r="D24" s="11"/>
      <c r="E24" s="11">
        <v>-76547</v>
      </c>
      <c r="F24" s="11"/>
      <c r="G24" s="11"/>
      <c r="H24" s="11">
        <f t="shared" si="0"/>
        <v>-3767</v>
      </c>
      <c r="I24" s="11"/>
      <c r="J24" s="102"/>
      <c r="K24" s="511"/>
      <c r="L24" s="11"/>
      <c r="M24" s="11"/>
      <c r="N24" s="11"/>
      <c r="O24" s="2"/>
    </row>
    <row r="25" spans="1:18" x14ac:dyDescent="0.2">
      <c r="A25" s="41">
        <v>22</v>
      </c>
      <c r="B25" s="11">
        <v>-125220</v>
      </c>
      <c r="C25" s="11">
        <v>-14795</v>
      </c>
      <c r="D25" s="11"/>
      <c r="E25" s="11">
        <v>-108861</v>
      </c>
      <c r="F25" s="11"/>
      <c r="G25" s="11"/>
      <c r="H25" s="11">
        <f t="shared" si="0"/>
        <v>1564</v>
      </c>
      <c r="I25" s="11"/>
      <c r="J25" s="102"/>
      <c r="K25" s="511"/>
      <c r="L25" s="11"/>
      <c r="M25" s="11"/>
      <c r="N25" s="11"/>
      <c r="O25" s="2"/>
    </row>
    <row r="26" spans="1:18" x14ac:dyDescent="0.2">
      <c r="A26" s="41">
        <v>23</v>
      </c>
      <c r="B26" s="11">
        <v>-67695</v>
      </c>
      <c r="C26" s="11">
        <v>205</v>
      </c>
      <c r="D26" s="11"/>
      <c r="E26" s="11">
        <v>-67000</v>
      </c>
      <c r="F26" s="11"/>
      <c r="G26" s="11"/>
      <c r="H26" s="11">
        <f t="shared" si="0"/>
        <v>900</v>
      </c>
      <c r="I26" s="11"/>
      <c r="J26" s="102"/>
      <c r="K26" s="511"/>
      <c r="L26" s="11"/>
      <c r="M26" s="11"/>
      <c r="N26" s="11"/>
      <c r="O26" s="2"/>
    </row>
    <row r="27" spans="1:18" x14ac:dyDescent="0.2">
      <c r="A27" s="41">
        <v>24</v>
      </c>
      <c r="B27" s="11">
        <v>-119840</v>
      </c>
      <c r="C27" s="11">
        <v>205</v>
      </c>
      <c r="D27" s="11"/>
      <c r="E27" s="11">
        <v>-118271</v>
      </c>
      <c r="F27" s="11"/>
      <c r="G27" s="11"/>
      <c r="H27" s="11">
        <f t="shared" si="0"/>
        <v>1774</v>
      </c>
      <c r="I27" s="11"/>
      <c r="J27" s="102"/>
      <c r="K27" s="511"/>
      <c r="L27" s="11"/>
      <c r="M27" s="11"/>
      <c r="N27" s="11"/>
      <c r="O27" s="2"/>
    </row>
    <row r="28" spans="1:18" x14ac:dyDescent="0.2">
      <c r="A28" s="41">
        <v>25</v>
      </c>
      <c r="B28" s="11">
        <v>-50597</v>
      </c>
      <c r="C28" s="11">
        <v>205</v>
      </c>
      <c r="D28" s="11"/>
      <c r="E28" s="11">
        <v>-50000</v>
      </c>
      <c r="F28" s="11"/>
      <c r="G28" s="11"/>
      <c r="H28" s="11">
        <f t="shared" si="0"/>
        <v>802</v>
      </c>
      <c r="I28" s="11"/>
      <c r="J28" s="102"/>
      <c r="K28" s="511"/>
      <c r="L28" s="11"/>
      <c r="M28" s="11"/>
      <c r="N28" s="11"/>
    </row>
    <row r="29" spans="1:18" x14ac:dyDescent="0.2">
      <c r="A29" s="41">
        <v>26</v>
      </c>
      <c r="B29" s="11">
        <v>-25050</v>
      </c>
      <c r="C29" s="11">
        <v>455</v>
      </c>
      <c r="D29" s="11"/>
      <c r="E29" s="11">
        <v>-22453</v>
      </c>
      <c r="F29" s="11"/>
      <c r="G29" s="11"/>
      <c r="H29" s="11">
        <f t="shared" si="0"/>
        <v>3052</v>
      </c>
      <c r="I29" s="11"/>
      <c r="J29" s="102"/>
      <c r="K29" s="511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1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1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1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1"/>
      <c r="L34" s="11"/>
      <c r="M34" s="11"/>
      <c r="N34" s="11"/>
    </row>
    <row r="35" spans="1:14" x14ac:dyDescent="0.2">
      <c r="A35" s="41"/>
      <c r="B35" s="11">
        <f t="shared" ref="B35:H35" si="3">SUM(B4:B34)</f>
        <v>-2466765</v>
      </c>
      <c r="C35" s="44">
        <f t="shared" si="3"/>
        <v>-671892</v>
      </c>
      <c r="D35" s="11">
        <f t="shared" si="3"/>
        <v>-25</v>
      </c>
      <c r="E35" s="44">
        <f t="shared" si="3"/>
        <v>-1766635</v>
      </c>
      <c r="F35" s="11">
        <f t="shared" si="3"/>
        <v>0</v>
      </c>
      <c r="G35" s="11">
        <f t="shared" si="3"/>
        <v>0</v>
      </c>
      <c r="H35" s="11">
        <f t="shared" si="3"/>
        <v>28263</v>
      </c>
      <c r="I35" s="11"/>
      <c r="J35" s="102"/>
      <c r="K35" s="511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</v>
      </c>
      <c r="I36" s="11"/>
      <c r="J36" s="102"/>
      <c r="K36" s="511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59352.3</v>
      </c>
      <c r="I37" s="11"/>
      <c r="J37" s="102"/>
      <c r="K37" s="511"/>
      <c r="L37" s="11"/>
      <c r="M37" s="11"/>
      <c r="N37" s="11"/>
    </row>
    <row r="38" spans="1:14" x14ac:dyDescent="0.2">
      <c r="C38" s="24"/>
      <c r="D38" s="47"/>
      <c r="E38" s="476">
        <v>37256</v>
      </c>
      <c r="F38" s="473"/>
      <c r="G38" s="265"/>
      <c r="H38" s="495">
        <v>-68258</v>
      </c>
      <c r="I38" s="262"/>
      <c r="J38" s="102"/>
      <c r="K38" s="512"/>
      <c r="L38" s="14"/>
      <c r="M38" s="14"/>
      <c r="N38" s="16"/>
    </row>
    <row r="39" spans="1:14" x14ac:dyDescent="0.2">
      <c r="C39" s="14"/>
      <c r="D39" s="47"/>
      <c r="E39" s="263">
        <v>37282</v>
      </c>
      <c r="F39" s="473"/>
      <c r="G39" s="473"/>
      <c r="H39" s="319">
        <f>+H38+H37</f>
        <v>-8905.6999999999971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3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4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4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8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37282</v>
      </c>
      <c r="E47" s="459">
        <f>+H35</f>
        <v>28263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23179</v>
      </c>
      <c r="F48" s="129"/>
      <c r="G48" s="129"/>
      <c r="H48" s="129"/>
      <c r="I48" s="262"/>
      <c r="J48" s="102"/>
      <c r="K48" s="515"/>
      <c r="L48" s="38"/>
      <c r="M48" s="4"/>
    </row>
    <row r="49" spans="1:15" ht="12.75" x14ac:dyDescent="0.2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3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4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4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5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6"/>
      <c r="L91" s="6"/>
      <c r="M91" s="6"/>
    </row>
    <row r="92" spans="1:14" x14ac:dyDescent="0.2">
      <c r="I92" s="11"/>
      <c r="J92" s="11"/>
      <c r="K92" s="511"/>
      <c r="L92" s="11"/>
      <c r="M92" s="11"/>
      <c r="N92" s="11"/>
    </row>
    <row r="93" spans="1:14" x14ac:dyDescent="0.2">
      <c r="G93" s="41"/>
      <c r="H93" s="11"/>
      <c r="I93" s="11"/>
      <c r="J93" s="11"/>
      <c r="K93" s="511"/>
      <c r="L93" s="11"/>
      <c r="M93" s="11"/>
      <c r="N93" s="11"/>
    </row>
    <row r="94" spans="1:14" x14ac:dyDescent="0.2">
      <c r="G94" s="41"/>
      <c r="H94" s="11"/>
      <c r="I94" s="11"/>
      <c r="J94" s="11"/>
      <c r="K94" s="511"/>
      <c r="L94" s="11"/>
      <c r="M94" s="11"/>
      <c r="N94" s="11"/>
    </row>
    <row r="95" spans="1:14" x14ac:dyDescent="0.2">
      <c r="G95" s="41"/>
      <c r="H95" s="11"/>
      <c r="I95" s="11"/>
      <c r="J95" s="11"/>
      <c r="K95" s="511"/>
      <c r="L95" s="11"/>
      <c r="M95" s="11"/>
      <c r="N95" s="11"/>
    </row>
    <row r="96" spans="1:14" x14ac:dyDescent="0.2">
      <c r="G96" s="41"/>
      <c r="H96" s="11"/>
      <c r="I96" s="11"/>
      <c r="J96" s="11"/>
      <c r="K96" s="511"/>
      <c r="L96" s="11"/>
      <c r="M96" s="11"/>
      <c r="N96" s="11"/>
    </row>
    <row r="97" spans="7:14" x14ac:dyDescent="0.2">
      <c r="G97" s="41"/>
      <c r="H97" s="11"/>
      <c r="I97" s="11"/>
      <c r="J97" s="11"/>
      <c r="K97" s="511"/>
      <c r="L97" s="11"/>
      <c r="M97" s="11"/>
      <c r="N97" s="11"/>
    </row>
    <row r="98" spans="7:14" x14ac:dyDescent="0.2">
      <c r="G98" s="41"/>
      <c r="H98" s="11"/>
      <c r="I98" s="11"/>
      <c r="J98" s="11"/>
      <c r="K98" s="511"/>
      <c r="L98" s="11"/>
      <c r="M98" s="11"/>
      <c r="N98" s="11"/>
    </row>
    <row r="99" spans="7:14" x14ac:dyDescent="0.2">
      <c r="G99" s="41"/>
      <c r="H99" s="11"/>
      <c r="I99" s="11"/>
      <c r="J99" s="11"/>
      <c r="K99" s="511"/>
      <c r="L99" s="11"/>
      <c r="M99" s="11"/>
      <c r="N99" s="11"/>
    </row>
    <row r="100" spans="7:14" x14ac:dyDescent="0.2">
      <c r="G100" s="41"/>
      <c r="H100" s="11"/>
      <c r="I100" s="11"/>
      <c r="J100" s="11"/>
      <c r="K100" s="5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1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3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4"/>
      <c r="L127" s="50"/>
      <c r="M127" s="50"/>
      <c r="N127" s="106"/>
    </row>
    <row r="128" spans="7:14" x14ac:dyDescent="0.2">
      <c r="G128" s="57"/>
      <c r="J128" s="50"/>
      <c r="K128" s="514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5"/>
      <c r="L133" s="38"/>
      <c r="M133" s="4"/>
    </row>
    <row r="134" spans="7:14" x14ac:dyDescent="0.2">
      <c r="G134" s="39"/>
      <c r="H134" s="6"/>
      <c r="I134" s="40"/>
      <c r="J134" s="6"/>
      <c r="K134" s="516"/>
      <c r="L134" s="6"/>
      <c r="M134" s="6"/>
    </row>
    <row r="135" spans="7:14" x14ac:dyDescent="0.2">
      <c r="G135" s="41"/>
      <c r="H135" s="11"/>
      <c r="I135" s="11"/>
      <c r="J135" s="11"/>
      <c r="K135" s="5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7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8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3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4"/>
      <c r="L171" s="57"/>
      <c r="M171" s="50"/>
      <c r="N171" s="106"/>
    </row>
    <row r="172" spans="7:14" x14ac:dyDescent="0.2">
      <c r="J172" s="50"/>
      <c r="K172" s="514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5"/>
      <c r="L177" s="38"/>
      <c r="M177" s="4"/>
    </row>
    <row r="178" spans="7:14" x14ac:dyDescent="0.2">
      <c r="G178" s="39"/>
      <c r="H178" s="6"/>
      <c r="I178" s="40"/>
      <c r="J178" s="6"/>
      <c r="K178" s="516"/>
      <c r="L178" s="6"/>
      <c r="M178" s="6"/>
    </row>
    <row r="179" spans="7:14" x14ac:dyDescent="0.2">
      <c r="G179" s="41"/>
      <c r="H179" s="11"/>
      <c r="I179" s="11"/>
      <c r="J179" s="11"/>
      <c r="K179" s="5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7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8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3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4"/>
      <c r="L215" s="57"/>
      <c r="M215" s="50"/>
      <c r="N215" s="106"/>
    </row>
    <row r="216" spans="7:14" x14ac:dyDescent="0.2">
      <c r="J216" s="50"/>
      <c r="K216" s="514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5"/>
      <c r="L220" s="38"/>
      <c r="M220" s="4"/>
    </row>
    <row r="221" spans="7:14" x14ac:dyDescent="0.2">
      <c r="G221" s="39"/>
      <c r="H221" s="6"/>
      <c r="I221" s="40"/>
      <c r="J221" s="6"/>
      <c r="K221" s="516"/>
      <c r="L221" s="6"/>
      <c r="M221" s="6"/>
    </row>
    <row r="222" spans="7:14" x14ac:dyDescent="0.2">
      <c r="G222" s="41"/>
      <c r="H222" s="11"/>
      <c r="I222" s="11"/>
      <c r="J222" s="11"/>
      <c r="K222" s="5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7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8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3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4"/>
      <c r="L258" s="57"/>
      <c r="M258" s="50"/>
      <c r="N258" s="106"/>
    </row>
    <row r="259" spans="10:14" x14ac:dyDescent="0.2">
      <c r="J259" s="50"/>
      <c r="K259" s="514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7" workbookViewId="0">
      <selection activeCell="E32" sqref="E32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-283798</v>
      </c>
      <c r="E25" s="11">
        <v>-286462</v>
      </c>
      <c r="F25" s="11"/>
      <c r="G25" s="11"/>
      <c r="H25" s="24">
        <f t="shared" si="0"/>
        <v>-2664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-288119</v>
      </c>
      <c r="E26" s="11">
        <v>-289235</v>
      </c>
      <c r="F26" s="11"/>
      <c r="G26" s="11"/>
      <c r="H26" s="24">
        <f t="shared" si="0"/>
        <v>-1116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>
        <v>-273336</v>
      </c>
      <c r="E27" s="11">
        <v>-275597</v>
      </c>
      <c r="F27" s="11"/>
      <c r="G27" s="11"/>
      <c r="H27" s="24">
        <f t="shared" si="0"/>
        <v>-2261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-299291</v>
      </c>
      <c r="E28" s="11">
        <v>-301016</v>
      </c>
      <c r="F28" s="11"/>
      <c r="G28" s="11"/>
      <c r="H28" s="24">
        <f t="shared" si="0"/>
        <v>-1725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v>-293801</v>
      </c>
      <c r="E29" s="11">
        <v>-294789</v>
      </c>
      <c r="F29" s="11"/>
      <c r="G29" s="11"/>
      <c r="H29" s="24">
        <f t="shared" si="0"/>
        <v>-988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>
        <v>-278070</v>
      </c>
      <c r="E30" s="11">
        <v>-276979</v>
      </c>
      <c r="F30" s="11"/>
      <c r="G30" s="11"/>
      <c r="H30" s="24">
        <f t="shared" si="0"/>
        <v>1091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v>-288953</v>
      </c>
      <c r="E31" s="11">
        <v>-286686</v>
      </c>
      <c r="F31" s="11"/>
      <c r="G31" s="11"/>
      <c r="H31" s="24">
        <f t="shared" si="0"/>
        <v>2267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-7835979</v>
      </c>
      <c r="E36" s="11">
        <f t="shared" si="15"/>
        <v>-7875406</v>
      </c>
      <c r="F36" s="11">
        <f t="shared" si="15"/>
        <v>0</v>
      </c>
      <c r="G36" s="11">
        <f t="shared" si="15"/>
        <v>0</v>
      </c>
      <c r="H36" s="11">
        <f t="shared" si="15"/>
        <v>-39427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-39427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39">
        <v>64269</v>
      </c>
      <c r="D38" s="320"/>
      <c r="E38" s="540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37283</v>
      </c>
      <c r="B39" s="2" t="s">
        <v>45</v>
      </c>
      <c r="C39" s="131">
        <f>+C38+C37</f>
        <v>64269</v>
      </c>
      <c r="D39" s="252"/>
      <c r="E39" s="131">
        <f>+E38+E37</f>
        <v>-61586</v>
      </c>
      <c r="F39" s="252"/>
      <c r="G39" s="131"/>
      <c r="H39" s="131">
        <f>+H38+H36</f>
        <v>2683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1">
        <v>-1582961.01</v>
      </c>
      <c r="D44" s="205"/>
      <c r="E44" s="552">
        <v>1039794.5</v>
      </c>
      <c r="F44" s="47">
        <f>+E44+C44</f>
        <v>-543166.51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37283</v>
      </c>
      <c r="B45" s="32"/>
      <c r="C45" s="47">
        <f>+C37*summary!G4</f>
        <v>0</v>
      </c>
      <c r="D45" s="205"/>
      <c r="E45" s="377">
        <f>+E37*summary!G3</f>
        <v>-82008.160000000003</v>
      </c>
      <c r="F45" s="47">
        <f>+E45+C45</f>
        <v>-82008.160000000003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6" workbookViewId="0">
      <selection activeCell="A45" sqref="A4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554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1">
        <f>+A45</f>
        <v>37283</v>
      </c>
      <c r="I23" s="11">
        <f>+B39</f>
        <v>3946490</v>
      </c>
      <c r="J23" s="11">
        <f>+C39</f>
        <v>3929197</v>
      </c>
      <c r="K23" s="11">
        <f>+D39</f>
        <v>349658</v>
      </c>
      <c r="L23" s="11">
        <f>+E39</f>
        <v>351891</v>
      </c>
      <c r="M23" s="42">
        <f>+J23-I23+L23-K23</f>
        <v>-15060</v>
      </c>
      <c r="N23" s="102">
        <f>+summary!G3</f>
        <v>2.08</v>
      </c>
      <c r="O23" s="503">
        <f>+N23*M23</f>
        <v>-31324.799999999999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2">
        <f>SUM(M9:M23)</f>
        <v>74740</v>
      </c>
      <c r="N24" s="102"/>
      <c r="O24" s="102">
        <f>SUM(O9:O23)</f>
        <v>536791.53999999992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6"/>
      <c r="H25" s="500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>
        <v>146748</v>
      </c>
      <c r="C28" s="150">
        <v>146720</v>
      </c>
      <c r="D28" s="150">
        <v>11772</v>
      </c>
      <c r="E28" s="150">
        <v>13033</v>
      </c>
      <c r="F28" s="11">
        <f t="shared" si="5"/>
        <v>1233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>
        <v>147080</v>
      </c>
      <c r="C29" s="150">
        <v>145409</v>
      </c>
      <c r="D29" s="150">
        <v>13233</v>
      </c>
      <c r="E29" s="150">
        <v>13033</v>
      </c>
      <c r="F29" s="11">
        <f t="shared" si="5"/>
        <v>-1871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145115</v>
      </c>
      <c r="C30" s="150">
        <v>144287</v>
      </c>
      <c r="D30" s="150">
        <v>13437</v>
      </c>
      <c r="E30" s="150">
        <v>13033</v>
      </c>
      <c r="F30" s="11">
        <f t="shared" si="5"/>
        <v>-1232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147232</v>
      </c>
      <c r="C31" s="150">
        <v>146997</v>
      </c>
      <c r="D31" s="150">
        <v>14001</v>
      </c>
      <c r="E31" s="150">
        <v>13033</v>
      </c>
      <c r="F31" s="11">
        <f t="shared" si="5"/>
        <v>-1203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147238</v>
      </c>
      <c r="C32" s="150">
        <v>146842</v>
      </c>
      <c r="D32" s="150">
        <v>13832</v>
      </c>
      <c r="E32" s="150">
        <v>13033</v>
      </c>
      <c r="F32" s="11">
        <f t="shared" si="5"/>
        <v>-1195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143617</v>
      </c>
      <c r="C33" s="150">
        <v>143433</v>
      </c>
      <c r="D33" s="150">
        <v>13982</v>
      </c>
      <c r="E33" s="150">
        <v>13033</v>
      </c>
      <c r="F33" s="11">
        <f t="shared" si="5"/>
        <v>-1133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>
        <v>147150</v>
      </c>
      <c r="C34" s="150">
        <v>146889</v>
      </c>
      <c r="D34" s="150">
        <v>12734</v>
      </c>
      <c r="E34" s="150">
        <v>13033</v>
      </c>
      <c r="F34" s="11">
        <f t="shared" si="5"/>
        <v>38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3946490</v>
      </c>
      <c r="C39" s="150">
        <f>SUM(C8:C38)</f>
        <v>3929197</v>
      </c>
      <c r="D39" s="150">
        <f>SUM(D8:D38)</f>
        <v>349658</v>
      </c>
      <c r="E39" s="150">
        <f>SUM(E8:E38)</f>
        <v>351891</v>
      </c>
      <c r="F39" s="11">
        <f t="shared" si="5"/>
        <v>-15060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2"/>
      <c r="D44" s="111"/>
      <c r="E44" s="462"/>
      <c r="F44" s="493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37283</v>
      </c>
      <c r="B45" s="32"/>
      <c r="C45" s="106"/>
      <c r="D45" s="106"/>
      <c r="E45" s="106"/>
      <c r="F45" s="24">
        <f>+F44+F39</f>
        <v>15071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3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37283</v>
      </c>
      <c r="B51" s="32"/>
      <c r="C51" s="32"/>
      <c r="D51" s="350">
        <f>+F39*summary!G3</f>
        <v>-31324.799999999999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403035.98000000004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2002-01-29T03:24:39Z</cp:lastPrinted>
  <dcterms:created xsi:type="dcterms:W3CDTF">2000-03-28T16:52:23Z</dcterms:created>
  <dcterms:modified xsi:type="dcterms:W3CDTF">2023-09-14T17:30:50Z</dcterms:modified>
</cp:coreProperties>
</file>