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33B889B-F8B9-4460-9C16-D1C308EAA005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A128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4" i="20"/>
  <c r="B45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P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<sst xmlns="http://schemas.openxmlformats.org/spreadsheetml/2006/main" count="1013" uniqueCount="315">
  <si>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</si>
  <si>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</si>
  <si>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</si>
  <si>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</si>
  <si>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</si>
  <si>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</si>
  <si>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</si>
  <si>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</si>
  <si>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</si>
  <si>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</si>
  <si>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</si>
  <si>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</si>
  <si>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</si>
  <si>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</si>
  <si>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</si>
  <si>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</si>
  <si>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</si>
  <si>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</si>
  <si>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</si>
  <si>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</si>
  <si>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</si>
  <si>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</si>
  <si>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</si>
  <si>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</si>
  <si>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</si>
  <si>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</si>
  <si>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</si>
  <si>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</si>
  <si>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</si>
  <si>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</si>
  <si>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</si>
  <si>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</si>
  <si>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</si>
  <si>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</si>
  <si>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</si>
  <si>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</si>
  <si>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</si>
  <si>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</si>
  <si>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</si>
  <si>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</si>
  <si>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</si>
  <si>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</si>
  <si>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</si>
  <si>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</si>
  <si>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</si>
  <si>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</si>
  <si>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</si>
  <si>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</si>
  <si>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</si>
  <si>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</si>
  <si>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</si>
  <si>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</si>
  <si>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</si>
  <si>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</si>
  <si>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</si>
  <si>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</si>
  <si>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</si>
  <si>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</si>
  <si>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</si>
  <si>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</si>
  <si>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</si>
  <si>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</si>
  <si>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</si>
  <si>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</si>
  <si>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</si>
  <si>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</si>
  <si>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</si>
  <si>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</si>
  <si>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</si>
  <si>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</si>
  <si>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</si>
  <si>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</si>
  <si>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</si>
  <si>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</si>
  <si>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</si>
  <si>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</si>
  <si>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</si>
  <si>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</si>
  <si>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</si>
  <si>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</si>
  <si>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</si>
  <si>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</si>
  <si>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</si>
  <si>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</si>
  <si>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</si>
  <si>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</si>
  <si>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</si>
  <si>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</si>
  <si>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</si>
  <si>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</si>
  <si>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</si>
  <si>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</si>
  <si>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</si>
  <si>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</si>
  <si>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</si>
  <si>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</si>
  <si>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</si>
  <si>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</si>
  <si>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</si>
  <si>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</si>
  <si>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</si>
  <si>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</si>
  <si>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</si>
  <si>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</si>
  <si>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</si>
  <si>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</si>
  <si>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</si>
  <si>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</si>
  <si>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</si>
  <si>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</si>
  <si>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</si>
  <si>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</si>
  <si>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</si>
  <si>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</si>
  <si>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</si>
  <si>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</si>
  <si>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</si>
  <si>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</si>
  <si>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</si>
  <si>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</si>
  <si>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</si>
  <si>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</si>
  <si>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</si>
  <si>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</si>
  <si>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</si>
  <si>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</si>
  <si>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</si>
  <si>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</si>
  <si>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</si>
  <si>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</si>
  <si>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</si>
  <si>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</si>
  <si>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</si>
  <si>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</si>
  <si>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</si>
  <si>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</si>
  <si>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</si>
  <si>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</si>
  <si>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</si>
  <si>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</si>
  <si>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</si>
  <si>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</si>
  <si>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</si>
  <si>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</si>
  <si>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</si>
  <si>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</si>
  <si>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</si>
  <si>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</si>
  <si>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</si>
  <si>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</si>
  <si>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</si>
  <si>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</si>
  <si>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</si>
  <si>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</si>
  <si>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</si>
  <si>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</si>
  <si>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</si>
  <si>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</si>
  <si>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</si>
  <si>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</si>
  <si>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</si>
  <si>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</si>
  <si>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</si>
  <si>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</si>
  <si>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</si>
  <si>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</si>
  <si>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</si>
  <si>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</si>
  <si>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</si>
  <si>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</si>
  <si>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</si>
  <si>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</si>
  <si>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</si>
  <si>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</si>
  <si>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</si>
  <si>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</si>
  <si>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</si>
  <si>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</si>
  <si>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</si>
  <si>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</si>
  <si>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</si>
  <si>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</si>
  <si>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</si>
  <si>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</si>
  <si>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</si>
  <si>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</si>
  <si>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</si>
  <si>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</si>
  <si>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</si>
  <si>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</si>
  <si>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</si>
  <si>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</si>
  <si>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</si>
  <si>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</si>
  <si>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</si>
  <si>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</si>
  <si>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</si>
  <si>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</si>
  <si>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</si>
  <si>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</si>
  <si>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</si>
  <si>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</si>
  <si>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</si>
  <si>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</si>
  <si>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</si>
  <si>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</si>
  <si>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</si>
  <si>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</si>
  <si>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</si>
  <si>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</si>
  <si>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</si>
  <si>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</si>
  <si>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</si>
  <si>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</si>
  <si>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</si>
  <si>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</si>
  <si>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</si>
  <si>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</si>
  <si>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</si>
  <si>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</si>
  <si>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</si>
  <si>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</si>
  <si>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</si>
  <si>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</si>
  <si>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</si>
  <si>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</si>
  <si>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</si>
  <si>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</si>
  <si>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</si>
  <si>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</si>
  <si>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</si>
  <si>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</si>
  <si>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</si>
  <si>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</si>
  <si>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</si>
  <si>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</si>
  <si>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</si>
  <si>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</si>
  <si>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</si>
  <si>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</si>
  <si>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</si>
  <si>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</si>
  <si>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</si>
  <si>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</si>
  <si>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</si>
  <si>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</si>
  <si>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</si>
  <si>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</si>
  <si>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</si>
  <si>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</si>
  <si>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</si>
  <si>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</si>
  <si>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</si>
  <si>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</si>
  <si>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</si>
  <si>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</si>
  <si>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</si>
  <si>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</si>
  <si>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</si>
  <si>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</si>
  <si>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</si>
  <si>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</si>
  <si>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</si>
  <si>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</si>
  <si>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</si>
  <si>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</si>
  <si>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</si>
  <si>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</si>
  <si>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</si>
  <si>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</si>
  <si>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</si>
  <si>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</si>
  <si>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</si>
  <si>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</si>
  <si>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</si>
  <si>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</si>
  <si>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</si>
  <si>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</si>
  <si>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</si>
  <si>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</si>
  <si>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</si>
  <si>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</si>
  <si>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</si>
  <si>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</si>
  <si>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</si>
  <si>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</si>
  <si>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</si>
  <si>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</si>
  <si>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</si>
  <si>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</si>
  <si>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</si>
  <si>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</si>
  <si>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</si>
  <si>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</si>
  <si>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</si>
  <si>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</si>
  <si>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</si>
  <si>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</si>
  <si>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</si>
  <si>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</si>
  <si>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</si>
  <si>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</si>
  <si>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</si>
  <si>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</si>
  <si>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</si>
  <si>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</si>
  <si>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</si>
  <si>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</si>
  <si>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</si>
  <si>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DETM</t>
  </si>
  <si>
    <t>Balance as of 12/31/00</t>
  </si>
  <si>
    <t>Cumulative</t>
  </si>
  <si>
    <t>estimated</t>
  </si>
  <si>
    <t xml:space="preserve">Duke Energy Field Services </t>
  </si>
  <si>
    <t>invoiced ending 1/31 balance $146k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</si>
</sst>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2.08</v>
          </cell>
          <cell r="K39">
            <v>2.08</v>
          </cell>
          <cell r="M39">
            <v>2.08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8"/>
  <sheetViews>
    <sheetView topLeftCell="A84" workbookViewId="0">
      <selection activeCell="D80" sqref="D80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2"/>
    </row>
    <row r="2" spans="1:32" ht="12.95" customHeight="1" x14ac:dyDescent="0.2">
      <c r="A2" s="34" t="s">
        <v>140</v>
      </c>
      <c r="D2" s="7"/>
      <c r="F2" s="382" t="s">
        <v>78</v>
      </c>
      <c r="G2" s="385"/>
      <c r="H2" s="32"/>
    </row>
    <row r="3" spans="1:32" ht="12.95" customHeight="1" x14ac:dyDescent="0.2">
      <c r="D3" s="7"/>
      <c r="F3" s="383" t="s">
        <v>29</v>
      </c>
      <c r="G3" s="386">
        <f>+summary!G3</f>
        <v>2.08</v>
      </c>
      <c r="H3" s="401">
        <f ca="1">NOW()</f>
        <v>37301.666800231484</v>
      </c>
    </row>
    <row r="4" spans="1:32" ht="12.95" customHeight="1" x14ac:dyDescent="0.2">
      <c r="A4" s="34" t="s">
        <v>145</v>
      </c>
      <c r="C4" s="34" t="s">
        <v>5</v>
      </c>
      <c r="D4" s="7"/>
      <c r="F4" s="384" t="s">
        <v>30</v>
      </c>
      <c r="G4" s="386">
        <f>+summary!G4</f>
        <v>2.08</v>
      </c>
      <c r="H4" s="32"/>
    </row>
    <row r="5" spans="1:32" ht="12.95" customHeight="1" x14ac:dyDescent="0.2">
      <c r="D5" s="7"/>
      <c r="F5" s="383" t="s">
        <v>117</v>
      </c>
      <c r="G5" s="386">
        <f>+summary!G5</f>
        <v>2.08</v>
      </c>
      <c r="H5" s="32"/>
    </row>
    <row r="6" spans="1:32" ht="6.95" customHeight="1" x14ac:dyDescent="0.2"/>
    <row r="7" spans="1:32" ht="12.95" customHeight="1" x14ac:dyDescent="0.2">
      <c r="A7" s="399" t="s">
        <v>163</v>
      </c>
      <c r="B7" s="400"/>
      <c r="AD7" s="32"/>
      <c r="AE7" s="32"/>
      <c r="AF7" s="32"/>
    </row>
    <row r="8" spans="1:32" ht="15.95" customHeight="1" outlineLevel="2" x14ac:dyDescent="0.2">
      <c r="A8" s="32"/>
      <c r="B8" s="440" t="s">
        <v>193</v>
      </c>
      <c r="C8" s="397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5" t="s">
        <v>89</v>
      </c>
      <c r="B9" s="390" t="s">
        <v>194</v>
      </c>
      <c r="C9" s="398" t="s">
        <v>187</v>
      </c>
      <c r="D9" s="426" t="s">
        <v>191</v>
      </c>
      <c r="E9" s="39" t="s">
        <v>189</v>
      </c>
      <c r="F9" s="39" t="s">
        <v>146</v>
      </c>
      <c r="G9" s="389" t="s">
        <v>151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5" t="s">
        <v>155</v>
      </c>
    </row>
    <row r="12" spans="1:32" ht="13.5" customHeight="1" outlineLevel="1" x14ac:dyDescent="0.2">
      <c r="A12" s="501" t="s">
        <v>127</v>
      </c>
      <c r="B12" s="345">
        <f>+Calpine!D41</f>
        <v>56194.720000000001</v>
      </c>
      <c r="C12" s="368">
        <f>+B12/$G$4</f>
        <v>27016.692307692309</v>
      </c>
      <c r="D12" s="14">
        <f>+Calpine!D47</f>
        <v>114116</v>
      </c>
      <c r="E12" s="70">
        <f>+C12-D12</f>
        <v>-87099.307692307688</v>
      </c>
      <c r="F12" s="363">
        <f>+Calpine!A41</f>
        <v>37299</v>
      </c>
      <c r="G12" s="203" t="s">
        <v>153</v>
      </c>
      <c r="H12" s="204" t="s">
        <v>99</v>
      </c>
      <c r="I12" s="351"/>
      <c r="J12" s="70"/>
      <c r="K12" s="32"/>
    </row>
    <row r="13" spans="1:32" ht="13.5" customHeight="1" outlineLevel="2" x14ac:dyDescent="0.2">
      <c r="A13" s="248" t="s">
        <v>139</v>
      </c>
      <c r="B13" s="345">
        <f>+'Citizens-Griffith'!D41</f>
        <v>73591.48</v>
      </c>
      <c r="C13" s="367">
        <f>+B13/$G$4</f>
        <v>35380.519230769227</v>
      </c>
      <c r="D13" s="14">
        <f>+'Citizens-Griffith'!D48</f>
        <v>38963</v>
      </c>
      <c r="E13" s="70">
        <f>+C13-D13</f>
        <v>-3582.4807692307731</v>
      </c>
      <c r="F13" s="363">
        <f>+'Citizens-Griffith'!A41</f>
        <v>37298</v>
      </c>
      <c r="G13" s="203" t="s">
        <v>301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278</v>
      </c>
      <c r="B14" s="478">
        <f>+SWGasTrans!D41</f>
        <v>-26268.129999999997</v>
      </c>
      <c r="C14" s="367">
        <f>+B14/G4</f>
        <v>-12628.908653846152</v>
      </c>
      <c r="D14" s="14">
        <f>+SWGasTrans!$D$48</f>
        <v>426</v>
      </c>
      <c r="E14" s="70">
        <f>+C14-D14</f>
        <v>-13054.908653846152</v>
      </c>
      <c r="F14" s="363">
        <f>+SWGasTrans!A41</f>
        <v>37298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5">
        <f>+'NS Steel'!D41</f>
        <v>-279055.24</v>
      </c>
      <c r="C15" s="367">
        <f>+B15/$G$4</f>
        <v>-134161.17307692306</v>
      </c>
      <c r="D15" s="14">
        <f>+'NS Steel'!D50</f>
        <v>-7722</v>
      </c>
      <c r="E15" s="70">
        <f>+C15-D15</f>
        <v>-126439.17307692306</v>
      </c>
      <c r="F15" s="364">
        <f>+'NS Steel'!A41</f>
        <v>37298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1" t="s">
        <v>135</v>
      </c>
      <c r="B16" s="348">
        <f>+Citizens!D18</f>
        <v>-550969.43000000005</v>
      </c>
      <c r="C16" s="369">
        <f>+B16/$G$4</f>
        <v>-264889.14903846156</v>
      </c>
      <c r="D16" s="349">
        <f>+Citizens!D24</f>
        <v>-43206</v>
      </c>
      <c r="E16" s="72">
        <f>+C16-D16</f>
        <v>-221683.14903846156</v>
      </c>
      <c r="F16" s="363">
        <f>+Citizens!A18</f>
        <v>37297</v>
      </c>
      <c r="G16" s="203" t="s">
        <v>301</v>
      </c>
      <c r="H16" s="204" t="s">
        <v>99</v>
      </c>
      <c r="I16" s="418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7">
        <f>SUBTOTAL(9,B12:B16)</f>
        <v>-726506.60000000009</v>
      </c>
      <c r="C17" s="392">
        <f>SUBTOTAL(9,C12:C16)</f>
        <v>-349282.01923076925</v>
      </c>
      <c r="D17" s="393">
        <f>SUBTOTAL(9,D12:D16)</f>
        <v>102577</v>
      </c>
      <c r="E17" s="394">
        <f>SUBTOTAL(9,E12:E16)</f>
        <v>-451859.01923076925</v>
      </c>
      <c r="F17" s="363"/>
      <c r="G17" s="203"/>
      <c r="H17" s="204"/>
      <c r="I17" s="351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6" t="s">
        <v>57</v>
      </c>
      <c r="G19" s="7"/>
    </row>
    <row r="20" spans="1:20" ht="13.5" customHeight="1" outlineLevel="2" x14ac:dyDescent="0.2">
      <c r="A20" s="248" t="s">
        <v>71</v>
      </c>
      <c r="B20" s="479">
        <f>+transcol!$D$43</f>
        <v>23321.08</v>
      </c>
      <c r="C20" s="367">
        <f>+B20/$G$4</f>
        <v>11212.057692307693</v>
      </c>
      <c r="D20" s="14">
        <f>+transcol!D50</f>
        <v>-44734</v>
      </c>
      <c r="E20" s="70">
        <f>+C20-D20</f>
        <v>55946.057692307695</v>
      </c>
      <c r="F20" s="364">
        <f>+transcol!A43</f>
        <v>37299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1" t="s">
        <v>290</v>
      </c>
      <c r="B21" s="479">
        <f>+C21*G3</f>
        <v>-32331.52</v>
      </c>
      <c r="C21" s="367">
        <f>+williams!J40</f>
        <v>-15544</v>
      </c>
      <c r="D21" s="14">
        <f>+C21</f>
        <v>-15544</v>
      </c>
      <c r="E21" s="70">
        <f>+C21-D21</f>
        <v>0</v>
      </c>
      <c r="F21" s="364">
        <f>+williams!A40</f>
        <v>37299</v>
      </c>
      <c r="G21" s="203" t="s">
        <v>154</v>
      </c>
      <c r="H21" s="32" t="s">
        <v>291</v>
      </c>
      <c r="I21" s="32"/>
      <c r="J21" s="32"/>
      <c r="K21" s="32"/>
      <c r="T21" s="259"/>
    </row>
    <row r="22" spans="1:20" ht="13.5" customHeight="1" outlineLevel="2" x14ac:dyDescent="0.2">
      <c r="A22" s="501" t="s">
        <v>95</v>
      </c>
      <c r="B22" s="493">
        <f>+burlington!D42</f>
        <v>-72475.520000000004</v>
      </c>
      <c r="C22" s="371">
        <f>+B22/$G$3</f>
        <v>-34844</v>
      </c>
      <c r="D22" s="349">
        <f>+burlington!D49</f>
        <v>-34844</v>
      </c>
      <c r="E22" s="72">
        <f>+C22-D22</f>
        <v>0</v>
      </c>
      <c r="F22" s="363">
        <f>+burlington!A42</f>
        <v>37299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7">
        <f>SUBTOTAL(9,B20:B22)</f>
        <v>-81485.960000000006</v>
      </c>
      <c r="C23" s="388">
        <f>SUBTOTAL(9,C20:C22)</f>
        <v>-39175.942307692305</v>
      </c>
      <c r="D23" s="393">
        <f>SUBTOTAL(9,D20:D22)</f>
        <v>-95122</v>
      </c>
      <c r="E23" s="394">
        <f>SUBTOTAL(9,E20:E22)</f>
        <v>55946.057692307695</v>
      </c>
      <c r="F23" s="363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5" t="s">
        <v>159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5" customHeight="1" outlineLevel="2" x14ac:dyDescent="0.2">
      <c r="A26" s="501" t="s">
        <v>87</v>
      </c>
      <c r="B26" s="478">
        <f>+NNG!$D$24</f>
        <v>34399.43</v>
      </c>
      <c r="C26" s="367">
        <f>+B26/$G$4</f>
        <v>16538.1875</v>
      </c>
      <c r="D26" s="14">
        <f>+NNG!D34</f>
        <v>15838</v>
      </c>
      <c r="E26" s="70">
        <f t="shared" ref="E26:E48" si="0">+C26-D26</f>
        <v>700.1875</v>
      </c>
      <c r="F26" s="363">
        <f>+NNG!A24</f>
        <v>37298</v>
      </c>
      <c r="G26" s="204" t="s">
        <v>300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78">
        <f>+Conoco!$F$41</f>
        <v>444620.76999999996</v>
      </c>
      <c r="C27" s="367">
        <f>+B27/$G$4</f>
        <v>213759.98557692306</v>
      </c>
      <c r="D27" s="14">
        <f>+Conoco!D48</f>
        <v>10368</v>
      </c>
      <c r="E27" s="70">
        <f t="shared" si="0"/>
        <v>203391.98557692306</v>
      </c>
      <c r="F27" s="363">
        <f>+Conoco!A41</f>
        <v>37299</v>
      </c>
      <c r="G27" s="32" t="s">
        <v>301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5">
        <f>+'Amoco Abo'!$F$43</f>
        <v>162370.47</v>
      </c>
      <c r="C28" s="367">
        <f>+B28/$G$4</f>
        <v>78062.725961538454</v>
      </c>
      <c r="D28" s="14">
        <f>+'Amoco Abo'!D49</f>
        <v>-363486</v>
      </c>
      <c r="E28" s="70">
        <f t="shared" si="0"/>
        <v>441548.72596153844</v>
      </c>
      <c r="F28" s="364">
        <f>+'Amoco Abo'!A43</f>
        <v>37298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78">
        <f>+KN_Westar!F41</f>
        <v>329520.2</v>
      </c>
      <c r="C29" s="367">
        <f>+B29/$G$4</f>
        <v>158423.17307692306</v>
      </c>
      <c r="D29" s="14">
        <f>+KN_Westar!D48</f>
        <v>-36982</v>
      </c>
      <c r="E29" s="70">
        <f t="shared" si="0"/>
        <v>195405.17307692306</v>
      </c>
      <c r="F29" s="364">
        <f>+KN_Westar!A41</f>
        <v>37287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1" t="s">
        <v>248</v>
      </c>
      <c r="B30" s="478">
        <f>+summary!B41</f>
        <v>-550969.43000000005</v>
      </c>
      <c r="C30" s="368">
        <f>+B30/$G$5</f>
        <v>-264889.14903846156</v>
      </c>
      <c r="D30" s="14">
        <f>+DEFS!$I$36+DEFS!$J$36+DEFS!$K$45+DEFS!$K$46+DEFS!$K$47+DEFS!$K$48</f>
        <v>-450837</v>
      </c>
      <c r="E30" s="70">
        <f t="shared" si="0"/>
        <v>185947.85096153844</v>
      </c>
      <c r="F30" s="364">
        <f>+DEFS!A40</f>
        <v>37299</v>
      </c>
      <c r="G30" s="203" t="s">
        <v>153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478">
        <f>+mewborne!$J$43</f>
        <v>327959.76</v>
      </c>
      <c r="C31" s="367">
        <f>+B31/$G$4</f>
        <v>157672.96153846153</v>
      </c>
      <c r="D31" s="14">
        <f>+mewborne!D49</f>
        <v>129016</v>
      </c>
      <c r="E31" s="70">
        <f t="shared" si="0"/>
        <v>28656.961538461532</v>
      </c>
      <c r="F31" s="364">
        <f>+mewborne!A43</f>
        <v>37299</v>
      </c>
      <c r="G31" s="203" t="s">
        <v>154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147</v>
      </c>
      <c r="B32" s="478">
        <f>+PGETX!$H$39</f>
        <v>16602.04</v>
      </c>
      <c r="C32" s="367">
        <f>+B32/$G$4</f>
        <v>7981.75</v>
      </c>
      <c r="D32" s="14">
        <f>+PGETX!E48</f>
        <v>35714</v>
      </c>
      <c r="E32" s="70">
        <f t="shared" si="0"/>
        <v>-27732.25</v>
      </c>
      <c r="F32" s="364">
        <f>+PGETX!E39</f>
        <v>37298</v>
      </c>
      <c r="G32" s="32" t="s">
        <v>302</v>
      </c>
      <c r="H32" s="32" t="s">
        <v>102</v>
      </c>
      <c r="I32" s="32" t="s">
        <v>175</v>
      </c>
      <c r="J32" s="32"/>
      <c r="K32" s="32"/>
    </row>
    <row r="33" spans="1:11" ht="14.1" customHeight="1" x14ac:dyDescent="0.2">
      <c r="A33" s="248" t="s">
        <v>82</v>
      </c>
      <c r="B33" s="345">
        <f>+PNM!$D$23</f>
        <v>904200.56</v>
      </c>
      <c r="C33" s="367">
        <f>+B33/$G$4</f>
        <v>434711.80769230769</v>
      </c>
      <c r="D33" s="14">
        <f>+PNM!D30</f>
        <v>373325</v>
      </c>
      <c r="E33" s="70">
        <f t="shared" si="0"/>
        <v>61386.807692307688</v>
      </c>
      <c r="F33" s="364">
        <f>+PNM!A23</f>
        <v>37299</v>
      </c>
      <c r="G33" s="32" t="s">
        <v>300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478">
        <f>+EOG!J41</f>
        <v>31172.690000000002</v>
      </c>
      <c r="C34" s="367">
        <f>+B34/$G$4</f>
        <v>14986.870192307693</v>
      </c>
      <c r="D34" s="14">
        <f>+EOG!D48</f>
        <v>-112732</v>
      </c>
      <c r="E34" s="70">
        <f t="shared" si="0"/>
        <v>127718.87019230769</v>
      </c>
      <c r="F34" s="363">
        <f>+EOG!A41</f>
        <v>37297</v>
      </c>
      <c r="G34" s="32" t="s">
        <v>300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345">
        <f>+Oasis!D40</f>
        <v>14259.55</v>
      </c>
      <c r="C35" s="367">
        <f>+B35/G5</f>
        <v>6855.5528846153838</v>
      </c>
      <c r="D35" s="14">
        <f>+Oasis!D47</f>
        <v>4758</v>
      </c>
      <c r="E35" s="70">
        <f>+C35-D35</f>
        <v>2097.5528846153838</v>
      </c>
      <c r="F35" s="363">
        <f>+Oasis!A40</f>
        <v>37299</v>
      </c>
      <c r="G35" s="203" t="s">
        <v>154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478">
        <f>+SidR!D41</f>
        <v>5207.6399999999994</v>
      </c>
      <c r="C36" s="367">
        <f>+B36/$G$5</f>
        <v>2503.6730769230767</v>
      </c>
      <c r="D36" s="14">
        <f>+SidR!D48</f>
        <v>2319</v>
      </c>
      <c r="E36" s="70">
        <f t="shared" si="0"/>
        <v>184.67307692307668</v>
      </c>
      <c r="F36" s="364">
        <f>+SidR!A41</f>
        <v>37299</v>
      </c>
      <c r="G36" s="203" t="s">
        <v>152</v>
      </c>
      <c r="H36" s="32" t="s">
        <v>102</v>
      </c>
      <c r="I36" s="32"/>
      <c r="J36" s="32"/>
      <c r="K36" s="32"/>
    </row>
    <row r="37" spans="1:11" ht="14.1" customHeight="1" x14ac:dyDescent="0.2">
      <c r="A37" s="501" t="s">
        <v>258</v>
      </c>
      <c r="B37" s="345">
        <f>+summary!$B$44</f>
        <v>-133551.19</v>
      </c>
      <c r="C37" s="367">
        <f>+summary!$C$44</f>
        <v>-64207.302884615383</v>
      </c>
      <c r="D37" s="14">
        <f>+MiVida_Rich!D48</f>
        <v>-45949</v>
      </c>
      <c r="E37" s="70">
        <f>+C37-D37</f>
        <v>-18258.302884615383</v>
      </c>
      <c r="F37" s="364">
        <f>+MiVida_Rich!A41</f>
        <v>37287</v>
      </c>
      <c r="G37" s="203" t="s">
        <v>152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207</v>
      </c>
      <c r="B38" s="345">
        <f>+Dominion!D41</f>
        <v>173925.46000000002</v>
      </c>
      <c r="C38" s="367">
        <f>+B38/$G$5</f>
        <v>83618.009615384624</v>
      </c>
      <c r="D38" s="14">
        <f>+Dominion!D48</f>
        <v>76069</v>
      </c>
      <c r="E38" s="70">
        <f t="shared" si="0"/>
        <v>7549.0096153846243</v>
      </c>
      <c r="F38" s="364">
        <f>+Dominion!A41</f>
        <v>37298</v>
      </c>
      <c r="G38" s="203" t="s">
        <v>300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204</v>
      </c>
      <c r="B39" s="345">
        <f>+WTGmktg!J43</f>
        <v>-34596.009999999995</v>
      </c>
      <c r="C39" s="367">
        <f>+B39/$G$4</f>
        <v>-16632.697115384613</v>
      </c>
      <c r="D39" s="14">
        <f>+WTGmktg!D50</f>
        <v>-2980</v>
      </c>
      <c r="E39" s="70">
        <f t="shared" si="0"/>
        <v>-13652.697115384613</v>
      </c>
      <c r="F39" s="364">
        <f>+WTGmktg!A43</f>
        <v>37290</v>
      </c>
      <c r="G39" s="203" t="s">
        <v>153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281</v>
      </c>
      <c r="B40" s="345">
        <f>+'WTG inc'!N43</f>
        <v>23961.29</v>
      </c>
      <c r="C40" s="367">
        <f>+B40/G4</f>
        <v>11519.850961538461</v>
      </c>
      <c r="D40" s="14">
        <f>+'WTG inc'!D50</f>
        <v>7966</v>
      </c>
      <c r="E40" s="70">
        <f>+C40-D40</f>
        <v>3553.850961538461</v>
      </c>
      <c r="F40" s="364">
        <f>+'WTG inc'!A43</f>
        <v>37296</v>
      </c>
      <c r="G40" s="203" t="s">
        <v>153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208</v>
      </c>
      <c r="B41" s="345">
        <f>+Devon!D41</f>
        <v>-14231.36</v>
      </c>
      <c r="C41" s="367">
        <f>+B41/$G$5</f>
        <v>-6842</v>
      </c>
      <c r="D41" s="14">
        <f>+Devon!D48</f>
        <v>-6842</v>
      </c>
      <c r="E41" s="70">
        <f t="shared" si="0"/>
        <v>0</v>
      </c>
      <c r="F41" s="364">
        <f>+Devon!A41</f>
        <v>37297</v>
      </c>
      <c r="G41" s="203" t="s">
        <v>301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217</v>
      </c>
      <c r="B42" s="345">
        <f>+crosstex!F41</f>
        <v>-133551.19</v>
      </c>
      <c r="C42" s="367">
        <f>+B42/$G$4</f>
        <v>-64207.302884615383</v>
      </c>
      <c r="D42" s="14">
        <f>+crosstex!D48</f>
        <v>-41022</v>
      </c>
      <c r="E42" s="70">
        <f t="shared" si="0"/>
        <v>-23185.302884615383</v>
      </c>
      <c r="F42" s="364">
        <f>+crosstex!A41</f>
        <v>37298</v>
      </c>
      <c r="G42" s="203" t="s">
        <v>152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218</v>
      </c>
      <c r="B43" s="345">
        <f>+Amarillo!P41</f>
        <v>91520.72</v>
      </c>
      <c r="C43" s="367">
        <f>+B43/$G$4</f>
        <v>44000.346153846156</v>
      </c>
      <c r="D43" s="14">
        <f>+Amarillo!D48</f>
        <v>37884</v>
      </c>
      <c r="E43" s="70">
        <f t="shared" si="0"/>
        <v>6116.3461538461561</v>
      </c>
      <c r="F43" s="364">
        <f>+Amarillo!A41</f>
        <v>37299</v>
      </c>
      <c r="G43" s="203" t="s">
        <v>301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296</v>
      </c>
      <c r="B44" s="345">
        <f>+Stratland!$D$41</f>
        <v>48490.31</v>
      </c>
      <c r="C44" s="368">
        <f>+B44/$G$4</f>
        <v>23312.649038461535</v>
      </c>
      <c r="D44" s="14">
        <f>+Stratland!D48</f>
        <v>17403</v>
      </c>
      <c r="E44" s="70">
        <f>+C44-D44</f>
        <v>5909.6490384615354</v>
      </c>
      <c r="F44" s="363">
        <f>+Stratland!A41</f>
        <v>37287</v>
      </c>
      <c r="G44" s="203" t="s">
        <v>300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307</v>
      </c>
      <c r="B45" s="345">
        <f>+Plains!$N$43</f>
        <v>63241.56</v>
      </c>
      <c r="C45" s="368">
        <f>+B45/$G$4</f>
        <v>30404.596153846152</v>
      </c>
      <c r="D45" s="14">
        <f>+Plains!D50</f>
        <v>22284</v>
      </c>
      <c r="E45" s="70">
        <f>+C45-D45</f>
        <v>8120.5961538461524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345">
        <f>+Continental!F43</f>
        <v>44523.08</v>
      </c>
      <c r="C46" s="368">
        <f>+B46/$G$4</f>
        <v>21405.326923076922</v>
      </c>
      <c r="D46" s="14">
        <f>+Continental!D50</f>
        <v>5414</v>
      </c>
      <c r="E46" s="70">
        <f t="shared" si="0"/>
        <v>15991.326923076922</v>
      </c>
      <c r="F46" s="364">
        <f>+Continental!A43</f>
        <v>37297</v>
      </c>
      <c r="G46" s="203" t="s">
        <v>154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345">
        <f>+EPFS!D41</f>
        <v>135496</v>
      </c>
      <c r="C47" s="368">
        <f>+B47/$G$5</f>
        <v>65142.307692307688</v>
      </c>
      <c r="D47" s="14">
        <f>+EPFS!D47</f>
        <v>78857</v>
      </c>
      <c r="E47" s="70">
        <f t="shared" si="0"/>
        <v>-13714.692307692312</v>
      </c>
      <c r="F47" s="363">
        <f>+EPFS!A41</f>
        <v>37298</v>
      </c>
      <c r="G47" s="203" t="s">
        <v>154</v>
      </c>
      <c r="H47" s="32" t="s">
        <v>102</v>
      </c>
      <c r="I47" s="32"/>
      <c r="J47" s="32"/>
      <c r="K47" s="32"/>
    </row>
    <row r="48" spans="1:11" ht="12.95" customHeight="1" x14ac:dyDescent="0.2">
      <c r="A48" s="501" t="s">
        <v>79</v>
      </c>
      <c r="B48" s="493">
        <f>+Agave!$D$24</f>
        <v>120281.58</v>
      </c>
      <c r="C48" s="369">
        <f>+B48/$G$4</f>
        <v>57827.682692307688</v>
      </c>
      <c r="D48" s="349">
        <f>+Agave!D31</f>
        <v>70010</v>
      </c>
      <c r="E48" s="72">
        <f t="shared" si="0"/>
        <v>-12182.317307692312</v>
      </c>
      <c r="F48" s="363">
        <f>+Agave!A24</f>
        <v>37299</v>
      </c>
      <c r="G48" s="203" t="s">
        <v>301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161</v>
      </c>
      <c r="B49" s="387">
        <f>SUBTOTAL(9,B26:B48)</f>
        <v>2104853.9299999997</v>
      </c>
      <c r="C49" s="392">
        <f>SUBTOTAL(9,C26:C48)</f>
        <v>1011949.0048076923</v>
      </c>
      <c r="D49" s="393">
        <f>SUBTOTAL(9,D26:D48)</f>
        <v>-173605</v>
      </c>
      <c r="E49" s="394">
        <f>SUBTOTAL(9,E26:E48)</f>
        <v>1185554.0048076925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162</v>
      </c>
      <c r="B51" s="387">
        <f>SUBTOTAL(9,B12:B48)</f>
        <v>1296861.3700000001</v>
      </c>
      <c r="C51" s="392">
        <f>SUBTOTAL(9,C12:C48)</f>
        <v>623491.04326923075</v>
      </c>
      <c r="D51" s="393">
        <f>SUBTOTAL(9,D12:D48)</f>
        <v>-166150</v>
      </c>
      <c r="E51" s="394">
        <f>SUBTOTAL(9,E12:E48)</f>
        <v>789641.04326923075</v>
      </c>
      <c r="F51" s="363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">
      <c r="D57" s="7"/>
      <c r="F57" s="383" t="s">
        <v>29</v>
      </c>
      <c r="G57" s="386">
        <f>+G3</f>
        <v>2.08</v>
      </c>
      <c r="H57" s="401">
        <f ca="1">NOW()</f>
        <v>37301.666800231484</v>
      </c>
    </row>
    <row r="58" spans="1:19" ht="13.5" customHeight="1" outlineLevel="2" x14ac:dyDescent="0.2">
      <c r="A58" s="34" t="s">
        <v>145</v>
      </c>
      <c r="C58" s="34" t="s">
        <v>5</v>
      </c>
      <c r="D58" s="7"/>
      <c r="F58" s="384" t="s">
        <v>30</v>
      </c>
      <c r="G58" s="386">
        <f>+G4</f>
        <v>2.08</v>
      </c>
      <c r="H58" s="32"/>
    </row>
    <row r="59" spans="1:19" ht="13.5" customHeight="1" outlineLevel="1" x14ac:dyDescent="0.2">
      <c r="D59" s="7"/>
      <c r="F59" s="383" t="s">
        <v>117</v>
      </c>
      <c r="G59" s="386">
        <f>+G5</f>
        <v>2.08</v>
      </c>
      <c r="H59" s="32"/>
    </row>
    <row r="60" spans="1:19" ht="13.5" customHeight="1" outlineLevel="2" x14ac:dyDescent="0.2"/>
    <row r="61" spans="1:19" ht="13.5" customHeight="1" outlineLevel="2" x14ac:dyDescent="0.2">
      <c r="A61" s="399" t="s">
        <v>164</v>
      </c>
      <c r="B61" s="400"/>
      <c r="E61" s="12" t="s">
        <v>197</v>
      </c>
    </row>
    <row r="62" spans="1:19" ht="13.5" customHeight="1" outlineLevel="2" x14ac:dyDescent="0.2">
      <c r="A62" s="32"/>
      <c r="B62" s="402" t="s">
        <v>188</v>
      </c>
      <c r="C62" s="402" t="s">
        <v>195</v>
      </c>
      <c r="D62" s="402" t="s">
        <v>192</v>
      </c>
      <c r="E62" s="12" t="s">
        <v>198</v>
      </c>
      <c r="F62" s="2" t="s">
        <v>148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5" t="s">
        <v>89</v>
      </c>
      <c r="B63" s="398" t="s">
        <v>0</v>
      </c>
      <c r="C63" s="377" t="s">
        <v>166</v>
      </c>
      <c r="D63" s="39" t="s">
        <v>196</v>
      </c>
      <c r="E63" s="39" t="s">
        <v>199</v>
      </c>
      <c r="F63" s="39" t="s">
        <v>146</v>
      </c>
      <c r="G63" s="389" t="s">
        <v>151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5" t="s">
        <v>155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502">
        <f>+Mojave!D40</f>
        <v>177325</v>
      </c>
      <c r="C66" s="345">
        <f>+B66*$G$4</f>
        <v>368836</v>
      </c>
      <c r="D66" s="47">
        <f>+Mojave!D47</f>
        <v>180057.28</v>
      </c>
      <c r="E66" s="47">
        <f>+C66-D66</f>
        <v>188778.72</v>
      </c>
      <c r="F66" s="364">
        <f>+Mojave!A40</f>
        <v>37299</v>
      </c>
      <c r="G66" s="203" t="s">
        <v>154</v>
      </c>
      <c r="H66" s="32" t="s">
        <v>100</v>
      </c>
      <c r="I66" s="32" t="s">
        <v>169</v>
      </c>
      <c r="J66" s="32"/>
      <c r="K66" s="32"/>
    </row>
    <row r="67" spans="1:11" ht="15" customHeight="1" outlineLevel="2" x14ac:dyDescent="0.2">
      <c r="A67" s="248" t="s">
        <v>32</v>
      </c>
      <c r="B67" s="368">
        <f>+SoCal!F40</f>
        <v>78079</v>
      </c>
      <c r="C67" s="345">
        <f>+B67*$G$4</f>
        <v>162404.32</v>
      </c>
      <c r="D67" s="47">
        <f>+SoCal!D47</f>
        <v>277127.36</v>
      </c>
      <c r="E67" s="47">
        <f>+C67-D67</f>
        <v>-114723.03999999998</v>
      </c>
      <c r="F67" s="364">
        <f>+SoCal!A40</f>
        <v>37299</v>
      </c>
      <c r="G67" s="203" t="s">
        <v>153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178</v>
      </c>
      <c r="B68" s="367">
        <f>+'El Paso'!C39</f>
        <v>64269</v>
      </c>
      <c r="C68" s="345">
        <f>+B68*$G$4</f>
        <v>133679.52000000002</v>
      </c>
      <c r="D68" s="47">
        <f>+'El Paso'!C46</f>
        <v>-1582961.01</v>
      </c>
      <c r="E68" s="47">
        <f>+C68-D68</f>
        <v>1716640.53</v>
      </c>
      <c r="F68" s="364">
        <f>+'El Paso'!A39</f>
        <v>37299</v>
      </c>
      <c r="G68" s="419" t="s">
        <v>154</v>
      </c>
      <c r="H68" s="32" t="s">
        <v>100</v>
      </c>
      <c r="I68" s="32" t="s">
        <v>170</v>
      </c>
      <c r="J68" s="32"/>
      <c r="K68" s="32"/>
    </row>
    <row r="69" spans="1:11" ht="15" customHeight="1" outlineLevel="1" x14ac:dyDescent="0.2">
      <c r="A69" s="248" t="s">
        <v>114</v>
      </c>
      <c r="B69" s="369">
        <f>+'PG&amp;E'!D40</f>
        <v>39829</v>
      </c>
      <c r="C69" s="348">
        <f>+B69*$G$4</f>
        <v>82844.320000000007</v>
      </c>
      <c r="D69" s="348">
        <f>+'PG&amp;E'!D47</f>
        <v>-120566.44</v>
      </c>
      <c r="E69" s="348">
        <f>+C69-D69</f>
        <v>203410.76</v>
      </c>
      <c r="F69" s="364">
        <f>+'PG&amp;E'!A40</f>
        <v>37299</v>
      </c>
      <c r="G69" s="203" t="s">
        <v>154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156</v>
      </c>
      <c r="B70" s="392">
        <f>SUBTOTAL(9,B66:B69)</f>
        <v>359502</v>
      </c>
      <c r="C70" s="387">
        <f>SUBTOTAL(9,C66:C69)</f>
        <v>747764.16000000015</v>
      </c>
      <c r="D70" s="387">
        <f>SUBTOTAL(9,D66:D69)</f>
        <v>-1246342.81</v>
      </c>
      <c r="E70" s="387">
        <f>SUBTOTAL(9,E66:E69)</f>
        <v>1994106.97</v>
      </c>
      <c r="F70" s="364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5" t="s">
        <v>57</v>
      </c>
      <c r="B72" s="286"/>
      <c r="C72" s="247"/>
      <c r="G72" s="203"/>
    </row>
    <row r="73" spans="1:11" x14ac:dyDescent="0.2">
      <c r="A73" s="248" t="s">
        <v>23</v>
      </c>
      <c r="B73" s="367">
        <f>+'Red C'!F45</f>
        <v>35202</v>
      </c>
      <c r="C73" s="346">
        <f>+B73*G57</f>
        <v>73220.160000000003</v>
      </c>
      <c r="D73" s="200">
        <f>+'Red C'!D52</f>
        <v>419924.4</v>
      </c>
      <c r="E73" s="47">
        <f>+C73-D73</f>
        <v>-346704.24</v>
      </c>
      <c r="F73" s="363">
        <f>+'Red C'!A45</f>
        <v>37299</v>
      </c>
      <c r="G73" s="203" t="s">
        <v>153</v>
      </c>
      <c r="H73" s="32" t="s">
        <v>115</v>
      </c>
      <c r="I73" s="32"/>
      <c r="J73" s="32"/>
      <c r="K73" s="32"/>
    </row>
    <row r="74" spans="1:11" x14ac:dyDescent="0.2">
      <c r="A74" s="248" t="s">
        <v>289</v>
      </c>
      <c r="B74" s="367">
        <f>+Amoco!D40</f>
        <v>-7614</v>
      </c>
      <c r="C74" s="345">
        <f>+B74*$G$3</f>
        <v>-15837.12</v>
      </c>
      <c r="D74" s="47">
        <f>+Amoco!D47</f>
        <v>319329.71999999997</v>
      </c>
      <c r="E74" s="47">
        <f>+C74-D74</f>
        <v>-335166.83999999997</v>
      </c>
      <c r="F74" s="364">
        <f>+Amoco!A40</f>
        <v>37299</v>
      </c>
      <c r="G74" s="203" t="s">
        <v>153</v>
      </c>
      <c r="H74" s="32" t="s">
        <v>115</v>
      </c>
      <c r="I74" s="32"/>
      <c r="J74" s="32"/>
      <c r="K74" s="32"/>
    </row>
    <row r="75" spans="1:11" x14ac:dyDescent="0.2">
      <c r="A75" s="248" t="s">
        <v>179</v>
      </c>
      <c r="B75" s="367">
        <f>+'El Paso'!E39</f>
        <v>10783</v>
      </c>
      <c r="C75" s="345">
        <f>+B75*$G$3</f>
        <v>22428.639999999999</v>
      </c>
      <c r="D75" s="47">
        <f>+'El Paso'!F46</f>
        <v>-657254.01</v>
      </c>
      <c r="E75" s="47">
        <f>+C75-D75</f>
        <v>679682.65</v>
      </c>
      <c r="F75" s="364">
        <f>+'El Paso'!A39</f>
        <v>37299</v>
      </c>
      <c r="G75" s="419" t="s">
        <v>154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9">
        <f>+NW!$F$41</f>
        <v>-46001</v>
      </c>
      <c r="C76" s="348">
        <f>+B76*$G$3</f>
        <v>-95682.08</v>
      </c>
      <c r="D76" s="348">
        <f>+NW!E49</f>
        <v>-556450.78</v>
      </c>
      <c r="E76" s="348">
        <f>+C76-D76</f>
        <v>460768.7</v>
      </c>
      <c r="F76" s="363">
        <f>+NW!B41</f>
        <v>37299</v>
      </c>
      <c r="G76" s="203" t="s">
        <v>153</v>
      </c>
      <c r="H76" s="32" t="s">
        <v>115</v>
      </c>
      <c r="I76" s="32"/>
      <c r="J76" s="32"/>
      <c r="K76" s="32"/>
    </row>
    <row r="77" spans="1:11" x14ac:dyDescent="0.2">
      <c r="A77" s="32" t="s">
        <v>157</v>
      </c>
      <c r="B77" s="392">
        <f>SUBTOTAL(9,B73:B76)</f>
        <v>-7630</v>
      </c>
      <c r="C77" s="387">
        <f>SUBTOTAL(9,C73:C76)</f>
        <v>-15870.400000000009</v>
      </c>
      <c r="D77" s="387">
        <f>SUBTOTAL(9,D73:D76)</f>
        <v>-474450.67000000004</v>
      </c>
      <c r="E77" s="387">
        <f>SUBTOTAL(9,E73:E76)</f>
        <v>458580.27000000008</v>
      </c>
      <c r="F77" s="363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5" t="s">
        <v>159</v>
      </c>
      <c r="B79" s="286"/>
      <c r="C79" s="247"/>
      <c r="G79" s="203"/>
    </row>
    <row r="80" spans="1:11" x14ac:dyDescent="0.2">
      <c r="A80" s="248" t="s">
        <v>88</v>
      </c>
      <c r="B80" s="367">
        <f>+NGPL!H38</f>
        <v>115907</v>
      </c>
      <c r="C80" s="478">
        <f>+B80*$G$5</f>
        <v>241086.56</v>
      </c>
      <c r="D80" s="47">
        <f>+NGPL!D45</f>
        <v>295084.82999999996</v>
      </c>
      <c r="E80" s="47">
        <f>+C80-D80</f>
        <v>-53998.26999999996</v>
      </c>
      <c r="F80" s="364">
        <f>+NGPL!A38</f>
        <v>37299</v>
      </c>
      <c r="G80" s="203" t="s">
        <v>153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7">
        <f>+PEPL!D41</f>
        <v>20988</v>
      </c>
      <c r="C81" s="479">
        <f>+B81*$G$4</f>
        <v>43655.040000000001</v>
      </c>
      <c r="D81" s="47">
        <f>+PEPL!D47</f>
        <v>189536.68</v>
      </c>
      <c r="E81" s="47">
        <f>+C81-D81</f>
        <v>-145881.63999999998</v>
      </c>
      <c r="F81" s="364">
        <f>+PEPL!A41</f>
        <v>37299</v>
      </c>
      <c r="G81" s="32" t="s">
        <v>301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479">
        <f>+B82*$G$4</f>
        <v>36580.959999999999</v>
      </c>
      <c r="D82" s="200">
        <f>+CIG!D49</f>
        <v>385897</v>
      </c>
      <c r="E82" s="70">
        <f>+C82-D82</f>
        <v>-349316.04</v>
      </c>
      <c r="F82" s="364">
        <f>+CIG!A42</f>
        <v>37298</v>
      </c>
      <c r="G82" s="203" t="s">
        <v>154</v>
      </c>
      <c r="H82" s="32" t="s">
        <v>113</v>
      </c>
      <c r="I82" s="32" t="s">
        <v>180</v>
      </c>
      <c r="J82" s="32"/>
      <c r="K82" s="32"/>
    </row>
    <row r="83" spans="1:12" x14ac:dyDescent="0.2">
      <c r="A83" s="248" t="s">
        <v>31</v>
      </c>
      <c r="B83" s="371">
        <f>+Lonestar!F43</f>
        <v>42362</v>
      </c>
      <c r="C83" s="493">
        <f>+B83*G59</f>
        <v>88112.960000000006</v>
      </c>
      <c r="D83" s="348">
        <f>+Lonestar!D50</f>
        <v>79610.960000000006</v>
      </c>
      <c r="E83" s="348">
        <f>+C83-D83</f>
        <v>8502</v>
      </c>
      <c r="F83" s="363">
        <f>+Lonestar!A43</f>
        <v>37299</v>
      </c>
      <c r="G83" s="32" t="s">
        <v>301</v>
      </c>
      <c r="H83" s="32" t="s">
        <v>102</v>
      </c>
      <c r="I83" s="32"/>
      <c r="J83" s="32"/>
      <c r="K83" s="32"/>
    </row>
    <row r="84" spans="1:12" x14ac:dyDescent="0.2">
      <c r="A84" s="2" t="s">
        <v>160</v>
      </c>
      <c r="B84" s="388">
        <f>SUBTOTAL(9,B80:B83)</f>
        <v>196844</v>
      </c>
      <c r="C84" s="387">
        <f>SUBTOTAL(9,C80:C83)</f>
        <v>409435.52</v>
      </c>
      <c r="D84" s="387">
        <f>SUBTOTAL(9,D80:D83)</f>
        <v>950129.47</v>
      </c>
      <c r="E84" s="387">
        <f>SUBTOTAL(9,E80:E83)</f>
        <v>-540693.94999999995</v>
      </c>
      <c r="F84" s="363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165</v>
      </c>
      <c r="B86" s="388">
        <f>SUBTOTAL(9,B66:B83)</f>
        <v>548716</v>
      </c>
      <c r="C86" s="387">
        <f>SUBTOTAL(9,C66:C83)</f>
        <v>1141329.2800000003</v>
      </c>
      <c r="D86" s="387">
        <f>SUBTOTAL(9,D66:D83)</f>
        <v>-770664.01000000047</v>
      </c>
      <c r="E86" s="387">
        <f>SUBTOTAL(9,E66:E83)</f>
        <v>1911993.29</v>
      </c>
      <c r="F86" s="363"/>
      <c r="H86" s="32"/>
      <c r="I86" s="32"/>
      <c r="J86" s="32"/>
      <c r="K86" s="32"/>
    </row>
    <row r="87" spans="1:12" x14ac:dyDescent="0.2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5" thickBot="1" x14ac:dyDescent="0.25">
      <c r="A89" s="2" t="s">
        <v>167</v>
      </c>
      <c r="B89" s="395">
        <f>+C86+B51</f>
        <v>2438190.6500000004</v>
      </c>
      <c r="C89" s="206"/>
      <c r="D89" s="345"/>
      <c r="E89" s="345"/>
      <c r="F89" s="352"/>
      <c r="H89" s="32"/>
      <c r="I89" s="32"/>
      <c r="J89" s="32"/>
      <c r="K89" s="32"/>
    </row>
    <row r="90" spans="1:12" ht="13.5" thickTop="1" x14ac:dyDescent="0.2">
      <c r="A90" s="2" t="s">
        <v>168</v>
      </c>
      <c r="B90" s="14">
        <f>+B86+C51</f>
        <v>1172207.0432692308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>
        <v>300</v>
      </c>
      <c r="B126" s="47"/>
      <c r="D126" s="32"/>
      <c r="E126" s="32"/>
      <c r="F126" s="32"/>
      <c r="G126" s="32"/>
      <c r="H126" s="32"/>
    </row>
    <row r="127" spans="1:8" x14ac:dyDescent="0.2">
      <c r="A127" s="32">
        <v>35</v>
      </c>
      <c r="B127" s="47"/>
      <c r="D127" s="32"/>
      <c r="E127" s="32"/>
      <c r="F127" s="32"/>
      <c r="G127" s="32"/>
      <c r="H127" s="32"/>
    </row>
    <row r="128" spans="1:8" x14ac:dyDescent="0.2">
      <c r="A128" s="32">
        <f>+A127*A126</f>
        <v>10500</v>
      </c>
      <c r="B128" s="47"/>
      <c r="D128" s="32"/>
      <c r="E128" s="32"/>
      <c r="F128" s="32"/>
      <c r="G128" s="32"/>
      <c r="H128" s="32"/>
    </row>
    <row r="129" spans="1:8" x14ac:dyDescent="0.2">
      <c r="A129" s="32"/>
      <c r="B129" s="47"/>
      <c r="D129" s="32"/>
      <c r="E129" s="32"/>
      <c r="F129" s="32"/>
      <c r="G129" s="32"/>
      <c r="H129" s="32"/>
    </row>
    <row r="130" spans="1:8" x14ac:dyDescent="0.2">
      <c r="A130" s="32"/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C132" s="69"/>
      <c r="D132" s="32"/>
      <c r="E132" s="32"/>
      <c r="F132" s="32"/>
      <c r="G132" s="32"/>
      <c r="H132" s="32"/>
    </row>
    <row r="133" spans="1:8" x14ac:dyDescent="0.2">
      <c r="A133" s="32"/>
      <c r="B133" s="47"/>
      <c r="C133" s="69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9" workbookViewId="0">
      <selection activeCell="B37" sqref="B37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9">
        <v>2</v>
      </c>
      <c r="B7" s="436">
        <v>162200</v>
      </c>
      <c r="C7" s="410">
        <v>159898</v>
      </c>
      <c r="D7" s="307">
        <f>+C7-B7</f>
        <v>-2302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9">
        <v>12</v>
      </c>
      <c r="B17" s="410">
        <v>157937</v>
      </c>
      <c r="C17" s="410">
        <v>154251</v>
      </c>
      <c r="D17" s="307">
        <f t="shared" si="0"/>
        <v>-3686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9">
        <v>13</v>
      </c>
      <c r="B18" s="410"/>
      <c r="C18" s="410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9">
        <v>14</v>
      </c>
      <c r="B19" s="410"/>
      <c r="C19" s="410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9">
        <v>15</v>
      </c>
      <c r="B20" s="410"/>
      <c r="C20" s="410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9">
        <v>16</v>
      </c>
      <c r="B21" s="410"/>
      <c r="C21" s="410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9">
        <v>17</v>
      </c>
      <c r="B22" s="436"/>
      <c r="C22" s="410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9">
        <v>18</v>
      </c>
      <c r="B23" s="436"/>
      <c r="C23" s="410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9">
        <v>19</v>
      </c>
      <c r="B24" s="436"/>
      <c r="C24" s="436"/>
      <c r="D24" s="482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9">
        <v>20</v>
      </c>
      <c r="B25" s="436"/>
      <c r="C25" s="436"/>
      <c r="D25" s="482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9">
        <v>21</v>
      </c>
      <c r="B26" s="436"/>
      <c r="C26" s="436"/>
      <c r="D26" s="482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9">
        <v>22</v>
      </c>
      <c r="B27" s="436"/>
      <c r="C27" s="436"/>
      <c r="D27" s="482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9">
        <v>23</v>
      </c>
      <c r="B28" s="436"/>
      <c r="C28" s="436"/>
      <c r="D28" s="482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9">
        <v>24</v>
      </c>
      <c r="B29" s="436"/>
      <c r="C29" s="436"/>
      <c r="D29" s="482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9">
        <v>25</v>
      </c>
      <c r="B30" s="436"/>
      <c r="C30" s="436"/>
      <c r="D30" s="482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9"/>
      <c r="B37" s="410">
        <f>SUM(B6:B36)</f>
        <v>1868268</v>
      </c>
      <c r="C37" s="410">
        <f>SUM(C6:C36)</f>
        <v>1865702</v>
      </c>
      <c r="D37" s="410">
        <f>SUM(D6:D36)</f>
        <v>-2566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37287</v>
      </c>
      <c r="B39" s="285"/>
      <c r="C39" s="434"/>
      <c r="D39" s="487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37299</v>
      </c>
      <c r="B40" s="285"/>
      <c r="C40" s="435"/>
      <c r="D40" s="307">
        <f>+D39+D37</f>
        <v>-7614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37287</v>
      </c>
      <c r="B45" s="32"/>
      <c r="C45" s="32"/>
      <c r="D45" s="488">
        <v>324667</v>
      </c>
    </row>
    <row r="46" spans="1:16" x14ac:dyDescent="0.2">
      <c r="A46" s="49">
        <f>+A40</f>
        <v>37299</v>
      </c>
      <c r="B46" s="32"/>
      <c r="C46" s="32"/>
      <c r="D46" s="374">
        <f>+D37*'by type_area'!G3</f>
        <v>-5337.28</v>
      </c>
    </row>
    <row r="47" spans="1:16" x14ac:dyDescent="0.2">
      <c r="A47" s="32"/>
      <c r="B47" s="32"/>
      <c r="C47" s="32"/>
      <c r="D47" s="200">
        <f>+D46+D45</f>
        <v>319329.71999999997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B36" sqref="B36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-86603</v>
      </c>
      <c r="C36" s="24">
        <f>SUM(C5:C35)</f>
        <v>-89399</v>
      </c>
      <c r="D36" s="24">
        <f t="shared" si="0"/>
        <v>-2796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2.08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-5815.68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37287</v>
      </c>
      <c r="B39"/>
      <c r="C39" s="15"/>
      <c r="D39" s="491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37299</v>
      </c>
      <c r="B40"/>
      <c r="C40" s="48"/>
      <c r="D40" s="138">
        <f>+D39+D38</f>
        <v>14259.55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37287</v>
      </c>
      <c r="B45" s="32"/>
      <c r="C45" s="32"/>
      <c r="D45" s="486">
        <v>7554</v>
      </c>
    </row>
    <row r="46" spans="1:65" x14ac:dyDescent="0.2">
      <c r="A46" s="49">
        <f>+A40</f>
        <v>37299</v>
      </c>
      <c r="B46" s="32"/>
      <c r="C46" s="32"/>
      <c r="D46" s="349">
        <f>+D36</f>
        <v>-2796</v>
      </c>
    </row>
    <row r="47" spans="1:65" x14ac:dyDescent="0.2">
      <c r="A47" s="32"/>
      <c r="B47" s="32"/>
      <c r="C47" s="32"/>
      <c r="D47" s="14">
        <f>+D46+D45</f>
        <v>4758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D22" sqref="D22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396694</v>
      </c>
      <c r="C5" s="90">
        <v>399831</v>
      </c>
      <c r="D5" s="90">
        <f>+C5-B5</f>
        <v>3137</v>
      </c>
      <c r="E5" s="275"/>
      <c r="F5" s="273"/>
    </row>
    <row r="6" spans="1:13" x14ac:dyDescent="0.2">
      <c r="A6" s="87">
        <v>78311</v>
      </c>
      <c r="B6" s="90">
        <v>144135</v>
      </c>
      <c r="C6" s="90">
        <v>146400</v>
      </c>
      <c r="D6" s="90">
        <f t="shared" ref="D6:D17" si="0">+C6-B6</f>
        <v>2265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384608</v>
      </c>
      <c r="C7" s="90">
        <v>455615</v>
      </c>
      <c r="D7" s="90">
        <f t="shared" si="0"/>
        <v>71007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439642</v>
      </c>
      <c r="C8" s="90">
        <v>408292</v>
      </c>
      <c r="D8" s="90">
        <f t="shared" si="0"/>
        <v>-31350</v>
      </c>
      <c r="E8" s="455"/>
      <c r="F8" s="273"/>
    </row>
    <row r="9" spans="1:13" x14ac:dyDescent="0.2">
      <c r="A9" s="87">
        <v>500293</v>
      </c>
      <c r="B9" s="90">
        <v>211101</v>
      </c>
      <c r="C9" s="90">
        <v>243455</v>
      </c>
      <c r="D9" s="90">
        <f t="shared" si="0"/>
        <v>32354</v>
      </c>
      <c r="E9" s="275"/>
      <c r="F9" s="273"/>
    </row>
    <row r="10" spans="1:13" x14ac:dyDescent="0.2">
      <c r="A10" s="87">
        <v>500302</v>
      </c>
      <c r="B10" s="90"/>
      <c r="C10" s="90">
        <v>3636</v>
      </c>
      <c r="D10" s="90">
        <f t="shared" si="0"/>
        <v>3636</v>
      </c>
      <c r="E10" s="275"/>
      <c r="F10" s="273"/>
    </row>
    <row r="11" spans="1:13" x14ac:dyDescent="0.2">
      <c r="A11" s="87">
        <v>500303</v>
      </c>
      <c r="B11" s="90"/>
      <c r="C11" s="90">
        <v>10627</v>
      </c>
      <c r="D11" s="90">
        <f t="shared" si="0"/>
        <v>10627</v>
      </c>
      <c r="E11" s="275"/>
      <c r="F11" s="273"/>
    </row>
    <row r="12" spans="1:13" x14ac:dyDescent="0.2">
      <c r="A12" s="91">
        <v>500305</v>
      </c>
      <c r="B12" s="90">
        <v>606286</v>
      </c>
      <c r="C12" s="90">
        <v>632358</v>
      </c>
      <c r="D12" s="90">
        <f t="shared" si="0"/>
        <v>26072</v>
      </c>
      <c r="E12" s="276"/>
      <c r="F12" s="465"/>
      <c r="G12" s="90"/>
    </row>
    <row r="13" spans="1:13" x14ac:dyDescent="0.2">
      <c r="A13" s="87">
        <v>500307</v>
      </c>
      <c r="B13" s="90">
        <v>39914</v>
      </c>
      <c r="C13" s="90">
        <v>23574</v>
      </c>
      <c r="D13" s="90">
        <f t="shared" si="0"/>
        <v>-16340</v>
      </c>
      <c r="E13" s="275"/>
      <c r="F13" s="273"/>
    </row>
    <row r="14" spans="1:13" x14ac:dyDescent="0.2">
      <c r="A14" s="87">
        <v>500313</v>
      </c>
      <c r="B14" s="90"/>
      <c r="C14" s="90">
        <v>1119</v>
      </c>
      <c r="D14" s="90">
        <f t="shared" si="0"/>
        <v>1119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78474</v>
      </c>
      <c r="C16" s="90"/>
      <c r="D16" s="90">
        <f t="shared" si="0"/>
        <v>-78474</v>
      </c>
      <c r="E16" s="275"/>
      <c r="F16" s="273"/>
    </row>
    <row r="17" spans="1:7" x14ac:dyDescent="0.2">
      <c r="A17" s="87">
        <v>500657</v>
      </c>
      <c r="B17" s="88">
        <v>36695</v>
      </c>
      <c r="C17" s="88">
        <v>12000</v>
      </c>
      <c r="D17" s="94">
        <f t="shared" si="0"/>
        <v>-24695</v>
      </c>
      <c r="E17" s="275"/>
      <c r="F17" s="273"/>
      <c r="G17" s="559"/>
    </row>
    <row r="18" spans="1:7" x14ac:dyDescent="0.2">
      <c r="A18" s="87"/>
      <c r="B18" s="88"/>
      <c r="C18" s="88"/>
      <c r="D18" s="88">
        <f>SUM(D5:D17)</f>
        <v>-642</v>
      </c>
      <c r="E18" s="275"/>
      <c r="F18" s="465"/>
    </row>
    <row r="19" spans="1:7" x14ac:dyDescent="0.2">
      <c r="A19" s="87" t="s">
        <v>81</v>
      </c>
      <c r="B19" s="88"/>
      <c r="C19" s="88"/>
      <c r="D19" s="95">
        <f>+summary!G5</f>
        <v>2.08</v>
      </c>
      <c r="E19" s="277"/>
      <c r="F19" s="465"/>
    </row>
    <row r="20" spans="1:7" x14ac:dyDescent="0.2">
      <c r="A20" s="87"/>
      <c r="B20" s="88"/>
      <c r="C20" s="88"/>
      <c r="D20" s="96">
        <f>+D19*D18</f>
        <v>-1335.3600000000001</v>
      </c>
      <c r="E20" s="207"/>
      <c r="F20" s="465"/>
    </row>
    <row r="21" spans="1:7" x14ac:dyDescent="0.2">
      <c r="A21" s="87"/>
      <c r="B21" s="88"/>
      <c r="C21" s="88"/>
      <c r="D21" s="96"/>
      <c r="E21" s="207"/>
      <c r="F21" s="201"/>
    </row>
    <row r="22" spans="1:7" x14ac:dyDescent="0.2">
      <c r="A22" s="99">
        <v>37287</v>
      </c>
      <c r="B22" s="88"/>
      <c r="C22" s="88"/>
      <c r="D22" s="584">
        <v>121616.94</v>
      </c>
      <c r="E22" s="207"/>
      <c r="F22" s="466"/>
    </row>
    <row r="23" spans="1:7" x14ac:dyDescent="0.2">
      <c r="A23" s="87"/>
      <c r="B23" s="88"/>
      <c r="C23" s="88"/>
      <c r="D23" s="308"/>
      <c r="E23" s="207"/>
      <c r="F23" s="466"/>
    </row>
    <row r="24" spans="1:7" ht="13.5" thickBot="1" x14ac:dyDescent="0.25">
      <c r="A24" s="99">
        <v>37299</v>
      </c>
      <c r="B24" s="88"/>
      <c r="C24" s="88"/>
      <c r="D24" s="318">
        <f>+D22+D20</f>
        <v>120281.58</v>
      </c>
      <c r="E24" s="207"/>
      <c r="F24" s="466"/>
    </row>
    <row r="25" spans="1:7" ht="13.5" thickTop="1" x14ac:dyDescent="0.2">
      <c r="E25" s="278"/>
    </row>
    <row r="28" spans="1:7" x14ac:dyDescent="0.2">
      <c r="A28" s="32" t="s">
        <v>149</v>
      </c>
      <c r="B28" s="32"/>
      <c r="C28" s="32"/>
      <c r="D28" s="32"/>
      <c r="E28" s="344"/>
    </row>
    <row r="29" spans="1:7" x14ac:dyDescent="0.2">
      <c r="A29" s="49">
        <f>+A22</f>
        <v>37287</v>
      </c>
      <c r="B29" s="32"/>
      <c r="C29" s="32"/>
      <c r="D29" s="569">
        <v>70652</v>
      </c>
    </row>
    <row r="30" spans="1:7" x14ac:dyDescent="0.2">
      <c r="A30" s="49">
        <f>+A24</f>
        <v>37299</v>
      </c>
      <c r="B30" s="32"/>
      <c r="C30" s="32"/>
      <c r="D30" s="349">
        <f>+D18</f>
        <v>-642</v>
      </c>
    </row>
    <row r="31" spans="1:7" x14ac:dyDescent="0.2">
      <c r="A31" s="32"/>
      <c r="B31" s="32"/>
      <c r="C31" s="32"/>
      <c r="D31" s="14">
        <f>+D30+D29</f>
        <v>70010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workbookViewId="0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31798</v>
      </c>
      <c r="E15" s="11">
        <v>28000</v>
      </c>
      <c r="F15" s="25">
        <f t="shared" si="2"/>
        <v>-1011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577299</v>
      </c>
      <c r="C35" s="11">
        <f>SUM(C4:C34)</f>
        <v>569989</v>
      </c>
      <c r="D35" s="11">
        <f>SUM(D4:D34)</f>
        <v>197288</v>
      </c>
      <c r="E35" s="11">
        <f>SUM(E4:E34)</f>
        <v>201282</v>
      </c>
      <c r="F35" s="11">
        <f>+E35-D35+C35-B35</f>
        <v>-3316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0">
        <f>+summary!G4</f>
        <v>2.08</v>
      </c>
    </row>
    <row r="38" spans="1:7" x14ac:dyDescent="0.2">
      <c r="C38" s="48"/>
      <c r="D38" s="47"/>
      <c r="E38" s="48"/>
      <c r="F38" s="46">
        <f>+F37*F35</f>
        <v>-6897.2800000000007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6">
        <v>451518.05</v>
      </c>
      <c r="G40" s="25"/>
    </row>
    <row r="41" spans="1:7" x14ac:dyDescent="0.2">
      <c r="A41" s="57">
        <v>37299</v>
      </c>
      <c r="C41" s="106"/>
      <c r="D41" s="106"/>
      <c r="E41" s="106"/>
      <c r="F41" s="106">
        <f>+F38+F40</f>
        <v>444620.76999999996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37287</v>
      </c>
      <c r="D46" s="489">
        <v>13684</v>
      </c>
      <c r="E46" s="11"/>
      <c r="F46" s="11"/>
      <c r="G46" s="25"/>
    </row>
    <row r="47" spans="1:7" x14ac:dyDescent="0.2">
      <c r="A47" s="49">
        <f>+A41</f>
        <v>37299</v>
      </c>
      <c r="D47" s="349">
        <f>+F35</f>
        <v>-3316</v>
      </c>
      <c r="E47" s="11"/>
      <c r="F47" s="11"/>
      <c r="G47" s="25"/>
    </row>
    <row r="48" spans="1:7" x14ac:dyDescent="0.2">
      <c r="D48" s="14">
        <f>+D47+D46</f>
        <v>10368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33" workbookViewId="0">
      <selection activeCell="E15" sqref="E15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2151722</v>
      </c>
      <c r="C36" s="11">
        <f>SUM(C5:C35)</f>
        <v>2173954</v>
      </c>
      <c r="D36" s="11">
        <f>SUM(D5:D35)</f>
        <v>0</v>
      </c>
      <c r="E36" s="11">
        <f>SUM(E5:E35)</f>
        <v>-33042</v>
      </c>
      <c r="F36" s="11">
        <f>SUM(F5:F35)</f>
        <v>-10810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37287</v>
      </c>
      <c r="F39" s="574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37299</v>
      </c>
      <c r="F41" s="332">
        <f>+F39+F36</f>
        <v>-46001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37287</v>
      </c>
      <c r="C47" s="32"/>
      <c r="D47" s="32"/>
      <c r="E47" s="576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37299</v>
      </c>
      <c r="C48" s="32"/>
      <c r="D48" s="32"/>
      <c r="E48" s="374">
        <f>+F36*'by type_area'!G3</f>
        <v>-22484.799999999999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-556450.78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7" workbookViewId="0">
      <selection activeCell="C41" sqref="C4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1129302</v>
      </c>
      <c r="C39" s="11">
        <f>SUM(C8:C38)</f>
        <v>1126728</v>
      </c>
      <c r="D39" s="11">
        <f>SUM(D8:D38)</f>
        <v>-2574</v>
      </c>
      <c r="E39" s="10"/>
      <c r="F39" s="11"/>
      <c r="G39" s="11"/>
      <c r="H39" s="11"/>
    </row>
    <row r="40" spans="1:8" x14ac:dyDescent="0.2">
      <c r="A40" s="26"/>
      <c r="D40" s="75">
        <f>+summary!G4</f>
        <v>2.08</v>
      </c>
      <c r="E40" s="26"/>
      <c r="H40" s="75"/>
    </row>
    <row r="41" spans="1:8" x14ac:dyDescent="0.2">
      <c r="D41" s="195">
        <f>+D40*D39</f>
        <v>-5353.92</v>
      </c>
      <c r="F41" s="247"/>
      <c r="H41" s="195"/>
    </row>
    <row r="42" spans="1:8" x14ac:dyDescent="0.2">
      <c r="A42" s="57">
        <v>37287</v>
      </c>
      <c r="D42" s="598">
        <v>28675</v>
      </c>
      <c r="E42" s="57"/>
      <c r="H42" s="195"/>
    </row>
    <row r="43" spans="1:8" x14ac:dyDescent="0.2">
      <c r="A43" s="57">
        <v>37299</v>
      </c>
      <c r="D43" s="196">
        <f>+D42+D41</f>
        <v>23321.08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37287</v>
      </c>
      <c r="B48" s="32"/>
      <c r="C48" s="32"/>
      <c r="D48" s="593">
        <v>-42160</v>
      </c>
    </row>
    <row r="49" spans="1:4" x14ac:dyDescent="0.2">
      <c r="A49" s="49">
        <f>+A43</f>
        <v>37299</v>
      </c>
      <c r="B49" s="32"/>
      <c r="C49" s="32"/>
      <c r="D49" s="349">
        <f>+D39</f>
        <v>-2574</v>
      </c>
    </row>
    <row r="50" spans="1:4" x14ac:dyDescent="0.2">
      <c r="A50" s="32"/>
      <c r="B50" s="32"/>
      <c r="C50" s="32"/>
      <c r="D50" s="14">
        <f>+D49+D48</f>
        <v>-44734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21" workbookViewId="0">
      <selection activeCell="F38" sqref="F38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37287</v>
      </c>
      <c r="C5" s="585">
        <v>1529476.6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250</v>
      </c>
      <c r="J6" s="15"/>
    </row>
    <row r="7" spans="1:14" x14ac:dyDescent="0.2">
      <c r="A7" s="57">
        <v>37299</v>
      </c>
      <c r="I7" s="3" t="s">
        <v>256</v>
      </c>
      <c r="J7" s="15"/>
    </row>
    <row r="8" spans="1:14" x14ac:dyDescent="0.2">
      <c r="A8" s="248">
        <v>50895</v>
      </c>
      <c r="B8" s="339">
        <f>2295-2046</f>
        <v>249</v>
      </c>
      <c r="J8" s="15"/>
    </row>
    <row r="9" spans="1:14" x14ac:dyDescent="0.2">
      <c r="A9" s="248">
        <v>60874</v>
      </c>
      <c r="B9" s="339">
        <v>933</v>
      </c>
      <c r="J9" s="15"/>
    </row>
    <row r="10" spans="1:14" x14ac:dyDescent="0.2">
      <c r="A10" s="248">
        <v>78169</v>
      </c>
      <c r="B10" s="339">
        <f>182557-154794-15360-18460</f>
        <v>-6057</v>
      </c>
      <c r="I10" s="87" t="s">
        <v>251</v>
      </c>
      <c r="J10" s="481" t="s">
        <v>27</v>
      </c>
      <c r="K10" s="87" t="s">
        <v>252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1">
        <f>+C40</f>
        <v>855876.1</v>
      </c>
      <c r="K11" s="87" t="s">
        <v>253</v>
      </c>
      <c r="L11" s="87"/>
      <c r="M11" s="87"/>
      <c r="N11" s="87"/>
    </row>
    <row r="12" spans="1:14" ht="20.100000000000001" customHeight="1" x14ac:dyDescent="0.2">
      <c r="A12" s="248">
        <v>500248</v>
      </c>
      <c r="B12" s="341"/>
      <c r="I12" s="87">
        <v>24693</v>
      </c>
      <c r="J12" s="445">
        <v>275313.71999999997</v>
      </c>
      <c r="K12" s="87" t="s">
        <v>254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4964-2506</f>
        <v>2458</v>
      </c>
      <c r="I13" s="87">
        <v>21665</v>
      </c>
      <c r="J13" s="445">
        <v>73449.16</v>
      </c>
      <c r="K13" s="87" t="s">
        <v>255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1191-1198</f>
        <v>-7</v>
      </c>
      <c r="I14" s="87">
        <v>22664</v>
      </c>
      <c r="J14" s="448">
        <v>23612.35</v>
      </c>
      <c r="K14" s="87" t="s">
        <v>257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1610-5995-142</f>
        <v>-4527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">
      <c r="A17" s="280">
        <v>500267</v>
      </c>
      <c r="B17" s="340">
        <f>643299-605181-53892</f>
        <v>-15774</v>
      </c>
      <c r="I17" s="87"/>
      <c r="J17" s="445"/>
      <c r="K17" s="87"/>
      <c r="L17" s="87"/>
      <c r="M17" s="87"/>
      <c r="N17" s="87"/>
    </row>
    <row r="18" spans="1:14" x14ac:dyDescent="0.2">
      <c r="B18" s="14">
        <f>SUM(B8:B17)</f>
        <v>-22726</v>
      </c>
      <c r="I18" s="87"/>
      <c r="J18" s="445"/>
      <c r="K18" s="87"/>
      <c r="L18" s="87"/>
      <c r="M18" s="87"/>
      <c r="N18" s="87"/>
    </row>
    <row r="19" spans="1:14" x14ac:dyDescent="0.2">
      <c r="B19" s="15">
        <f>+summary!G5</f>
        <v>2.08</v>
      </c>
      <c r="C19" s="199">
        <f>+B19*B18</f>
        <v>-47270.080000000002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">
      <c r="C20" s="321">
        <f>+C19+C5</f>
        <v>1482206.52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">
      <c r="G24" s="32"/>
      <c r="H24" s="379"/>
      <c r="I24" s="327"/>
      <c r="J24" s="445"/>
      <c r="K24" s="87"/>
      <c r="L24" s="87"/>
      <c r="M24" s="87"/>
      <c r="N24" s="87"/>
    </row>
    <row r="25" spans="1:14" x14ac:dyDescent="0.2">
      <c r="G25" s="32"/>
      <c r="H25" s="379"/>
      <c r="I25" s="327"/>
      <c r="J25" s="445"/>
      <c r="K25" s="87"/>
      <c r="L25" s="87"/>
      <c r="M25" s="87"/>
      <c r="N25" s="87"/>
    </row>
    <row r="26" spans="1:14" x14ac:dyDescent="0.2">
      <c r="A26" s="198">
        <v>37287</v>
      </c>
      <c r="C26" s="604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">
      <c r="A28" s="57">
        <v>37299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">
      <c r="B32" s="15">
        <f>+summary!G4</f>
        <v>2.08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1">
        <v>24268</v>
      </c>
      <c r="G37" s="351">
        <v>24693</v>
      </c>
      <c r="H37" s="351">
        <v>24361</v>
      </c>
    </row>
    <row r="38" spans="1:9" x14ac:dyDescent="0.2">
      <c r="A38" s="32" t="s">
        <v>74</v>
      </c>
      <c r="E38" s="49">
        <f>+A5</f>
        <v>37287</v>
      </c>
      <c r="F38" s="593">
        <v>377700</v>
      </c>
      <c r="G38" s="443">
        <v>117857</v>
      </c>
      <c r="H38" s="593">
        <v>193435</v>
      </c>
      <c r="I38" s="14"/>
    </row>
    <row r="39" spans="1:9" x14ac:dyDescent="0.2">
      <c r="E39" s="49">
        <f>+A7</f>
        <v>37299</v>
      </c>
      <c r="F39" s="349">
        <f>+B18</f>
        <v>-22726</v>
      </c>
      <c r="G39" s="349">
        <f>+B31</f>
        <v>0</v>
      </c>
      <c r="H39" s="349">
        <f>+B46</f>
        <v>2080</v>
      </c>
      <c r="I39" s="14"/>
    </row>
    <row r="40" spans="1:9" x14ac:dyDescent="0.2">
      <c r="A40" s="49">
        <v>37287</v>
      </c>
      <c r="C40" s="604">
        <v>855876.1</v>
      </c>
      <c r="F40" s="14">
        <f>+F39+F38</f>
        <v>354974</v>
      </c>
      <c r="G40" s="14">
        <f>+G39+G38</f>
        <v>117857</v>
      </c>
      <c r="H40" s="14">
        <f>+H39+H38</f>
        <v>195515</v>
      </c>
      <c r="I40" s="14">
        <f>+H40+G40+F40</f>
        <v>668346</v>
      </c>
    </row>
    <row r="41" spans="1:9" x14ac:dyDescent="0.2">
      <c r="G41" s="32"/>
      <c r="H41" s="15"/>
      <c r="I41" s="32"/>
    </row>
    <row r="42" spans="1:9" x14ac:dyDescent="0.2">
      <c r="A42" s="245">
        <v>37299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f>926+85</f>
        <v>1011</v>
      </c>
      <c r="G44" s="32"/>
      <c r="H44" s="380"/>
      <c r="I44" s="14"/>
    </row>
    <row r="45" spans="1:9" x14ac:dyDescent="0.2">
      <c r="A45" s="32">
        <v>500392</v>
      </c>
      <c r="B45" s="250">
        <f>988+81</f>
        <v>1069</v>
      </c>
      <c r="G45" s="32"/>
      <c r="H45" s="380"/>
      <c r="I45" s="14"/>
    </row>
    <row r="46" spans="1:9" x14ac:dyDescent="0.2">
      <c r="B46" s="14">
        <f>SUM(B43:B45)</f>
        <v>2080</v>
      </c>
      <c r="G46" s="32"/>
      <c r="H46" s="380"/>
      <c r="I46" s="14"/>
    </row>
    <row r="47" spans="1:9" x14ac:dyDescent="0.2">
      <c r="B47" s="199">
        <f>+summary!G5</f>
        <v>2.08</v>
      </c>
      <c r="C47" s="199">
        <f>+B47*B46</f>
        <v>4326.4000000000005</v>
      </c>
      <c r="H47" s="380"/>
      <c r="I47" s="14"/>
    </row>
    <row r="48" spans="1:9" x14ac:dyDescent="0.2">
      <c r="C48" s="321">
        <f>+C47+C40</f>
        <v>860202.5</v>
      </c>
      <c r="E48" s="204"/>
      <c r="H48" s="380"/>
      <c r="I48" s="14"/>
    </row>
    <row r="49" spans="1:9" x14ac:dyDescent="0.2">
      <c r="E49" s="213"/>
      <c r="H49" s="380"/>
      <c r="I49" s="14"/>
    </row>
    <row r="50" spans="1:9" x14ac:dyDescent="0.2">
      <c r="E50" s="204"/>
      <c r="H50" s="380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5">
        <v>73445.08</v>
      </c>
      <c r="D53" s="32" t="s">
        <v>119</v>
      </c>
      <c r="E53" s="50"/>
      <c r="H53" s="380">
        <v>21665</v>
      </c>
      <c r="I53" s="602">
        <v>36401</v>
      </c>
    </row>
    <row r="54" spans="1:9" x14ac:dyDescent="0.2">
      <c r="A54" s="32">
        <v>22664</v>
      </c>
      <c r="B54" s="15" t="s">
        <v>137</v>
      </c>
      <c r="C54" s="606">
        <v>23612.35</v>
      </c>
      <c r="D54" s="32" t="s">
        <v>120</v>
      </c>
      <c r="H54" s="380">
        <v>22664</v>
      </c>
      <c r="I54" s="603">
        <v>18932</v>
      </c>
    </row>
    <row r="55" spans="1:9" x14ac:dyDescent="0.2">
      <c r="H55" s="381"/>
      <c r="I55" s="16"/>
    </row>
    <row r="56" spans="1:9" x14ac:dyDescent="0.2">
      <c r="C56" s="420"/>
    </row>
    <row r="57" spans="1:9" x14ac:dyDescent="0.2">
      <c r="C57" s="315">
        <f>+C54+C53+C48+C33+C20</f>
        <v>2714780.17</v>
      </c>
      <c r="I57" s="14">
        <f>SUM(I40:I54)</f>
        <v>723679</v>
      </c>
    </row>
    <row r="61" spans="1:9" x14ac:dyDescent="0.2">
      <c r="C61" s="15">
        <f>+DEFS!F49</f>
        <v>-2831754.16</v>
      </c>
    </row>
    <row r="62" spans="1:9" x14ac:dyDescent="0.2">
      <c r="C62" s="15">
        <f>+C61+C57</f>
        <v>-116973.99000000022</v>
      </c>
      <c r="I62" s="31">
        <f>+I57+DEFS!K49</f>
        <v>272842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1482206.52</v>
      </c>
      <c r="C72" s="14">
        <f>+F40</f>
        <v>354974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860202.5</v>
      </c>
      <c r="C74" s="14">
        <f>+H40</f>
        <v>195515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">
      <c r="A78" s="32">
        <v>22051</v>
      </c>
      <c r="B78" s="15">
        <f>+DEFS!E40</f>
        <v>-623998.02</v>
      </c>
      <c r="C78" s="14">
        <f>+DEFS!J36</f>
        <v>-153668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">
      <c r="B83" s="15">
        <f>SUM(B72:B82)</f>
        <v>-116973.98999999953</v>
      </c>
      <c r="C83" s="16">
        <f>SUM(C72:C82)</f>
        <v>272842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2" workbookViewId="0">
      <selection activeCell="E37" sqref="E37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31562</v>
      </c>
      <c r="E15" s="11">
        <v>34133</v>
      </c>
      <c r="F15" s="11">
        <f t="shared" si="0"/>
        <v>2571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1">
        <v>23995</v>
      </c>
      <c r="J33" s="351">
        <v>22051</v>
      </c>
      <c r="K33" s="351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9">
        <v>-183967</v>
      </c>
      <c r="J34" s="569">
        <v>-149923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412766</v>
      </c>
      <c r="E35" s="11">
        <f>SUM(E4:E34)</f>
        <v>409021</v>
      </c>
      <c r="F35" s="11">
        <f>SUM(F4:F34)</f>
        <v>-3745</v>
      </c>
      <c r="G35" s="11"/>
      <c r="H35" s="49">
        <f>+A40</f>
        <v>37299</v>
      </c>
      <c r="I35" s="349">
        <f>+C36</f>
        <v>0</v>
      </c>
      <c r="J35" s="349">
        <f>+E36</f>
        <v>-3745</v>
      </c>
      <c r="K35" s="206"/>
      <c r="L35" s="14"/>
    </row>
    <row r="36" spans="1:13" x14ac:dyDescent="0.2">
      <c r="C36" s="25">
        <f>+C35-B35</f>
        <v>0</v>
      </c>
      <c r="E36" s="25">
        <f>+E35-D35</f>
        <v>-3745</v>
      </c>
      <c r="F36" s="25">
        <f>+E36+C36</f>
        <v>-3745</v>
      </c>
      <c r="H36" s="32"/>
      <c r="I36" s="14">
        <f>+I35+I34</f>
        <v>-183967</v>
      </c>
      <c r="J36" s="14">
        <f>+J35+J34</f>
        <v>-153668</v>
      </c>
      <c r="K36" s="14">
        <f>+J36+I36</f>
        <v>-337635</v>
      </c>
      <c r="L36" s="14"/>
    </row>
    <row r="37" spans="1:13" x14ac:dyDescent="0.2">
      <c r="C37" s="313">
        <f>+summary!G5</f>
        <v>2.08</v>
      </c>
      <c r="E37" s="104">
        <f>+C37</f>
        <v>2.08</v>
      </c>
      <c r="F37" s="138">
        <f>+F36*E37</f>
        <v>-7789.6</v>
      </c>
    </row>
    <row r="38" spans="1:13" x14ac:dyDescent="0.2">
      <c r="C38" s="138">
        <f>+C37*C36</f>
        <v>0</v>
      </c>
      <c r="E38" s="136">
        <f>+E37*E36</f>
        <v>-7789.6</v>
      </c>
      <c r="F38" s="138">
        <f>+E38+C38</f>
        <v>-7789.6</v>
      </c>
    </row>
    <row r="39" spans="1:13" x14ac:dyDescent="0.2">
      <c r="A39" s="57">
        <v>37287</v>
      </c>
      <c r="B39" s="2" t="s">
        <v>45</v>
      </c>
      <c r="C39" s="588">
        <v>-1035385.61</v>
      </c>
      <c r="D39" s="320"/>
      <c r="E39" s="575">
        <v>-616208.42000000004</v>
      </c>
      <c r="F39" s="319">
        <f>+E39+C39</f>
        <v>-1651594.03</v>
      </c>
    </row>
    <row r="40" spans="1:13" x14ac:dyDescent="0.2">
      <c r="A40" s="57">
        <v>37299</v>
      </c>
      <c r="B40" s="2" t="s">
        <v>45</v>
      </c>
      <c r="C40" s="314">
        <f>+C39+C38</f>
        <v>-1035385.61</v>
      </c>
      <c r="D40" s="252"/>
      <c r="E40" s="314">
        <f>+E39+E38</f>
        <v>-623998.02</v>
      </c>
      <c r="F40" s="314">
        <f>+E40+C40</f>
        <v>-1659383.63</v>
      </c>
      <c r="H40" s="131"/>
    </row>
    <row r="41" spans="1:13" x14ac:dyDescent="0.2">
      <c r="C41" s="329"/>
      <c r="D41" s="246"/>
      <c r="E41" s="246"/>
      <c r="H41" s="31">
        <f>+C39+E39+F45+F46+F47+F48</f>
        <v>-2823964.5600000005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86"/>
    </row>
    <row r="44" spans="1:13" x14ac:dyDescent="0.2">
      <c r="C44" s="246"/>
      <c r="D44" s="246"/>
      <c r="E44" s="12">
        <v>22864</v>
      </c>
      <c r="F44" s="585">
        <v>0</v>
      </c>
      <c r="G44" s="249" t="s">
        <v>47</v>
      </c>
      <c r="J44" s="12">
        <v>22864</v>
      </c>
      <c r="K44" s="443"/>
    </row>
    <row r="45" spans="1:13" x14ac:dyDescent="0.2">
      <c r="C45" s="246"/>
      <c r="D45" s="246"/>
      <c r="E45" s="12">
        <v>20379</v>
      </c>
      <c r="F45" s="585">
        <v>-51695.87</v>
      </c>
      <c r="G45" s="249" t="s">
        <v>122</v>
      </c>
      <c r="J45" s="12">
        <v>20379</v>
      </c>
      <c r="K45" s="587">
        <v>2979</v>
      </c>
      <c r="M45" s="14"/>
    </row>
    <row r="46" spans="1:13" x14ac:dyDescent="0.2">
      <c r="C46" s="246"/>
      <c r="D46" s="246"/>
      <c r="E46" s="12">
        <v>26357</v>
      </c>
      <c r="F46" s="590">
        <f>44144.84-58339.66</f>
        <v>-14194.820000000007</v>
      </c>
      <c r="G46" s="249" t="s">
        <v>123</v>
      </c>
      <c r="J46" s="12">
        <v>26357</v>
      </c>
      <c r="K46" s="587">
        <f>26521-24566</f>
        <v>1955</v>
      </c>
    </row>
    <row r="47" spans="1:13" x14ac:dyDescent="0.2">
      <c r="C47" s="246"/>
      <c r="D47" s="246"/>
      <c r="E47" s="12">
        <v>21544</v>
      </c>
      <c r="F47" s="585">
        <v>61340.160000000003</v>
      </c>
      <c r="G47" s="249" t="s">
        <v>124</v>
      </c>
      <c r="J47" s="12">
        <v>21544</v>
      </c>
      <c r="K47" s="587">
        <v>36108</v>
      </c>
    </row>
    <row r="48" spans="1:13" x14ac:dyDescent="0.2">
      <c r="C48" s="246"/>
      <c r="D48" s="246"/>
      <c r="E48" s="12">
        <v>24532</v>
      </c>
      <c r="F48" s="589">
        <v>-1167820</v>
      </c>
      <c r="G48" s="249" t="s">
        <v>121</v>
      </c>
      <c r="J48" s="12">
        <v>24532</v>
      </c>
      <c r="K48" s="569">
        <v>-154244</v>
      </c>
    </row>
    <row r="49" spans="3:13" x14ac:dyDescent="0.2">
      <c r="C49" s="246"/>
      <c r="D49" s="246"/>
      <c r="F49" s="330">
        <f>SUM(F40:F48)</f>
        <v>-2831754.16</v>
      </c>
      <c r="G49" s="246"/>
      <c r="K49" s="14">
        <f>SUM(K36:K48)</f>
        <v>-450837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2714780.17</v>
      </c>
      <c r="M51" s="14">
        <f>+Duke!I57</f>
        <v>723679</v>
      </c>
    </row>
    <row r="53" spans="3:13" x14ac:dyDescent="0.2">
      <c r="F53" s="104">
        <f>+F51+F49</f>
        <v>-116973.99000000022</v>
      </c>
      <c r="M53" s="16">
        <f>+M51+K49</f>
        <v>272842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4"/>
    </row>
    <row r="63" spans="3:13" x14ac:dyDescent="0.2">
      <c r="F63" s="344"/>
    </row>
    <row r="64" spans="3:13" x14ac:dyDescent="0.2">
      <c r="F64" s="344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-154244</v>
      </c>
      <c r="C69" s="247">
        <f>+F48</f>
        <v>-1167820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-183967</v>
      </c>
      <c r="C73" s="247">
        <f>+C40</f>
        <v>-1035385.61</v>
      </c>
    </row>
    <row r="74" spans="1:3" x14ac:dyDescent="0.2">
      <c r="A74">
        <v>22051</v>
      </c>
      <c r="B74" s="31">
        <f>+J36</f>
        <v>-153668</v>
      </c>
      <c r="C74" s="247">
        <f>+E40</f>
        <v>-623998.02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195515</v>
      </c>
      <c r="C77" s="259">
        <f>+Duke!C48</f>
        <v>860202.5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354974</v>
      </c>
      <c r="C79" s="259">
        <f>+Duke!C20</f>
        <v>1482206.52</v>
      </c>
    </row>
    <row r="81" spans="2:3" x14ac:dyDescent="0.2">
      <c r="B81" s="31">
        <f>SUM(B68:B80)</f>
        <v>272842</v>
      </c>
      <c r="C81" s="259">
        <f>SUM(C68:C80)</f>
        <v>-116973.98999999999</v>
      </c>
    </row>
    <row r="82" spans="2:3" x14ac:dyDescent="0.2">
      <c r="C82">
        <f>+C81/B81</f>
        <v>-0.42872427998621909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13" workbookViewId="0">
      <selection activeCell="C18" sqref="C18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5232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-161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64654</v>
      </c>
      <c r="C39" s="11">
        <f t="shared" si="1"/>
        <v>69632</v>
      </c>
      <c r="D39" s="11">
        <f t="shared" si="1"/>
        <v>252</v>
      </c>
      <c r="E39" s="11">
        <f t="shared" si="1"/>
        <v>72</v>
      </c>
      <c r="F39" s="129">
        <f t="shared" si="1"/>
        <v>10864</v>
      </c>
      <c r="G39" s="11">
        <f t="shared" si="1"/>
        <v>6972</v>
      </c>
      <c r="H39" s="11">
        <f t="shared" si="1"/>
        <v>18049</v>
      </c>
      <c r="I39" s="11">
        <f t="shared" si="1"/>
        <v>10740</v>
      </c>
      <c r="J39" s="25">
        <f t="shared" si="1"/>
        <v>-6403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2.08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-13318.24</v>
      </c>
      <c r="L41"/>
      <c r="R41" s="138"/>
      <c r="X41" s="138"/>
    </row>
    <row r="42" spans="1:24" x14ac:dyDescent="0.2">
      <c r="A42" s="57">
        <v>37287</v>
      </c>
      <c r="C42" s="15"/>
      <c r="J42" s="572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37299</v>
      </c>
      <c r="C43" s="48"/>
      <c r="J43" s="138">
        <f>+J42+J41</f>
        <v>327959.76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37287</v>
      </c>
      <c r="B47" s="32"/>
      <c r="C47" s="32"/>
      <c r="D47" s="569">
        <v>135419</v>
      </c>
      <c r="L47"/>
    </row>
    <row r="48" spans="1:24" x14ac:dyDescent="0.2">
      <c r="A48" s="49">
        <f>+A43</f>
        <v>37299</v>
      </c>
      <c r="B48" s="32"/>
      <c r="C48" s="32"/>
      <c r="D48" s="349">
        <f>+J39</f>
        <v>-6403</v>
      </c>
      <c r="L48"/>
    </row>
    <row r="49" spans="1:12" x14ac:dyDescent="0.2">
      <c r="A49" s="32"/>
      <c r="B49" s="32"/>
      <c r="C49" s="32"/>
      <c r="D49" s="14">
        <f>+D48+D47</f>
        <v>129016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37" sqref="D37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9">
        <v>12</v>
      </c>
      <c r="B19" s="410"/>
      <c r="C19" s="410"/>
      <c r="D19" s="410"/>
      <c r="E19" s="410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9">
        <v>13</v>
      </c>
      <c r="B20" s="410"/>
      <c r="C20" s="410"/>
      <c r="D20" s="410"/>
      <c r="E20" s="410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9">
        <v>14</v>
      </c>
      <c r="B21" s="410"/>
      <c r="C21" s="410"/>
      <c r="D21" s="410"/>
      <c r="E21" s="410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9">
        <v>15</v>
      </c>
      <c r="B22" s="410"/>
      <c r="C22" s="410"/>
      <c r="D22" s="410"/>
      <c r="E22" s="410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9">
        <v>16</v>
      </c>
      <c r="B23" s="410"/>
      <c r="C23" s="410"/>
      <c r="D23" s="410"/>
      <c r="E23" s="410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9">
        <v>17</v>
      </c>
      <c r="B24" s="410"/>
      <c r="C24" s="410"/>
      <c r="D24" s="410"/>
      <c r="E24" s="410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9">
        <v>18</v>
      </c>
      <c r="B25" s="410"/>
      <c r="C25" s="410"/>
      <c r="D25" s="410"/>
      <c r="E25" s="410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9"/>
      <c r="B39" s="410">
        <f>SUM(B8:B38)</f>
        <v>0</v>
      </c>
      <c r="C39" s="410">
        <f>SUM(C8:C38)</f>
        <v>0</v>
      </c>
      <c r="D39" s="410">
        <f>SUM(D8:D38)</f>
        <v>-4873</v>
      </c>
      <c r="E39" s="410">
        <f>SUM(E8:E38)</f>
        <v>0</v>
      </c>
      <c r="F39" s="410">
        <f>SUM(F8:F38)</f>
        <v>4873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0"/>
      <c r="B40" s="285"/>
      <c r="C40" s="431"/>
      <c r="D40" s="431"/>
      <c r="E40" s="431"/>
      <c r="F40" s="432">
        <f>+summary!G4</f>
        <v>2.08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3">
        <f>+F40*F39</f>
        <v>10135.84</v>
      </c>
      <c r="J41" s="138"/>
      <c r="N41" s="138"/>
      <c r="R41" s="138"/>
      <c r="V41" s="138"/>
      <c r="Z41" s="138"/>
    </row>
    <row r="42" spans="1:26" ht="15" customHeight="1" x14ac:dyDescent="0.2">
      <c r="A42" s="56">
        <v>37287</v>
      </c>
      <c r="B42" s="285"/>
      <c r="C42" s="434"/>
      <c r="D42" s="434"/>
      <c r="E42" s="434"/>
      <c r="F42" s="56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37298</v>
      </c>
      <c r="B43" s="285"/>
      <c r="C43" s="435"/>
      <c r="D43" s="435"/>
      <c r="E43" s="435"/>
      <c r="F43" s="416">
        <f>+F42+F41</f>
        <v>162370.47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37287</v>
      </c>
      <c r="B47" s="32"/>
      <c r="C47" s="32"/>
      <c r="D47" s="486">
        <v>-368359</v>
      </c>
      <c r="E47" s="11"/>
    </row>
    <row r="48" spans="1:26" x14ac:dyDescent="0.2">
      <c r="A48" s="49">
        <f>+A43</f>
        <v>37298</v>
      </c>
      <c r="B48" s="32"/>
      <c r="C48" s="32"/>
      <c r="D48" s="349">
        <f>+F39</f>
        <v>4873</v>
      </c>
      <c r="E48" s="11"/>
    </row>
    <row r="49" spans="1:5" x14ac:dyDescent="0.2">
      <c r="A49" s="32"/>
      <c r="B49" s="32"/>
      <c r="C49" s="32"/>
      <c r="D49" s="14">
        <f>+D48+D47</f>
        <v>-363486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39" workbookViewId="0">
      <selection activeCell="D16" sqref="D16"/>
    </sheetView>
  </sheetViews>
  <sheetFormatPr defaultRowHeight="12.75" x14ac:dyDescent="0.2"/>
  <cols>
    <col min="1" max="1" width="25.85546875" style="285" customWidth="1"/>
    <col min="2" max="2" width="11.140625" style="545" bestFit="1" customWidth="1"/>
    <col min="3" max="3" width="9.7109375" style="546" customWidth="1"/>
    <col min="4" max="4" width="5.140625" style="547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9" bestFit="1" customWidth="1"/>
    <col min="15" max="15" width="9" style="550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2" t="s">
        <v>78</v>
      </c>
      <c r="G2" s="548"/>
    </row>
    <row r="3" spans="1:33" ht="15" customHeight="1" x14ac:dyDescent="0.2">
      <c r="F3" s="551" t="s">
        <v>29</v>
      </c>
      <c r="G3" s="552">
        <f>+'[3]1001'!$K$39</f>
        <v>2.08</v>
      </c>
      <c r="J3" s="373">
        <f ca="1">NOW()</f>
        <v>37301.666800347222</v>
      </c>
    </row>
    <row r="4" spans="1:33" ht="15" customHeight="1" x14ac:dyDescent="0.2">
      <c r="A4" s="34" t="s">
        <v>145</v>
      </c>
      <c r="C4" s="34" t="s">
        <v>5</v>
      </c>
      <c r="F4" s="553" t="s">
        <v>30</v>
      </c>
      <c r="G4" s="554">
        <f>+'[3]1001'!$M$39</f>
        <v>2.08</v>
      </c>
    </row>
    <row r="5" spans="1:33" ht="15" customHeight="1" x14ac:dyDescent="0.2">
      <c r="B5" s="555"/>
      <c r="F5" s="551" t="s">
        <v>117</v>
      </c>
      <c r="G5" s="552">
        <f>+'[3]1001'!$H$39</f>
        <v>2.08</v>
      </c>
    </row>
    <row r="6" spans="1:33" ht="12" customHeight="1" x14ac:dyDescent="0.2">
      <c r="C6" s="439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146</v>
      </c>
      <c r="E7" s="334" t="s">
        <v>90</v>
      </c>
      <c r="F7" s="337" t="s">
        <v>299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5">
        <f>+PNM!$D$23</f>
        <v>904200.56</v>
      </c>
      <c r="C8" s="275">
        <f>+B8/$G$4</f>
        <v>434711.80769230769</v>
      </c>
      <c r="D8" s="364">
        <f>+PNM!A23</f>
        <v>37299</v>
      </c>
      <c r="E8" s="32" t="s">
        <v>85</v>
      </c>
      <c r="F8" s="32" t="s">
        <v>300</v>
      </c>
      <c r="G8" s="32" t="s">
        <v>291</v>
      </c>
      <c r="H8" s="32"/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345">
        <f>+Conoco!$F$41</f>
        <v>444620.76999999996</v>
      </c>
      <c r="C9" s="275">
        <f>+B9/$G$4</f>
        <v>213759.98557692306</v>
      </c>
      <c r="D9" s="363">
        <f>+Conoco!A41</f>
        <v>37299</v>
      </c>
      <c r="E9" s="32" t="s">
        <v>85</v>
      </c>
      <c r="F9" s="32" t="s">
        <v>301</v>
      </c>
      <c r="G9" s="32" t="s">
        <v>113</v>
      </c>
      <c r="H9" s="32" t="s">
        <v>143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94</v>
      </c>
      <c r="B10" s="345">
        <f>+C10*$G$4</f>
        <v>368836</v>
      </c>
      <c r="C10" s="275">
        <f>+Mojave!D40</f>
        <v>177325</v>
      </c>
      <c r="D10" s="364">
        <f>+Mojave!A40</f>
        <v>37299</v>
      </c>
      <c r="E10" s="32" t="s">
        <v>84</v>
      </c>
      <c r="F10" s="32" t="s">
        <v>154</v>
      </c>
      <c r="G10" s="32" t="s">
        <v>100</v>
      </c>
      <c r="H10" s="32"/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107</v>
      </c>
      <c r="B11" s="345">
        <f>+KN_Westar!F41</f>
        <v>329520.2</v>
      </c>
      <c r="C11" s="275">
        <f>+B11/$G$4</f>
        <v>158423.17307692306</v>
      </c>
      <c r="D11" s="364">
        <f>+KN_Westar!A41</f>
        <v>37287</v>
      </c>
      <c r="E11" s="32" t="s">
        <v>85</v>
      </c>
      <c r="F11" s="32" t="s">
        <v>154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2</v>
      </c>
      <c r="B12" s="345">
        <f>+mewborne!$J$43</f>
        <v>327959.76</v>
      </c>
      <c r="C12" s="275">
        <f>+B12/$G$4</f>
        <v>157672.96153846153</v>
      </c>
      <c r="D12" s="364">
        <f>+mewborne!A43</f>
        <v>37299</v>
      </c>
      <c r="E12" s="32" t="s">
        <v>85</v>
      </c>
      <c r="F12" s="32" t="s">
        <v>300</v>
      </c>
      <c r="G12" s="32" t="s">
        <v>99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88</v>
      </c>
      <c r="B13" s="345">
        <f>+C13*$G$5</f>
        <v>241086.56</v>
      </c>
      <c r="C13" s="275">
        <f>+NGPL!H38</f>
        <v>115907</v>
      </c>
      <c r="D13" s="364">
        <f>+NGPL!A38</f>
        <v>37299</v>
      </c>
      <c r="E13" s="204" t="s">
        <v>84</v>
      </c>
      <c r="F13" s="32" t="s">
        <v>153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207</v>
      </c>
      <c r="B14" s="345">
        <f>+Dominion!D41</f>
        <v>173925.46000000002</v>
      </c>
      <c r="C14" s="275">
        <f>+B14/$G$5</f>
        <v>83618.009615384624</v>
      </c>
      <c r="D14" s="364">
        <f>+Dominion!A41</f>
        <v>37298</v>
      </c>
      <c r="E14" s="32" t="s">
        <v>85</v>
      </c>
      <c r="F14" s="32" t="s">
        <v>300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204" t="s">
        <v>32</v>
      </c>
      <c r="B15" s="345">
        <f>+C15*$G$4</f>
        <v>162404.32</v>
      </c>
      <c r="C15" s="206">
        <f>+SoCal!F40</f>
        <v>78079</v>
      </c>
      <c r="D15" s="363">
        <f>+SoCal!A40</f>
        <v>37299</v>
      </c>
      <c r="E15" s="204" t="s">
        <v>84</v>
      </c>
      <c r="F15" s="204" t="s">
        <v>153</v>
      </c>
      <c r="G15" s="204" t="s">
        <v>102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3</v>
      </c>
      <c r="B16" s="345">
        <f>+'Amoco Abo'!$F$43</f>
        <v>162370.47</v>
      </c>
      <c r="C16" s="275">
        <f>+B16/$G$4</f>
        <v>78062.725961538454</v>
      </c>
      <c r="D16" s="364">
        <f>+'Amoco Abo'!A43</f>
        <v>37298</v>
      </c>
      <c r="E16" s="32" t="s">
        <v>85</v>
      </c>
      <c r="F16" s="32" t="s">
        <v>153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04" t="s">
        <v>33</v>
      </c>
      <c r="B17" s="345">
        <f>+'El Paso'!C39*summary!G4+'El Paso'!E39*summary!G3</f>
        <v>156108.16000000003</v>
      </c>
      <c r="C17" s="275">
        <f>+'El Paso'!H39</f>
        <v>75052</v>
      </c>
      <c r="D17" s="363">
        <f>+'El Paso'!A39</f>
        <v>37299</v>
      </c>
      <c r="E17" s="204" t="s">
        <v>84</v>
      </c>
      <c r="F17" s="204" t="s">
        <v>154</v>
      </c>
      <c r="G17" s="204" t="s">
        <v>100</v>
      </c>
      <c r="H17" s="204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129</v>
      </c>
      <c r="B18" s="345">
        <f>+EPFS!D41</f>
        <v>135496</v>
      </c>
      <c r="C18" s="206">
        <f>+B18/$G$5</f>
        <v>65142.307692307688</v>
      </c>
      <c r="D18" s="363">
        <f>+EPFS!A41</f>
        <v>37298</v>
      </c>
      <c r="E18" s="32" t="s">
        <v>85</v>
      </c>
      <c r="F18" s="32" t="s">
        <v>154</v>
      </c>
      <c r="G18" s="32" t="s">
        <v>102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442" t="s">
        <v>79</v>
      </c>
      <c r="B19" s="503">
        <f>+Agave!$D$24</f>
        <v>120281.58</v>
      </c>
      <c r="C19" s="462">
        <f>+B19/$G$4</f>
        <v>57827.682692307688</v>
      </c>
      <c r="D19" s="461">
        <f>+Agave!A24</f>
        <v>37299</v>
      </c>
      <c r="E19" s="442" t="s">
        <v>85</v>
      </c>
      <c r="F19" s="442" t="s">
        <v>301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32" t="s">
        <v>218</v>
      </c>
      <c r="B20" s="345">
        <f>+Amarillo!P41</f>
        <v>91520.72</v>
      </c>
      <c r="C20" s="275">
        <f>+B20/$G$4</f>
        <v>44000.346153846156</v>
      </c>
      <c r="D20" s="364">
        <f>+Amarillo!A41</f>
        <v>37299</v>
      </c>
      <c r="E20" s="32" t="s">
        <v>85</v>
      </c>
      <c r="F20" s="32" t="s">
        <v>301</v>
      </c>
      <c r="G20" s="32" t="s">
        <v>113</v>
      </c>
      <c r="H20" s="32"/>
      <c r="I20" s="32"/>
      <c r="J20" s="32"/>
      <c r="K20" s="32"/>
      <c r="L20" s="32"/>
      <c r="M20" s="32" t="s">
        <v>244</v>
      </c>
      <c r="N20" s="379">
        <v>22864</v>
      </c>
      <c r="O20" s="70">
        <v>-58339.66</v>
      </c>
      <c r="P20" s="32" t="s">
        <v>247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32" t="s">
        <v>31</v>
      </c>
      <c r="B21" s="345">
        <f>+C21*$G$5</f>
        <v>88112.960000000006</v>
      </c>
      <c r="C21" s="275">
        <f>+Lonestar!F43</f>
        <v>42362</v>
      </c>
      <c r="D21" s="363">
        <f>+Lonestar!A43</f>
        <v>37299</v>
      </c>
      <c r="E21" s="32" t="s">
        <v>84</v>
      </c>
      <c r="F21" s="32" t="s">
        <v>301</v>
      </c>
      <c r="G21" s="32" t="s">
        <v>102</v>
      </c>
      <c r="H21" s="32"/>
      <c r="I21" s="15"/>
      <c r="J21" s="32"/>
      <c r="K21" s="32"/>
      <c r="L21" s="32"/>
      <c r="M21" s="32" t="s">
        <v>244</v>
      </c>
      <c r="N21" s="379">
        <v>20379</v>
      </c>
      <c r="O21" s="70">
        <v>-51695.87</v>
      </c>
      <c r="P21" s="32" t="s">
        <v>247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114</v>
      </c>
      <c r="B22" s="345">
        <f>+C22*$G$4</f>
        <v>82844.320000000007</v>
      </c>
      <c r="C22" s="206">
        <f>+'PG&amp;E'!D40</f>
        <v>39829</v>
      </c>
      <c r="D22" s="364">
        <f>+'PG&amp;E'!A40</f>
        <v>37299</v>
      </c>
      <c r="E22" s="32" t="s">
        <v>84</v>
      </c>
      <c r="F22" s="32" t="s">
        <v>154</v>
      </c>
      <c r="G22" s="32" t="s">
        <v>102</v>
      </c>
      <c r="H22" s="32"/>
      <c r="I22" s="204"/>
      <c r="J22" s="32"/>
      <c r="K22" s="32"/>
      <c r="L22" s="32"/>
      <c r="M22" s="32" t="s">
        <v>244</v>
      </c>
      <c r="N22" s="379">
        <v>26357</v>
      </c>
      <c r="O22" s="70">
        <v>44144.84</v>
      </c>
      <c r="P22" s="32" t="s">
        <v>247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139</v>
      </c>
      <c r="B23" s="345">
        <f>+'Citizens-Griffith'!D41</f>
        <v>73591.48</v>
      </c>
      <c r="C23" s="275">
        <f t="shared" ref="C23:C34" si="0">+B23/$G$4</f>
        <v>35380.519230769227</v>
      </c>
      <c r="D23" s="363">
        <f>+'Citizens-Griffith'!A41</f>
        <v>37298</v>
      </c>
      <c r="E23" s="204" t="s">
        <v>85</v>
      </c>
      <c r="F23" s="204" t="s">
        <v>301</v>
      </c>
      <c r="G23" s="204" t="s">
        <v>99</v>
      </c>
      <c r="H23" s="204"/>
      <c r="I23" s="32"/>
      <c r="J23" s="32"/>
      <c r="K23" s="32"/>
      <c r="L23" s="32"/>
      <c r="M23" s="32" t="s">
        <v>244</v>
      </c>
      <c r="N23" s="379">
        <v>21544</v>
      </c>
      <c r="O23" s="70">
        <v>61340.160000000003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6" customFormat="1" ht="13.5" customHeight="1" x14ac:dyDescent="0.2">
      <c r="A24" s="32" t="s">
        <v>23</v>
      </c>
      <c r="B24" s="345">
        <f>+C24*$G$3</f>
        <v>73220.160000000003</v>
      </c>
      <c r="C24" s="347">
        <f>+'Red C'!$F$45</f>
        <v>35202</v>
      </c>
      <c r="D24" s="363">
        <f>+'Red C'!A45</f>
        <v>37299</v>
      </c>
      <c r="E24" s="204" t="s">
        <v>84</v>
      </c>
      <c r="F24" s="32" t="s">
        <v>153</v>
      </c>
      <c r="G24" s="32" t="s">
        <v>115</v>
      </c>
      <c r="H24" s="32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6" customFormat="1" ht="13.5" customHeight="1" x14ac:dyDescent="0.2">
      <c r="A25" s="204" t="s">
        <v>307</v>
      </c>
      <c r="B25" s="345">
        <f>+Plains!$N$43</f>
        <v>63241.56</v>
      </c>
      <c r="C25" s="206">
        <f>+B25/$G$4</f>
        <v>30404.596153846152</v>
      </c>
      <c r="D25" s="363">
        <f>+Plains!A43</f>
        <v>37287</v>
      </c>
      <c r="E25" s="204" t="s">
        <v>85</v>
      </c>
      <c r="F25" s="204"/>
      <c r="G25" s="204" t="s">
        <v>100</v>
      </c>
      <c r="H25" s="204" t="s">
        <v>308</v>
      </c>
      <c r="I25" s="204"/>
      <c r="J25" s="204"/>
      <c r="K25" s="204"/>
      <c r="L25" s="204"/>
      <c r="M25" s="204" t="s">
        <v>245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6" customFormat="1" ht="13.5" customHeight="1" x14ac:dyDescent="0.2">
      <c r="A26" s="204" t="s">
        <v>127</v>
      </c>
      <c r="B26" s="345">
        <f>+Calpine!D41</f>
        <v>56194.720000000001</v>
      </c>
      <c r="C26" s="206">
        <f>+B26/$G$4</f>
        <v>27016.692307692309</v>
      </c>
      <c r="D26" s="363">
        <f>+Calpine!A41</f>
        <v>37299</v>
      </c>
      <c r="E26" s="204" t="s">
        <v>85</v>
      </c>
      <c r="F26" s="204" t="s">
        <v>153</v>
      </c>
      <c r="G26" s="204" t="s">
        <v>99</v>
      </c>
      <c r="H26" s="204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">
      <c r="A27" s="32" t="s">
        <v>298</v>
      </c>
      <c r="B27" s="345">
        <f>+Stratland!$D$41</f>
        <v>48490.31</v>
      </c>
      <c r="C27" s="275">
        <f t="shared" si="0"/>
        <v>23312.649038461535</v>
      </c>
      <c r="D27" s="363">
        <f>+Stratland!A41</f>
        <v>37287</v>
      </c>
      <c r="E27" s="32" t="s">
        <v>85</v>
      </c>
      <c r="F27" s="32" t="s">
        <v>300</v>
      </c>
      <c r="G27" s="32" t="s">
        <v>102</v>
      </c>
      <c r="H27" s="32"/>
      <c r="I27" s="204"/>
      <c r="J27" s="32"/>
      <c r="K27" s="32"/>
      <c r="L27" s="32"/>
      <c r="M27" s="32" t="s">
        <v>244</v>
      </c>
      <c r="N27" s="379">
        <v>26357</v>
      </c>
      <c r="O27" s="70">
        <v>44144.84</v>
      </c>
      <c r="P27" s="32" t="s">
        <v>247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6" customFormat="1" ht="13.5" customHeight="1" x14ac:dyDescent="0.2">
      <c r="A28" s="204" t="s">
        <v>109</v>
      </c>
      <c r="B28" s="345">
        <f>+Continental!F43</f>
        <v>44523.08</v>
      </c>
      <c r="C28" s="206">
        <f t="shared" si="0"/>
        <v>21405.326923076922</v>
      </c>
      <c r="D28" s="363">
        <f>+Continental!A43</f>
        <v>37297</v>
      </c>
      <c r="E28" s="204" t="s">
        <v>85</v>
      </c>
      <c r="F28" s="204" t="s">
        <v>154</v>
      </c>
      <c r="G28" s="204" t="s">
        <v>115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204" t="s">
        <v>142</v>
      </c>
      <c r="B29" s="346">
        <f>+C29*$G$4</f>
        <v>43655.040000000001</v>
      </c>
      <c r="C29" s="347">
        <f>+PEPL!D41</f>
        <v>20988</v>
      </c>
      <c r="D29" s="363">
        <f>+PEPL!A41</f>
        <v>37299</v>
      </c>
      <c r="E29" s="204" t="s">
        <v>84</v>
      </c>
      <c r="F29" s="204" t="s">
        <v>301</v>
      </c>
      <c r="G29" s="204" t="s">
        <v>100</v>
      </c>
      <c r="H29" s="32"/>
      <c r="I29" s="32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110</v>
      </c>
      <c r="B30" s="345">
        <f>+C30*$G$4</f>
        <v>36580.959999999999</v>
      </c>
      <c r="C30" s="275">
        <f>+CIG!D42</f>
        <v>17587</v>
      </c>
      <c r="D30" s="364">
        <f>+CIG!A42</f>
        <v>37298</v>
      </c>
      <c r="E30" s="204" t="s">
        <v>84</v>
      </c>
      <c r="F30" s="32" t="s">
        <v>154</v>
      </c>
      <c r="G30" s="32" t="s">
        <v>113</v>
      </c>
      <c r="H30" s="32"/>
      <c r="I30" s="32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6" customFormat="1" ht="13.5" customHeight="1" x14ac:dyDescent="0.2">
      <c r="A31" s="204" t="s">
        <v>87</v>
      </c>
      <c r="B31" s="345">
        <f>+NNG!$D$24</f>
        <v>34399.43</v>
      </c>
      <c r="C31" s="275">
        <f>+B31/$G$4</f>
        <v>16538.1875</v>
      </c>
      <c r="D31" s="363">
        <f>+NNG!A24</f>
        <v>37298</v>
      </c>
      <c r="E31" s="204" t="s">
        <v>85</v>
      </c>
      <c r="F31" s="204" t="s">
        <v>300</v>
      </c>
      <c r="G31" s="204" t="s">
        <v>100</v>
      </c>
      <c r="H31" s="204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103</v>
      </c>
      <c r="B32" s="345">
        <f>+EOG!$J$41</f>
        <v>31172.690000000002</v>
      </c>
      <c r="C32" s="275">
        <f t="shared" si="0"/>
        <v>14986.870192307693</v>
      </c>
      <c r="D32" s="363">
        <f>+EOG!A41</f>
        <v>37297</v>
      </c>
      <c r="E32" s="32" t="s">
        <v>85</v>
      </c>
      <c r="F32" s="32" t="s">
        <v>300</v>
      </c>
      <c r="G32" s="32" t="s">
        <v>102</v>
      </c>
      <c r="H32" s="32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32" t="s">
        <v>281</v>
      </c>
      <c r="B33" s="345">
        <f>+'WTG inc'!N43</f>
        <v>23961.29</v>
      </c>
      <c r="C33" s="275">
        <f t="shared" si="0"/>
        <v>11519.850961538461</v>
      </c>
      <c r="D33" s="364">
        <f>+'WTG inc'!A43</f>
        <v>37296</v>
      </c>
      <c r="E33" s="32" t="s">
        <v>85</v>
      </c>
      <c r="F33" s="32" t="s">
        <v>153</v>
      </c>
      <c r="G33" s="32" t="s">
        <v>115</v>
      </c>
      <c r="H33" s="204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204" t="s">
        <v>71</v>
      </c>
      <c r="B34" s="346">
        <f>+transcol!$D$43</f>
        <v>23321.08</v>
      </c>
      <c r="C34" s="347">
        <f t="shared" si="0"/>
        <v>11212.057692307693</v>
      </c>
      <c r="D34" s="363">
        <f>+transcol!A43</f>
        <v>37299</v>
      </c>
      <c r="E34" s="204" t="s">
        <v>85</v>
      </c>
      <c r="F34" s="204" t="s">
        <v>153</v>
      </c>
      <c r="G34" s="204" t="s">
        <v>115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6" customFormat="1" ht="13.5" customHeight="1" x14ac:dyDescent="0.2">
      <c r="A35" s="204" t="s">
        <v>147</v>
      </c>
      <c r="B35" s="345">
        <f>+PGETX!$H$39</f>
        <v>16602.04</v>
      </c>
      <c r="C35" s="275">
        <f>+B35/$G$4</f>
        <v>7981.75</v>
      </c>
      <c r="D35" s="363">
        <f>+PGETX!E39</f>
        <v>37298</v>
      </c>
      <c r="E35" s="204" t="s">
        <v>85</v>
      </c>
      <c r="F35" s="204" t="s">
        <v>154</v>
      </c>
      <c r="G35" s="204" t="s">
        <v>102</v>
      </c>
      <c r="H35" s="204"/>
      <c r="I35" s="204"/>
      <c r="J35" s="204"/>
      <c r="K35" s="204"/>
      <c r="L35" s="204"/>
      <c r="M35" s="204"/>
      <c r="N35" s="469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3.5" customHeight="1" x14ac:dyDescent="0.2">
      <c r="A36" s="32" t="s">
        <v>6</v>
      </c>
      <c r="B36" s="345">
        <f>+Oasis!$D$40</f>
        <v>14259.55</v>
      </c>
      <c r="C36" s="206">
        <f>+B36/$G$5</f>
        <v>6855.5528846153838</v>
      </c>
      <c r="D36" s="364">
        <f>+Oasis!A40</f>
        <v>37299</v>
      </c>
      <c r="E36" s="32" t="s">
        <v>85</v>
      </c>
      <c r="F36" s="32" t="s">
        <v>154</v>
      </c>
      <c r="G36" s="32" t="s">
        <v>102</v>
      </c>
      <c r="H36" s="32"/>
      <c r="I36" s="32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2.95" customHeight="1" x14ac:dyDescent="0.2">
      <c r="A37" s="32" t="s">
        <v>131</v>
      </c>
      <c r="B37" s="348">
        <f>+SidR!D41</f>
        <v>5207.6399999999994</v>
      </c>
      <c r="C37" s="71">
        <f>+B37/$G$5</f>
        <v>2503.6730769230767</v>
      </c>
      <c r="D37" s="364">
        <f>+SidR!A41</f>
        <v>37299</v>
      </c>
      <c r="E37" s="32" t="s">
        <v>85</v>
      </c>
      <c r="F37" s="32" t="s">
        <v>152</v>
      </c>
      <c r="G37" s="32" t="s">
        <v>102</v>
      </c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8" customHeight="1" x14ac:dyDescent="0.2">
      <c r="A38" s="32" t="s">
        <v>96</v>
      </c>
      <c r="B38" s="47">
        <f>SUM(B8:B37)</f>
        <v>4377708.870000001</v>
      </c>
      <c r="C38" s="69">
        <f>SUM(C8:C37)</f>
        <v>2104667.725961539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50"/>
      <c r="G39" s="350"/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4" t="s">
        <v>89</v>
      </c>
      <c r="B40" s="335" t="s">
        <v>16</v>
      </c>
      <c r="C40" s="336" t="s">
        <v>0</v>
      </c>
      <c r="D40" s="343" t="s">
        <v>146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135</v>
      </c>
      <c r="B41" s="345">
        <f>+Citizens!D18</f>
        <v>-550969.43000000005</v>
      </c>
      <c r="C41" s="206">
        <f>+B41/$G$4</f>
        <v>-264889.14903846156</v>
      </c>
      <c r="D41" s="363">
        <f>+Citizens!A18</f>
        <v>37297</v>
      </c>
      <c r="E41" s="204" t="s">
        <v>85</v>
      </c>
      <c r="F41" s="204" t="s">
        <v>301</v>
      </c>
      <c r="G41" s="204" t="s">
        <v>99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133</v>
      </c>
      <c r="B42" s="345">
        <f>+'NS Steel'!D41</f>
        <v>-279055.24</v>
      </c>
      <c r="C42" s="206">
        <f>+B42/$G$4</f>
        <v>-134161.17307692306</v>
      </c>
      <c r="D42" s="364">
        <f>+'NS Steel'!A41</f>
        <v>37298</v>
      </c>
      <c r="E42" s="32" t="s">
        <v>85</v>
      </c>
      <c r="F42" s="32" t="s">
        <v>154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258</v>
      </c>
      <c r="B43" s="345">
        <f>+MiVida_Rich!D41</f>
        <v>-192285.66</v>
      </c>
      <c r="C43" s="206">
        <f>+B43/$G$5</f>
        <v>-92445.028846153844</v>
      </c>
      <c r="D43" s="363">
        <f>+MiVida_Rich!A41</f>
        <v>37287</v>
      </c>
      <c r="E43" s="204" t="s">
        <v>85</v>
      </c>
      <c r="F43" s="204" t="s">
        <v>152</v>
      </c>
      <c r="G43" s="204" t="s">
        <v>102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216</v>
      </c>
      <c r="B44" s="345">
        <f>+crosstex!F41</f>
        <v>-133551.19</v>
      </c>
      <c r="C44" s="206">
        <f>+B44/$G$4</f>
        <v>-64207.302884615383</v>
      </c>
      <c r="D44" s="364">
        <f>+crosstex!A41</f>
        <v>37298</v>
      </c>
      <c r="E44" s="32" t="s">
        <v>85</v>
      </c>
      <c r="F44" s="32" t="s">
        <v>152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7" customFormat="1" ht="13.5" customHeight="1" x14ac:dyDescent="0.2">
      <c r="A45" s="204" t="s">
        <v>313</v>
      </c>
      <c r="B45" s="346">
        <f>+Duke!B83</f>
        <v>-116973.98999999953</v>
      </c>
      <c r="C45" s="347">
        <f>+B45/$G$5</f>
        <v>-56237.495192307462</v>
      </c>
      <c r="D45" s="363">
        <f>+DEFS!A40</f>
        <v>37299</v>
      </c>
      <c r="E45" s="204" t="s">
        <v>85</v>
      </c>
      <c r="F45" s="32" t="s">
        <v>153</v>
      </c>
      <c r="G45" s="32" t="s">
        <v>100</v>
      </c>
      <c r="H45" s="32" t="s">
        <v>309</v>
      </c>
      <c r="I45" s="249"/>
      <c r="J45" s="249"/>
      <c r="K45" s="249"/>
      <c r="L45" s="249"/>
      <c r="M45" s="32"/>
      <c r="N45" s="469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ht="13.5" customHeight="1" x14ac:dyDescent="0.2">
      <c r="A46" s="32" t="s">
        <v>1</v>
      </c>
      <c r="B46" s="345">
        <f>+C46*$G$3</f>
        <v>-95682.08</v>
      </c>
      <c r="C46" s="206">
        <f>+NW!$F$41</f>
        <v>-46001</v>
      </c>
      <c r="D46" s="363">
        <f>+NW!B41</f>
        <v>37299</v>
      </c>
      <c r="E46" s="32" t="s">
        <v>84</v>
      </c>
      <c r="F46" s="32" t="s">
        <v>153</v>
      </c>
      <c r="G46" s="32" t="s">
        <v>115</v>
      </c>
      <c r="H46" s="351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6" customFormat="1" ht="13.5" customHeight="1" x14ac:dyDescent="0.2">
      <c r="A47" s="204" t="s">
        <v>95</v>
      </c>
      <c r="B47" s="345">
        <f>+burlington!D42</f>
        <v>-72475.520000000004</v>
      </c>
      <c r="C47" s="275">
        <f>+B47/$G$3</f>
        <v>-34844</v>
      </c>
      <c r="D47" s="363">
        <f>+burlington!A42</f>
        <v>37299</v>
      </c>
      <c r="E47" s="204" t="s">
        <v>85</v>
      </c>
      <c r="F47" s="32" t="s">
        <v>154</v>
      </c>
      <c r="G47" s="32" t="s">
        <v>113</v>
      </c>
      <c r="H47" s="32"/>
      <c r="I47" s="204"/>
      <c r="J47" s="204"/>
      <c r="K47" s="204"/>
      <c r="L47" s="204"/>
      <c r="M47" s="204"/>
      <c r="N47" s="469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">
      <c r="A48" s="204" t="s">
        <v>204</v>
      </c>
      <c r="B48" s="346">
        <f>+WTGmktg!J43</f>
        <v>-34596.009999999995</v>
      </c>
      <c r="C48" s="206">
        <f>+B48/$G$4</f>
        <v>-16632.697115384613</v>
      </c>
      <c r="D48" s="363">
        <f>+WTGmktg!A43</f>
        <v>37290</v>
      </c>
      <c r="E48" s="32" t="s">
        <v>85</v>
      </c>
      <c r="F48" s="204" t="s">
        <v>153</v>
      </c>
      <c r="G48" s="204" t="s">
        <v>115</v>
      </c>
      <c r="H48" s="204"/>
      <c r="I48" s="32"/>
      <c r="J48" s="32"/>
      <c r="K48" s="32"/>
      <c r="L48" s="32"/>
      <c r="M48" s="32" t="s">
        <v>244</v>
      </c>
      <c r="N48" s="379">
        <v>23995</v>
      </c>
      <c r="O48" s="70">
        <v>-1023166</v>
      </c>
      <c r="P48" s="32" t="s">
        <v>246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">
      <c r="A49" s="204" t="s">
        <v>28</v>
      </c>
      <c r="B49" s="345">
        <f>+C49*$G$3</f>
        <v>-32331.52</v>
      </c>
      <c r="C49" s="275">
        <f>+williams!J40</f>
        <v>-15544</v>
      </c>
      <c r="D49" s="363">
        <f>+williams!A40</f>
        <v>37299</v>
      </c>
      <c r="E49" s="204" t="s">
        <v>85</v>
      </c>
      <c r="F49" s="204" t="s">
        <v>154</v>
      </c>
      <c r="G49" s="204" t="s">
        <v>291</v>
      </c>
      <c r="H49" s="204"/>
      <c r="I49" s="32"/>
      <c r="J49" s="32"/>
      <c r="K49" s="32"/>
      <c r="L49" s="32"/>
      <c r="M49" s="32"/>
      <c r="N49" s="379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56" customFormat="1" ht="13.5" customHeight="1" x14ac:dyDescent="0.2">
      <c r="A50" s="32" t="s">
        <v>278</v>
      </c>
      <c r="B50" s="345">
        <f>+SWGasTrans!$D$41</f>
        <v>-26268.129999999997</v>
      </c>
      <c r="C50" s="275">
        <f>+B50/$G$4</f>
        <v>-12628.908653846152</v>
      </c>
      <c r="D50" s="363">
        <f>+SWGasTrans!A41</f>
        <v>37298</v>
      </c>
      <c r="E50" s="32" t="s">
        <v>85</v>
      </c>
      <c r="F50" s="32" t="s">
        <v>153</v>
      </c>
      <c r="G50" s="32" t="s">
        <v>99</v>
      </c>
      <c r="H50" s="32"/>
      <c r="I50" s="204"/>
      <c r="J50" s="204"/>
      <c r="K50" s="204"/>
      <c r="L50" s="204"/>
      <c r="M50" s="204" t="s">
        <v>243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6" customFormat="1" ht="13.5" customHeight="1" x14ac:dyDescent="0.2">
      <c r="A51" s="32" t="s">
        <v>289</v>
      </c>
      <c r="B51" s="345">
        <f>+C51*$G$3</f>
        <v>-15837.12</v>
      </c>
      <c r="C51" s="275">
        <f>+Amoco!D40</f>
        <v>-7614</v>
      </c>
      <c r="D51" s="364">
        <f>+Amoco!A40</f>
        <v>37299</v>
      </c>
      <c r="E51" s="32" t="s">
        <v>84</v>
      </c>
      <c r="F51" s="32" t="s">
        <v>153</v>
      </c>
      <c r="G51" s="32" t="s">
        <v>115</v>
      </c>
      <c r="H51" s="32"/>
      <c r="I51" s="204"/>
      <c r="J51" s="204"/>
      <c r="K51" s="204"/>
      <c r="L51" s="204"/>
      <c r="M51" s="204"/>
      <c r="N51" s="469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6" customFormat="1" ht="13.5" customHeight="1" x14ac:dyDescent="0.2">
      <c r="A52" s="32" t="s">
        <v>210</v>
      </c>
      <c r="B52" s="348">
        <f>+Devon!D41</f>
        <v>-14231.36</v>
      </c>
      <c r="C52" s="71">
        <f>+B52/$G$5</f>
        <v>-6842</v>
      </c>
      <c r="D52" s="364">
        <f>+Devon!A41</f>
        <v>37297</v>
      </c>
      <c r="E52" s="32" t="s">
        <v>85</v>
      </c>
      <c r="F52" s="32" t="s">
        <v>301</v>
      </c>
      <c r="G52" s="32" t="s">
        <v>99</v>
      </c>
      <c r="H52" s="32" t="s">
        <v>314</v>
      </c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45">
        <f>SUM(B41:B52)</f>
        <v>-1564257.2499999998</v>
      </c>
      <c r="C53" s="206">
        <f>SUM(C41:C52)</f>
        <v>-752046.75480769214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3">
        <f>+B53+B38</f>
        <v>2813451.620000001</v>
      </c>
      <c r="C55" s="354">
        <f>+C53+C38</f>
        <v>1352620.9711538469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261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259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260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262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263</v>
      </c>
      <c r="B75" s="591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265</v>
      </c>
      <c r="B76" s="591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266</v>
      </c>
      <c r="B77" s="591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267</v>
      </c>
      <c r="B78" s="591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268</v>
      </c>
      <c r="B79" s="591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269</v>
      </c>
      <c r="B80" s="591">
        <v>7679.44</v>
      </c>
      <c r="C80" s="492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271</v>
      </c>
      <c r="B81" s="596">
        <v>-1851.26</v>
      </c>
      <c r="C81" s="492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273</v>
      </c>
      <c r="B82" s="571">
        <v>-27278.52</v>
      </c>
      <c r="C82" s="492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274</v>
      </c>
      <c r="B83" s="516">
        <v>8356.0499999999993</v>
      </c>
      <c r="C83" s="558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275</v>
      </c>
      <c r="B84" s="597">
        <f>775*2.08</f>
        <v>1612</v>
      </c>
      <c r="C84" s="558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272</v>
      </c>
      <c r="B85" s="15">
        <f>44144.84-58339.66</f>
        <v>-14194.820000000007</v>
      </c>
      <c r="C85" s="558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272</v>
      </c>
      <c r="B86" s="15">
        <v>-51695.87</v>
      </c>
      <c r="C86" s="558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272</v>
      </c>
      <c r="B87" s="15">
        <v>61340.160000000003</v>
      </c>
      <c r="C87" s="558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293</v>
      </c>
      <c r="B88" s="571">
        <v>-1702.75</v>
      </c>
      <c r="C88" s="558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279</v>
      </c>
      <c r="B89" s="571">
        <v>-1664.28</v>
      </c>
      <c r="C89" s="558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264</v>
      </c>
      <c r="B90" s="518">
        <v>-35893</v>
      </c>
      <c r="C90" s="492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270</v>
      </c>
      <c r="B91" s="15">
        <v>3338.45</v>
      </c>
      <c r="C91" s="492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294</v>
      </c>
      <c r="B92" s="595">
        <v>4589.1400000000003</v>
      </c>
      <c r="C92" s="492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295</v>
      </c>
      <c r="B93" s="517">
        <v>-725.46</v>
      </c>
      <c r="C93" s="492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F11" sqref="F11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-336606</v>
      </c>
      <c r="C7" s="80">
        <v>-132491</v>
      </c>
      <c r="D7" s="80">
        <f t="shared" si="0"/>
        <v>204115</v>
      </c>
    </row>
    <row r="8" spans="1:4" x14ac:dyDescent="0.2">
      <c r="A8" s="32">
        <v>60667</v>
      </c>
      <c r="B8" s="309">
        <v>-17</v>
      </c>
      <c r="C8" s="80">
        <v>-402073</v>
      </c>
      <c r="D8" s="80">
        <f t="shared" si="0"/>
        <v>-402056</v>
      </c>
    </row>
    <row r="9" spans="1:4" x14ac:dyDescent="0.2">
      <c r="A9" s="32">
        <v>60749</v>
      </c>
      <c r="B9" s="309">
        <v>48196</v>
      </c>
      <c r="C9" s="80">
        <v>-22463</v>
      </c>
      <c r="D9" s="80">
        <f t="shared" si="0"/>
        <v>-70659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-280092</v>
      </c>
      <c r="C11" s="80"/>
      <c r="D11" s="80">
        <f t="shared" si="0"/>
        <v>280092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11492</v>
      </c>
    </row>
    <row r="19" spans="1:5" x14ac:dyDescent="0.2">
      <c r="A19" s="32" t="s">
        <v>81</v>
      </c>
      <c r="B19" s="69"/>
      <c r="C19" s="69"/>
      <c r="D19" s="73">
        <f>+summary!G4</f>
        <v>2.08</v>
      </c>
    </row>
    <row r="20" spans="1:5" x14ac:dyDescent="0.2">
      <c r="B20" s="69"/>
      <c r="C20" s="69"/>
      <c r="D20" s="75">
        <f>+D19*D18</f>
        <v>23903.360000000001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600">
        <v>10496.07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37298</v>
      </c>
      <c r="B24" s="69"/>
      <c r="C24" s="69"/>
      <c r="D24" s="331">
        <f>+D22+D20</f>
        <v>34399.43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87">
        <v>4346</v>
      </c>
    </row>
    <row r="33" spans="1:4" x14ac:dyDescent="0.2">
      <c r="A33" s="49">
        <f>+A24</f>
        <v>37298</v>
      </c>
      <c r="D33" s="349">
        <f>+D18</f>
        <v>11492</v>
      </c>
    </row>
    <row r="34" spans="1:4" x14ac:dyDescent="0.2">
      <c r="D34" s="14">
        <f>+D33+D32</f>
        <v>15838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4" workbookViewId="0">
      <selection activeCell="C12" sqref="C12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4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v>-52788</v>
      </c>
      <c r="C5" s="90">
        <v>-23691</v>
      </c>
      <c r="D5" s="90">
        <f t="shared" ref="D5:D13" si="0">+C5-B5</f>
        <v>29097</v>
      </c>
      <c r="E5" s="69"/>
      <c r="F5" s="201"/>
    </row>
    <row r="6" spans="1:13" x14ac:dyDescent="0.2">
      <c r="A6" s="87">
        <v>9238</v>
      </c>
      <c r="B6" s="90">
        <v>-12171</v>
      </c>
      <c r="C6" s="90">
        <v>-12000</v>
      </c>
      <c r="D6" s="90">
        <f t="shared" si="0"/>
        <v>171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v>-1150137</v>
      </c>
      <c r="C7" s="90">
        <v>-968201</v>
      </c>
      <c r="D7" s="90">
        <f t="shared" si="0"/>
        <v>181936</v>
      </c>
      <c r="E7" s="275"/>
      <c r="F7" s="201"/>
    </row>
    <row r="8" spans="1:13" x14ac:dyDescent="0.2">
      <c r="A8" s="87">
        <v>58710</v>
      </c>
      <c r="B8" s="90">
        <v>-4942</v>
      </c>
      <c r="C8" s="90">
        <v>-31229</v>
      </c>
      <c r="D8" s="90">
        <f t="shared" si="0"/>
        <v>-26287</v>
      </c>
      <c r="E8" s="275"/>
      <c r="F8" s="201"/>
    </row>
    <row r="9" spans="1:13" x14ac:dyDescent="0.2">
      <c r="A9" s="87">
        <v>60921</v>
      </c>
      <c r="B9" s="90">
        <v>-901467</v>
      </c>
      <c r="C9" s="90">
        <v>-1050599</v>
      </c>
      <c r="D9" s="90">
        <f t="shared" si="0"/>
        <v>-149132</v>
      </c>
      <c r="E9" s="275"/>
      <c r="F9" s="201"/>
    </row>
    <row r="10" spans="1:13" x14ac:dyDescent="0.2">
      <c r="A10" s="87">
        <v>78026</v>
      </c>
      <c r="B10" s="90"/>
      <c r="C10" s="90">
        <v>6600</v>
      </c>
      <c r="D10" s="90">
        <f t="shared" si="0"/>
        <v>6600</v>
      </c>
      <c r="E10" s="275"/>
      <c r="F10" s="465"/>
    </row>
    <row r="11" spans="1:13" x14ac:dyDescent="0.2">
      <c r="A11" s="87">
        <v>500084</v>
      </c>
      <c r="B11" s="90">
        <v>-28214</v>
      </c>
      <c r="C11" s="90">
        <v>-36000</v>
      </c>
      <c r="D11" s="90">
        <f t="shared" si="0"/>
        <v>-7786</v>
      </c>
      <c r="E11" s="276"/>
      <c r="F11" s="465"/>
    </row>
    <row r="12" spans="1:13" x14ac:dyDescent="0.2">
      <c r="A12" s="317">
        <v>500085</v>
      </c>
      <c r="B12" s="90">
        <v>-3589</v>
      </c>
      <c r="C12" s="90"/>
      <c r="D12" s="90">
        <f t="shared" si="0"/>
        <v>3589</v>
      </c>
      <c r="E12" s="275"/>
      <c r="F12" s="465"/>
    </row>
    <row r="13" spans="1:13" x14ac:dyDescent="0.2">
      <c r="A13" s="87">
        <v>500097</v>
      </c>
      <c r="B13" s="90">
        <v>-45877</v>
      </c>
      <c r="C13" s="90">
        <v>-50961</v>
      </c>
      <c r="D13" s="90">
        <f t="shared" si="0"/>
        <v>-5084</v>
      </c>
      <c r="E13" s="275"/>
      <c r="F13" s="465"/>
    </row>
    <row r="14" spans="1:13" x14ac:dyDescent="0.2">
      <c r="A14" s="87"/>
      <c r="B14" s="90"/>
      <c r="C14" s="90"/>
      <c r="D14" s="90"/>
      <c r="E14" s="275"/>
      <c r="F14" s="465"/>
    </row>
    <row r="15" spans="1:13" x14ac:dyDescent="0.2">
      <c r="A15" s="87"/>
      <c r="B15" s="90"/>
      <c r="C15" s="90"/>
      <c r="D15" s="90"/>
      <c r="E15" s="275"/>
      <c r="F15" s="465"/>
    </row>
    <row r="16" spans="1:13" x14ac:dyDescent="0.2">
      <c r="A16" s="87"/>
      <c r="B16" s="88"/>
      <c r="C16" s="88"/>
      <c r="D16" s="94"/>
      <c r="E16" s="275"/>
      <c r="F16" s="465"/>
    </row>
    <row r="17" spans="1:7" x14ac:dyDescent="0.2">
      <c r="A17" s="87"/>
      <c r="B17" s="88"/>
      <c r="C17" s="88"/>
      <c r="D17" s="88">
        <f>SUM(D5:D16)</f>
        <v>33104</v>
      </c>
      <c r="E17" s="275"/>
      <c r="F17" s="465"/>
    </row>
    <row r="18" spans="1:7" x14ac:dyDescent="0.2">
      <c r="A18" s="87" t="s">
        <v>81</v>
      </c>
      <c r="B18" s="88"/>
      <c r="C18" s="88"/>
      <c r="D18" s="95">
        <f>+summary!G4</f>
        <v>2.08</v>
      </c>
      <c r="E18" s="277"/>
      <c r="F18" s="465"/>
    </row>
    <row r="19" spans="1:7" x14ac:dyDescent="0.2">
      <c r="A19" s="87"/>
      <c r="B19" s="88"/>
      <c r="C19" s="88"/>
      <c r="D19" s="96">
        <f>+D18*D17</f>
        <v>68856.320000000007</v>
      </c>
      <c r="E19" s="207"/>
      <c r="F19" s="465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37287</v>
      </c>
      <c r="B21" s="88"/>
      <c r="C21" s="88"/>
      <c r="D21" s="564">
        <v>835344.24</v>
      </c>
      <c r="E21" s="207"/>
      <c r="F21" s="466"/>
    </row>
    <row r="22" spans="1:7" x14ac:dyDescent="0.2">
      <c r="A22" s="87"/>
      <c r="B22" s="88"/>
      <c r="C22" s="88"/>
      <c r="D22" s="308"/>
      <c r="E22" s="207"/>
      <c r="F22" s="466"/>
    </row>
    <row r="23" spans="1:7" ht="13.5" thickBot="1" x14ac:dyDescent="0.25">
      <c r="A23" s="99">
        <v>37299</v>
      </c>
      <c r="B23" s="88"/>
      <c r="C23" s="88"/>
      <c r="D23" s="318">
        <f>+D21+D19</f>
        <v>904200.56</v>
      </c>
      <c r="E23" s="207"/>
      <c r="F23" s="466"/>
    </row>
    <row r="24" spans="1:7" ht="13.5" thickTop="1" x14ac:dyDescent="0.2">
      <c r="E24" s="278"/>
    </row>
    <row r="25" spans="1:7" x14ac:dyDescent="0.2">
      <c r="E25" s="500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37287</v>
      </c>
      <c r="B28" s="32"/>
      <c r="C28" s="32"/>
      <c r="D28" s="486">
        <v>340221</v>
      </c>
    </row>
    <row r="29" spans="1:7" x14ac:dyDescent="0.2">
      <c r="A29" s="49">
        <f>+A23</f>
        <v>37299</v>
      </c>
      <c r="B29" s="32"/>
      <c r="C29" s="32"/>
      <c r="D29" s="349">
        <f>+D17</f>
        <v>33104</v>
      </c>
    </row>
    <row r="30" spans="1:7" x14ac:dyDescent="0.2">
      <c r="A30" s="32"/>
      <c r="B30" s="32"/>
      <c r="C30" s="32"/>
      <c r="D30" s="14">
        <f>+D29+D28</f>
        <v>373325</v>
      </c>
      <c r="E30" s="344"/>
    </row>
    <row r="31" spans="1:7" x14ac:dyDescent="0.2">
      <c r="A31" s="139"/>
      <c r="B31" s="119"/>
      <c r="C31" s="140"/>
      <c r="D31" s="520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5"/>
      <c r="G44" s="204"/>
    </row>
    <row r="45" spans="1:7" x14ac:dyDescent="0.2">
      <c r="B45" s="69"/>
      <c r="C45" s="69"/>
      <c r="D45" s="292"/>
      <c r="E45" s="275"/>
      <c r="F45" s="465"/>
      <c r="G45" s="204"/>
    </row>
    <row r="46" spans="1:7" x14ac:dyDescent="0.2">
      <c r="A46" s="32"/>
      <c r="B46" s="69"/>
      <c r="C46" s="69"/>
      <c r="D46" s="275"/>
      <c r="E46" s="275"/>
      <c r="F46" s="465"/>
      <c r="G46" s="204"/>
    </row>
    <row r="47" spans="1:7" x14ac:dyDescent="0.2">
      <c r="A47" s="32"/>
      <c r="B47" s="69"/>
      <c r="C47" s="69"/>
      <c r="D47" s="277"/>
      <c r="E47" s="277"/>
      <c r="F47" s="465"/>
      <c r="G47" s="204"/>
    </row>
    <row r="48" spans="1:7" x14ac:dyDescent="0.2">
      <c r="B48" s="69"/>
      <c r="C48" s="69"/>
      <c r="D48" s="275"/>
      <c r="E48" s="275"/>
      <c r="F48" s="465"/>
      <c r="G48" s="204"/>
    </row>
    <row r="49" spans="1:7" x14ac:dyDescent="0.2">
      <c r="B49" s="69"/>
      <c r="C49" s="69"/>
      <c r="D49" s="275"/>
      <c r="E49" s="275"/>
      <c r="F49" s="465"/>
      <c r="G49" s="204"/>
    </row>
    <row r="50" spans="1:7" x14ac:dyDescent="0.2">
      <c r="C50" s="289"/>
      <c r="D50" s="289"/>
      <c r="E50" s="289"/>
      <c r="F50" s="467"/>
      <c r="G50" s="290"/>
    </row>
    <row r="51" spans="1:7" x14ac:dyDescent="0.2">
      <c r="A51" s="32"/>
      <c r="C51" s="289"/>
      <c r="D51" s="289"/>
      <c r="E51" s="289"/>
      <c r="F51" s="467"/>
    </row>
    <row r="52" spans="1:7" x14ac:dyDescent="0.2">
      <c r="A52" s="32"/>
      <c r="C52" s="289"/>
      <c r="D52" s="289"/>
      <c r="E52" s="289"/>
      <c r="F52" s="467"/>
    </row>
    <row r="53" spans="1:7" x14ac:dyDescent="0.2">
      <c r="A53" s="32"/>
      <c r="C53" s="289"/>
      <c r="D53" s="289"/>
      <c r="E53" s="289"/>
      <c r="F53" s="467"/>
    </row>
    <row r="54" spans="1:7" x14ac:dyDescent="0.2">
      <c r="A54" s="32"/>
      <c r="C54" s="289"/>
      <c r="D54" s="289"/>
      <c r="E54" s="289"/>
      <c r="F54" s="467"/>
    </row>
    <row r="55" spans="1:7" x14ac:dyDescent="0.2">
      <c r="A55" s="32"/>
      <c r="C55" s="289"/>
      <c r="D55" s="289"/>
      <c r="E55" s="278"/>
      <c r="F55" s="421"/>
    </row>
    <row r="56" spans="1:7" x14ac:dyDescent="0.2">
      <c r="C56" s="289"/>
      <c r="D56" s="289"/>
      <c r="E56" s="278"/>
      <c r="F56" s="421"/>
    </row>
    <row r="57" spans="1:7" x14ac:dyDescent="0.2">
      <c r="C57" s="289"/>
      <c r="D57" s="289"/>
      <c r="E57" s="278"/>
      <c r="F57" s="421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8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6"/>
    </row>
    <row r="101" spans="1:6" x14ac:dyDescent="0.2">
      <c r="A101" s="32"/>
      <c r="E101" s="63"/>
      <c r="F101" s="466"/>
    </row>
    <row r="102" spans="1:6" ht="13.5" thickBot="1" x14ac:dyDescent="0.25">
      <c r="A102" s="32"/>
      <c r="D102" s="68"/>
      <c r="E102" s="68"/>
      <c r="F102" s="4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8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6"/>
    </row>
    <row r="127" spans="1:6" x14ac:dyDescent="0.2">
      <c r="A127" s="32"/>
      <c r="D127" s="75"/>
      <c r="E127" s="75"/>
      <c r="F127" s="466"/>
    </row>
    <row r="128" spans="1:6" ht="13.5" thickBot="1" x14ac:dyDescent="0.25">
      <c r="A128" s="32"/>
      <c r="D128" s="77"/>
      <c r="E128" s="77"/>
      <c r="F128" s="466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8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6"/>
    </row>
    <row r="152" spans="1:6" x14ac:dyDescent="0.2">
      <c r="A152" s="32"/>
      <c r="D152" s="75"/>
      <c r="E152" s="75"/>
      <c r="F152" s="466"/>
    </row>
    <row r="153" spans="1:6" ht="13.5" thickBot="1" x14ac:dyDescent="0.25">
      <c r="A153" s="32"/>
      <c r="D153" s="77"/>
      <c r="E153" s="77"/>
      <c r="F153" s="466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8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6"/>
    </row>
    <row r="177" spans="1:6" x14ac:dyDescent="0.2">
      <c r="A177" s="32"/>
      <c r="D177" s="75"/>
      <c r="E177" s="75"/>
      <c r="F177" s="466"/>
    </row>
    <row r="178" spans="1:6" ht="13.5" thickBot="1" x14ac:dyDescent="0.25">
      <c r="A178" s="32"/>
      <c r="D178" s="77"/>
      <c r="E178" s="77"/>
      <c r="F178" s="466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8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6"/>
    </row>
    <row r="201" spans="1:6" x14ac:dyDescent="0.2">
      <c r="A201" s="32"/>
      <c r="D201" s="75"/>
      <c r="E201" s="75"/>
      <c r="F201" s="466"/>
    </row>
    <row r="202" spans="1:6" ht="13.5" thickBot="1" x14ac:dyDescent="0.25">
      <c r="A202" s="32"/>
      <c r="D202" s="83"/>
      <c r="E202" s="77"/>
      <c r="F202" s="466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8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6"/>
    </row>
    <row r="227" spans="1:6" x14ac:dyDescent="0.2">
      <c r="A227" s="32"/>
      <c r="D227" s="75"/>
      <c r="E227" s="75"/>
      <c r="F227" s="466"/>
    </row>
    <row r="228" spans="1:6" ht="13.5" thickBot="1" x14ac:dyDescent="0.25">
      <c r="A228" s="32"/>
      <c r="D228" s="83"/>
      <c r="E228" s="77"/>
      <c r="F228" s="466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8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6"/>
    </row>
    <row r="251" spans="1:6" x14ac:dyDescent="0.2">
      <c r="A251" s="32"/>
      <c r="D251" s="75"/>
      <c r="E251" s="75"/>
      <c r="F251" s="466"/>
    </row>
    <row r="252" spans="1:6" ht="13.5" thickBot="1" x14ac:dyDescent="0.25">
      <c r="A252" s="32"/>
      <c r="D252" s="86"/>
      <c r="E252" s="77"/>
      <c r="F252" s="4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8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6"/>
    </row>
    <row r="275" spans="1:6" x14ac:dyDescent="0.2">
      <c r="A275" s="87"/>
      <c r="B275" s="88"/>
      <c r="C275" s="88"/>
      <c r="D275" s="96"/>
      <c r="E275" s="75"/>
      <c r="F275" s="466"/>
    </row>
    <row r="276" spans="1:6" ht="13.5" thickBot="1" x14ac:dyDescent="0.25">
      <c r="A276" s="87"/>
      <c r="B276" s="88"/>
      <c r="C276" s="88"/>
      <c r="D276" s="98"/>
      <c r="E276" s="77"/>
      <c r="F276" s="4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8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6"/>
    </row>
    <row r="300" spans="1:6" x14ac:dyDescent="0.2">
      <c r="A300" s="87"/>
      <c r="B300" s="88"/>
      <c r="C300" s="88"/>
      <c r="D300" s="96"/>
      <c r="E300" s="75"/>
      <c r="F300" s="466"/>
    </row>
    <row r="301" spans="1:6" ht="13.5" thickBot="1" x14ac:dyDescent="0.25">
      <c r="A301" s="87"/>
      <c r="B301" s="88"/>
      <c r="C301" s="88"/>
      <c r="D301" s="98"/>
      <c r="E301" s="77"/>
      <c r="F301" s="4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8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6"/>
    </row>
    <row r="327" spans="1:6" x14ac:dyDescent="0.2">
      <c r="A327" s="87"/>
      <c r="B327" s="88"/>
      <c r="C327" s="88"/>
      <c r="D327" s="96"/>
      <c r="E327" s="75"/>
      <c r="F327" s="466"/>
    </row>
    <row r="328" spans="1:6" ht="13.5" thickBot="1" x14ac:dyDescent="0.25">
      <c r="A328" s="87"/>
      <c r="B328" s="88"/>
      <c r="C328" s="88"/>
      <c r="D328" s="98"/>
      <c r="E328" s="77"/>
      <c r="F328" s="4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workbookViewId="0">
      <selection activeCell="C36" sqref="C36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">
      <c r="A6">
        <v>4</v>
      </c>
      <c r="B6" s="90">
        <v>40684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-2609</v>
      </c>
      <c r="K6" t="s">
        <v>235</v>
      </c>
      <c r="R6" t="s">
        <v>236</v>
      </c>
    </row>
    <row r="7" spans="1:26" x14ac:dyDescent="0.2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6" t="s">
        <v>237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237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6" t="s">
        <v>238</v>
      </c>
      <c r="L18" s="327"/>
      <c r="M18" s="327"/>
      <c r="N18" s="327">
        <v>19880</v>
      </c>
      <c r="O18" s="445"/>
      <c r="P18" s="445"/>
      <c r="Q18" s="445"/>
      <c r="R18" s="446" t="s">
        <v>238</v>
      </c>
      <c r="S18" s="327"/>
      <c r="T18" s="327"/>
      <c r="U18" s="327">
        <v>37185</v>
      </c>
      <c r="V18" s="445"/>
      <c r="W18" s="445"/>
    </row>
    <row r="19" spans="1:23" x14ac:dyDescent="0.2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495325</v>
      </c>
      <c r="C34" s="287">
        <f t="shared" si="2"/>
        <v>487450</v>
      </c>
      <c r="D34" s="14">
        <f t="shared" si="2"/>
        <v>0</v>
      </c>
      <c r="E34" s="14">
        <f t="shared" si="2"/>
        <v>-1752</v>
      </c>
      <c r="F34" s="14">
        <f t="shared" si="2"/>
        <v>299787</v>
      </c>
      <c r="G34" s="14">
        <f t="shared" si="2"/>
        <v>289855</v>
      </c>
      <c r="H34" s="14">
        <f t="shared" si="2"/>
        <v>-19559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83"/>
      <c r="O36" s="259"/>
      <c r="P36" s="259"/>
      <c r="Q36" s="259"/>
      <c r="V36" s="259"/>
      <c r="W36" s="259"/>
    </row>
    <row r="37" spans="1:23" x14ac:dyDescent="0.2">
      <c r="A37" s="256">
        <v>37287</v>
      </c>
      <c r="B37" s="14"/>
      <c r="C37" s="14"/>
      <c r="D37" s="14"/>
      <c r="E37" s="14"/>
      <c r="F37" s="14"/>
      <c r="G37" s="14"/>
      <c r="H37" s="578">
        <f>8222+127244</f>
        <v>135466</v>
      </c>
      <c r="O37" s="259"/>
      <c r="P37" s="259"/>
      <c r="Q37" s="259"/>
      <c r="V37" s="259"/>
      <c r="W37" s="259"/>
    </row>
    <row r="38" spans="1:23" x14ac:dyDescent="0.2">
      <c r="A38" s="544">
        <v>37299</v>
      </c>
      <c r="B38" s="14"/>
      <c r="C38" s="14"/>
      <c r="D38" s="14"/>
      <c r="E38" s="14"/>
      <c r="F38" s="14"/>
      <c r="G38" s="14"/>
      <c r="H38" s="150">
        <f>+H37+H34</f>
        <v>115907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4"/>
      <c r="O40" s="259"/>
      <c r="P40" s="259"/>
      <c r="Q40" s="259"/>
    </row>
    <row r="41" spans="1:23" x14ac:dyDescent="0.2">
      <c r="H41" s="290"/>
      <c r="K41" s="344"/>
      <c r="O41" s="259"/>
      <c r="P41" s="259"/>
      <c r="Q41" s="259"/>
    </row>
    <row r="42" spans="1:23" x14ac:dyDescent="0.2">
      <c r="A42" s="32" t="s">
        <v>150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">
      <c r="A43" s="49">
        <f>+A37</f>
        <v>37287</v>
      </c>
      <c r="B43" s="32"/>
      <c r="C43" s="32"/>
      <c r="D43" s="575">
        <f>139025.55+196742</f>
        <v>335767.55</v>
      </c>
      <c r="F43" s="485">
        <v>338741</v>
      </c>
      <c r="H43" s="290"/>
      <c r="I43" s="31"/>
      <c r="K43" s="344"/>
      <c r="O43" s="259"/>
      <c r="P43" s="259"/>
      <c r="Q43" s="259"/>
    </row>
    <row r="44" spans="1:23" x14ac:dyDescent="0.2">
      <c r="A44" s="49">
        <f>+A38</f>
        <v>37299</v>
      </c>
      <c r="B44" s="32"/>
      <c r="C44" s="32"/>
      <c r="D44" s="374">
        <f>+H34*'by type_area'!G4</f>
        <v>-40682.720000000001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295084.82999999996</v>
      </c>
      <c r="F45" s="200">
        <f>+F44+F43</f>
        <v>338741</v>
      </c>
      <c r="H45" s="290"/>
      <c r="K45" s="499"/>
      <c r="O45" s="259"/>
      <c r="P45" s="259"/>
      <c r="Q45" s="259"/>
    </row>
    <row r="46" spans="1:23" x14ac:dyDescent="0.2">
      <c r="H46" s="290"/>
      <c r="K46" s="344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C39" sqref="C39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-238163</v>
      </c>
      <c r="C35" s="11">
        <f>SUM(C4:C34)</f>
        <v>-238797</v>
      </c>
      <c r="D35" s="11">
        <f>SUM(D4:D34)</f>
        <v>-634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37287</v>
      </c>
      <c r="D38" s="489">
        <v>177959</v>
      </c>
    </row>
    <row r="39" spans="1:4" x14ac:dyDescent="0.2">
      <c r="A39" s="2"/>
      <c r="D39" s="24"/>
    </row>
    <row r="40" spans="1:4" x14ac:dyDescent="0.2">
      <c r="A40" s="57">
        <v>37299</v>
      </c>
      <c r="D40" s="51">
        <f>+D38+D35</f>
        <v>177325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37287</v>
      </c>
      <c r="B45" s="32"/>
      <c r="C45" s="32"/>
      <c r="D45" s="488">
        <v>181376</v>
      </c>
    </row>
    <row r="46" spans="1:4" x14ac:dyDescent="0.2">
      <c r="A46" s="49">
        <f>+A40</f>
        <v>37299</v>
      </c>
      <c r="B46" s="32"/>
      <c r="C46" s="32"/>
      <c r="D46" s="374">
        <f>+D35*'by type_area'!G4</f>
        <v>-1318.72</v>
      </c>
    </row>
    <row r="47" spans="1:4" x14ac:dyDescent="0.2">
      <c r="A47" s="32"/>
      <c r="B47" s="32"/>
      <c r="C47" s="32"/>
      <c r="D47" s="200">
        <f>+D46+D45</f>
        <v>180057.28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52" sqref="C5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/>
      <c r="G8" s="11"/>
      <c r="H8" s="11">
        <v>6285</v>
      </c>
      <c r="I8" s="11">
        <v>7000</v>
      </c>
      <c r="J8" s="11">
        <f t="shared" si="0"/>
        <v>787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78872</v>
      </c>
      <c r="C35" s="11">
        <f t="shared" ref="C35:I35" si="1">SUM(C4:C34)</f>
        <v>77000</v>
      </c>
      <c r="D35" s="11">
        <f t="shared" si="1"/>
        <v>77593</v>
      </c>
      <c r="E35" s="11">
        <f t="shared" si="1"/>
        <v>80000</v>
      </c>
      <c r="F35" s="11">
        <f t="shared" si="1"/>
        <v>0</v>
      </c>
      <c r="G35" s="11">
        <f t="shared" si="1"/>
        <v>3500</v>
      </c>
      <c r="H35" s="11">
        <f t="shared" si="1"/>
        <v>36609</v>
      </c>
      <c r="I35" s="11">
        <f t="shared" si="1"/>
        <v>38500</v>
      </c>
      <c r="J35" s="11">
        <f>SUM(J4:J34)</f>
        <v>5926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2.08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12326.08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37287</v>
      </c>
      <c r="C39" s="25"/>
      <c r="E39" s="25"/>
      <c r="G39" s="25"/>
      <c r="I39" s="25"/>
      <c r="J39" s="485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37297</v>
      </c>
      <c r="J41" s="319">
        <f>+J39+J37</f>
        <v>31172.690000000002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37287</v>
      </c>
      <c r="B46" s="32"/>
      <c r="C46" s="32"/>
      <c r="D46" s="486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37297</v>
      </c>
      <c r="B47" s="32"/>
      <c r="C47" s="32"/>
      <c r="D47" s="349">
        <f>+J35</f>
        <v>5926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-112732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D46" sqref="D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305</v>
      </c>
      <c r="H4" s="14" t="s">
        <v>304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303</v>
      </c>
      <c r="I5" s="14" t="s">
        <v>306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/>
      <c r="E6" s="24"/>
      <c r="F6" s="24">
        <f>+C6+E6-B6-D6</f>
        <v>0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/>
      <c r="E7" s="24"/>
      <c r="F7" s="24">
        <f t="shared" ref="F7:F36" si="0">+C7+E7-B7-D7</f>
        <v>0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>
        <v>-12127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>
        <v>-3520</v>
      </c>
      <c r="H9" s="14">
        <v>-19935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>
        <v>0</v>
      </c>
      <c r="H10" s="14">
        <v>-14532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>
        <v>0</v>
      </c>
      <c r="H11" s="14">
        <v>-10057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>
        <v>0</v>
      </c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>
        <v>0</v>
      </c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>
        <v>0</v>
      </c>
      <c r="H16" s="14">
        <v>-25098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>
        <v>0</v>
      </c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>
        <v>-2931</v>
      </c>
      <c r="H18" s="14">
        <v>-11558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>
        <v>0</v>
      </c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>
        <v>-14217</v>
      </c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>
        <v>-28277</v>
      </c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>
        <v>-28905</v>
      </c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>
        <v>-19350</v>
      </c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>
        <v>-14323</v>
      </c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>
        <v>-18186</v>
      </c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>
        <v>-13798</v>
      </c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>
        <v>23</v>
      </c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>
        <v>-14811</v>
      </c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>
        <v>-16076</v>
      </c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0</v>
      </c>
      <c r="E37" s="24">
        <f>SUM(E6:E36)</f>
        <v>0</v>
      </c>
      <c r="F37" s="24">
        <f>SUM(F6:F36)</f>
        <v>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0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70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37287</v>
      </c>
      <c r="E41" s="14"/>
      <c r="F41" s="104">
        <f>+F40+F39</f>
        <v>329520.2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9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37287</v>
      </c>
      <c r="B47" s="32"/>
      <c r="C47" s="32"/>
      <c r="D47" s="349">
        <f>+F37</f>
        <v>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-36982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4" workbookViewId="0">
      <selection activeCell="E18" sqref="E1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833</v>
      </c>
      <c r="F39" s="25">
        <f>SUM(F8:F38)</f>
        <v>833</v>
      </c>
    </row>
    <row r="40" spans="1:6" x14ac:dyDescent="0.2">
      <c r="A40" s="26"/>
      <c r="C40" s="14"/>
      <c r="F40" s="253">
        <f>+summary!G4</f>
        <v>2.08</v>
      </c>
    </row>
    <row r="41" spans="1:6" x14ac:dyDescent="0.2">
      <c r="F41" s="138">
        <f>+F40*F39</f>
        <v>1732.64</v>
      </c>
    </row>
    <row r="42" spans="1:6" x14ac:dyDescent="0.2">
      <c r="A42" s="57">
        <v>37287</v>
      </c>
      <c r="C42" s="15"/>
      <c r="F42" s="572">
        <v>42790.44</v>
      </c>
    </row>
    <row r="43" spans="1:6" x14ac:dyDescent="0.2">
      <c r="A43" s="57">
        <v>37297</v>
      </c>
      <c r="C43" s="48"/>
      <c r="F43" s="138">
        <f>+F42+F41</f>
        <v>44523.08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37287</v>
      </c>
      <c r="B48" s="32"/>
      <c r="C48" s="32"/>
      <c r="D48" s="486">
        <v>4581</v>
      </c>
    </row>
    <row r="49" spans="1:4" x14ac:dyDescent="0.2">
      <c r="A49" s="49">
        <f>+A43</f>
        <v>37297</v>
      </c>
      <c r="B49" s="32"/>
      <c r="C49" s="32"/>
      <c r="D49" s="349">
        <f>+F39</f>
        <v>833</v>
      </c>
    </row>
    <row r="50" spans="1:4" x14ac:dyDescent="0.2">
      <c r="A50" s="32"/>
      <c r="B50" s="32"/>
      <c r="C50" s="32"/>
      <c r="D50" s="14">
        <f>+D49+D48</f>
        <v>5414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9"/>
    </row>
    <row r="41" spans="1:4" x14ac:dyDescent="0.2">
      <c r="A41" s="57">
        <v>37287</v>
      </c>
      <c r="C41" s="15"/>
      <c r="D41" s="456">
        <v>17587</v>
      </c>
    </row>
    <row r="42" spans="1:4" x14ac:dyDescent="0.2">
      <c r="A42" s="57">
        <v>37298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37287</v>
      </c>
      <c r="B47" s="32"/>
      <c r="C47" s="32"/>
      <c r="D47" s="459">
        <v>385897</v>
      </c>
    </row>
    <row r="48" spans="1:4" x14ac:dyDescent="0.2">
      <c r="A48" s="49">
        <f>+A42</f>
        <v>37298</v>
      </c>
      <c r="B48" s="32"/>
      <c r="C48" s="32"/>
      <c r="D48" s="374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G40" sqref="G40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-42172</v>
      </c>
      <c r="C11" s="11">
        <v>-42972</v>
      </c>
      <c r="D11" s="25">
        <f t="shared" si="0"/>
        <v>-800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184</v>
      </c>
      <c r="H19" s="119">
        <f>+B37</f>
        <v>-711255</v>
      </c>
      <c r="I19" s="119">
        <f>+C37</f>
        <v>-683171</v>
      </c>
      <c r="J19" s="119">
        <f>+I19-H19</f>
        <v>28084</v>
      </c>
      <c r="K19" s="411">
        <f>+D38</f>
        <v>2.08</v>
      </c>
      <c r="L19" s="416">
        <f>+K19*J19</f>
        <v>58414.720000000001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185</v>
      </c>
      <c r="H24" s="24"/>
      <c r="I24" s="24"/>
      <c r="J24" s="24">
        <f>+J19+J17</f>
        <v>158576</v>
      </c>
      <c r="K24" s="407"/>
      <c r="L24" s="110">
        <f>+L19+L17</f>
        <v>140099.81999999983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186</v>
      </c>
      <c r="H26" s="24"/>
      <c r="I26" s="24"/>
      <c r="J26" s="110"/>
      <c r="K26" s="407"/>
      <c r="L26" s="24">
        <f>+L24/K19</f>
        <v>67355.682692307615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-711255</v>
      </c>
      <c r="C37" s="11">
        <f>SUM(C6:C36)</f>
        <v>-683171</v>
      </c>
      <c r="D37" s="25">
        <f>SUM(D6:D36)</f>
        <v>28084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58414.720000000001</v>
      </c>
    </row>
    <row r="40" spans="1:4" x14ac:dyDescent="0.2">
      <c r="A40" s="57">
        <v>37287</v>
      </c>
      <c r="C40" s="15"/>
      <c r="D40" s="592">
        <v>-2220</v>
      </c>
    </row>
    <row r="41" spans="1:4" x14ac:dyDescent="0.2">
      <c r="A41" s="57">
        <v>37299</v>
      </c>
      <c r="C41" s="48"/>
      <c r="D41" s="138">
        <f>+D40+D39</f>
        <v>56194.720000000001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3">
        <v>86032</v>
      </c>
    </row>
    <row r="46" spans="1:4" x14ac:dyDescent="0.2">
      <c r="A46" s="49">
        <f>+A41</f>
        <v>37299</v>
      </c>
      <c r="B46" s="32"/>
      <c r="C46" s="32"/>
      <c r="D46" s="349">
        <f>+D37</f>
        <v>28084</v>
      </c>
    </row>
    <row r="47" spans="1:4" x14ac:dyDescent="0.2">
      <c r="A47" s="32"/>
      <c r="B47" s="32"/>
      <c r="C47" s="32"/>
      <c r="D47" s="14">
        <f>+D46+D45</f>
        <v>114116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2" workbookViewId="0">
      <selection activeCell="A42" sqref="A42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372750</v>
      </c>
      <c r="C37" s="11">
        <f>SUM(C6:C36)</f>
        <v>389375</v>
      </c>
      <c r="D37" s="25">
        <f>SUM(D6:D36)</f>
        <v>16625</v>
      </c>
    </row>
    <row r="38" spans="1:4" x14ac:dyDescent="0.2">
      <c r="A38" s="26"/>
      <c r="B38" s="31"/>
      <c r="C38" s="14"/>
      <c r="D38" s="326">
        <f>+summary!G5</f>
        <v>2.08</v>
      </c>
    </row>
    <row r="39" spans="1:4" x14ac:dyDescent="0.2">
      <c r="D39" s="138">
        <f>+D38*D37</f>
        <v>34580</v>
      </c>
    </row>
    <row r="40" spans="1:4" x14ac:dyDescent="0.2">
      <c r="A40" s="57">
        <v>37287</v>
      </c>
      <c r="C40" s="15"/>
      <c r="D40" s="592">
        <v>100916</v>
      </c>
    </row>
    <row r="41" spans="1:4" x14ac:dyDescent="0.2">
      <c r="A41" s="57">
        <v>37298</v>
      </c>
      <c r="C41" s="48"/>
      <c r="D41" s="138">
        <f>+D40+D39</f>
        <v>135496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37287</v>
      </c>
      <c r="B45" s="32"/>
      <c r="C45" s="32"/>
      <c r="D45" s="593">
        <v>62232</v>
      </c>
    </row>
    <row r="46" spans="1:4" x14ac:dyDescent="0.2">
      <c r="A46" s="49">
        <f>+A41</f>
        <v>37298</v>
      </c>
      <c r="B46" s="32"/>
      <c r="C46" s="32"/>
      <c r="D46" s="349">
        <f>+D37</f>
        <v>16625</v>
      </c>
    </row>
    <row r="47" spans="1:4" x14ac:dyDescent="0.2">
      <c r="A47" s="32"/>
      <c r="B47" s="32"/>
      <c r="C47" s="32"/>
      <c r="D47" s="14">
        <f>+D46+D45</f>
        <v>78857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D36" sqref="D36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6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249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80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3798019</v>
      </c>
      <c r="C35" s="11">
        <f t="shared" ref="C35:I35" si="3">SUM(C4:C34)</f>
        <v>3835557</v>
      </c>
      <c r="D35" s="11">
        <f t="shared" si="3"/>
        <v>368244</v>
      </c>
      <c r="E35" s="11">
        <f t="shared" si="3"/>
        <v>365311</v>
      </c>
      <c r="F35" s="11">
        <f t="shared" si="3"/>
        <v>482375</v>
      </c>
      <c r="G35" s="11">
        <f t="shared" si="3"/>
        <v>456069</v>
      </c>
      <c r="H35" s="11">
        <f t="shared" si="3"/>
        <v>1499231</v>
      </c>
      <c r="I35" s="11">
        <f t="shared" si="3"/>
        <v>1475388</v>
      </c>
      <c r="J35" s="11">
        <f>SUM(J4:J34)</f>
        <v>-15544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">
      <c r="A38" s="56">
        <v>37287</v>
      </c>
      <c r="C38" s="25"/>
      <c r="E38" s="25"/>
      <c r="G38" s="25"/>
      <c r="I38" s="25"/>
      <c r="J38" s="573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">
      <c r="A40" s="33">
        <v>37299</v>
      </c>
      <c r="J40" s="51">
        <f>+J38+J35</f>
        <v>-15544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37287</v>
      </c>
      <c r="B46" s="32"/>
      <c r="C46" s="32"/>
      <c r="D46" s="576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37299</v>
      </c>
      <c r="B47" s="32"/>
      <c r="C47" s="32"/>
      <c r="D47" s="374">
        <f>+J35*'by type_area'!G3</f>
        <v>-32331.52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-32331.52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8"/>
      <c r="S295" s="1"/>
    </row>
    <row r="296" spans="9:21" x14ac:dyDescent="0.2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8"/>
      <c r="S337" s="1"/>
    </row>
    <row r="338" spans="11:21" x14ac:dyDescent="0.2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8"/>
      <c r="S379" s="1"/>
    </row>
    <row r="380" spans="11:21" x14ac:dyDescent="0.2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8"/>
      <c r="S423" s="1"/>
    </row>
    <row r="424" spans="11:21" x14ac:dyDescent="0.2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32" workbookViewId="0">
      <selection activeCell="D46" sqref="D46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">
      <c r="A8" s="10">
        <v>3</v>
      </c>
      <c r="B8" s="11">
        <v>45365</v>
      </c>
      <c r="C8" s="11">
        <v>45393</v>
      </c>
      <c r="D8" s="25">
        <f t="shared" si="0"/>
        <v>28</v>
      </c>
      <c r="F8" s="560"/>
    </row>
    <row r="9" spans="1:6" x14ac:dyDescent="0.2">
      <c r="A9" s="10">
        <v>4</v>
      </c>
      <c r="B9" s="11">
        <v>45289</v>
      </c>
      <c r="C9" s="11">
        <v>45501</v>
      </c>
      <c r="D9" s="25">
        <f t="shared" si="0"/>
        <v>212</v>
      </c>
      <c r="F9" s="560"/>
    </row>
    <row r="10" spans="1:6" x14ac:dyDescent="0.2">
      <c r="A10" s="10">
        <v>5</v>
      </c>
      <c r="B10" s="11">
        <v>29956</v>
      </c>
      <c r="C10" s="11">
        <v>32422</v>
      </c>
      <c r="D10" s="25">
        <f t="shared" si="0"/>
        <v>2466</v>
      </c>
      <c r="F10" s="561"/>
    </row>
    <row r="11" spans="1:6" x14ac:dyDescent="0.2">
      <c r="A11" s="10">
        <v>6</v>
      </c>
      <c r="B11" s="11">
        <v>44104</v>
      </c>
      <c r="C11" s="11">
        <v>43943</v>
      </c>
      <c r="D11" s="25">
        <f t="shared" si="0"/>
        <v>-161</v>
      </c>
      <c r="F11" s="561"/>
    </row>
    <row r="12" spans="1:6" x14ac:dyDescent="0.2">
      <c r="A12" s="10">
        <v>7</v>
      </c>
      <c r="B12" s="11">
        <v>28135</v>
      </c>
      <c r="C12" s="11">
        <v>28260</v>
      </c>
      <c r="D12" s="25">
        <f t="shared" si="0"/>
        <v>125</v>
      </c>
      <c r="F12" s="561"/>
    </row>
    <row r="13" spans="1:6" x14ac:dyDescent="0.2">
      <c r="A13" s="10">
        <v>8</v>
      </c>
      <c r="B13" s="11">
        <v>40218</v>
      </c>
      <c r="C13" s="11">
        <v>40777</v>
      </c>
      <c r="D13" s="25">
        <f t="shared" si="0"/>
        <v>559</v>
      </c>
      <c r="F13" s="561"/>
    </row>
    <row r="14" spans="1:6" x14ac:dyDescent="0.2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515795</v>
      </c>
      <c r="C37" s="11">
        <f>SUM(C6:C36)</f>
        <v>517565</v>
      </c>
      <c r="D37" s="25">
        <f>SUM(D6:D36)</f>
        <v>1770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3681.6</v>
      </c>
    </row>
    <row r="40" spans="1:4" x14ac:dyDescent="0.2">
      <c r="A40" s="57">
        <v>37287</v>
      </c>
      <c r="C40" s="15"/>
      <c r="D40" s="601">
        <v>1526.04</v>
      </c>
    </row>
    <row r="41" spans="1:4" x14ac:dyDescent="0.2">
      <c r="A41" s="57">
        <v>37299</v>
      </c>
      <c r="C41" s="48"/>
      <c r="D41" s="138">
        <f>+D40+D39</f>
        <v>5207.6399999999994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549</v>
      </c>
    </row>
    <row r="47" spans="1:4" x14ac:dyDescent="0.2">
      <c r="A47" s="49">
        <f>+A41</f>
        <v>37299</v>
      </c>
      <c r="B47" s="32"/>
      <c r="C47" s="32"/>
      <c r="D47" s="349">
        <f>+D37</f>
        <v>1770</v>
      </c>
    </row>
    <row r="48" spans="1:4" x14ac:dyDescent="0.2">
      <c r="A48" s="32"/>
      <c r="B48" s="32"/>
      <c r="C48" s="32"/>
      <c r="D48" s="14">
        <f>+D47+D46</f>
        <v>2319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2" workbookViewId="0">
      <selection activeCell="A41" sqref="A41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174</v>
      </c>
      <c r="M13" s="189"/>
    </row>
    <row r="14" spans="1:13" x14ac:dyDescent="0.2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-13184</v>
      </c>
      <c r="C37" s="11">
        <f>SUM(C6:C36)</f>
        <v>-6562</v>
      </c>
      <c r="D37" s="25">
        <f>SUM(D6:D36)</f>
        <v>6622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13773.76</v>
      </c>
    </row>
    <row r="40" spans="1:4" x14ac:dyDescent="0.2">
      <c r="A40" s="57">
        <v>37287</v>
      </c>
      <c r="C40" s="15"/>
      <c r="D40" s="572">
        <v>-292829</v>
      </c>
    </row>
    <row r="41" spans="1:4" x14ac:dyDescent="0.2">
      <c r="A41" s="57">
        <v>37298</v>
      </c>
      <c r="C41" s="48"/>
      <c r="D41" s="138">
        <f>+D40+D39</f>
        <v>-279055.24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37287</v>
      </c>
      <c r="B48" s="32"/>
      <c r="C48" s="32"/>
      <c r="D48" s="569">
        <v>-14344</v>
      </c>
    </row>
    <row r="49" spans="1:4" x14ac:dyDescent="0.2">
      <c r="A49" s="49">
        <f>+A41</f>
        <v>37298</v>
      </c>
      <c r="B49" s="32"/>
      <c r="C49" s="32"/>
      <c r="D49" s="349">
        <f>+D37</f>
        <v>6622</v>
      </c>
    </row>
    <row r="50" spans="1:4" x14ac:dyDescent="0.2">
      <c r="A50" s="32"/>
      <c r="B50" s="32"/>
      <c r="C50" s="32"/>
      <c r="D50" s="14">
        <f>+D49+D48</f>
        <v>-7722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11" workbookViewId="0">
      <selection activeCell="C17" sqref="C17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-485692</v>
      </c>
      <c r="C37" s="11">
        <f>SUM(C6:C36)</f>
        <v>-461671</v>
      </c>
      <c r="D37" s="25">
        <f>SUM(D6:D36)</f>
        <v>24021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49963.68</v>
      </c>
    </row>
    <row r="40" spans="1:4" x14ac:dyDescent="0.2">
      <c r="A40" s="57">
        <v>37287</v>
      </c>
      <c r="C40" s="15"/>
      <c r="D40" s="572">
        <v>23627.8</v>
      </c>
    </row>
    <row r="41" spans="1:4" x14ac:dyDescent="0.2">
      <c r="A41" s="57">
        <v>37298</v>
      </c>
      <c r="C41" s="48"/>
      <c r="D41" s="138">
        <f>+D40+D39</f>
        <v>73591.48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69">
        <v>14942</v>
      </c>
    </row>
    <row r="47" spans="1:4" x14ac:dyDescent="0.2">
      <c r="A47" s="49">
        <f>+A41</f>
        <v>37298</v>
      </c>
      <c r="B47" s="32"/>
      <c r="C47" s="32"/>
      <c r="D47" s="349">
        <f>+D37</f>
        <v>24021</v>
      </c>
    </row>
    <row r="48" spans="1:4" x14ac:dyDescent="0.2">
      <c r="A48" s="32"/>
      <c r="B48" s="32"/>
      <c r="C48" s="32"/>
      <c r="D48" s="14">
        <f>+D47+D46</f>
        <v>38963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6" sqref="C6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-3</v>
      </c>
      <c r="C5" s="90">
        <v>-1260</v>
      </c>
      <c r="D5" s="90">
        <f>+C5-B5</f>
        <v>-1257</v>
      </c>
      <c r="E5" s="275"/>
      <c r="F5" s="273"/>
    </row>
    <row r="6" spans="1:13" x14ac:dyDescent="0.2">
      <c r="A6" s="87">
        <v>500046</v>
      </c>
      <c r="B6" s="90">
        <v>-6064</v>
      </c>
      <c r="C6" s="90"/>
      <c r="D6" s="90">
        <f t="shared" ref="D6:D11" si="0">+C6-B6</f>
        <v>6064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-9480-1050</f>
        <v>-10530</v>
      </c>
      <c r="C8" s="90">
        <v>-17120</v>
      </c>
      <c r="D8" s="90">
        <f t="shared" si="0"/>
        <v>-6590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-1783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2.08</v>
      </c>
      <c r="E13" s="277"/>
      <c r="F13" s="273"/>
    </row>
    <row r="14" spans="1:13" x14ac:dyDescent="0.2">
      <c r="A14" s="87"/>
      <c r="B14" s="88"/>
      <c r="C14" s="88"/>
      <c r="D14" s="96">
        <f>+D13*D12</f>
        <v>-3708.6400000000003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37287</v>
      </c>
      <c r="B16" s="88"/>
      <c r="C16" s="88"/>
      <c r="D16" s="519">
        <v>-547260.79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37297</v>
      </c>
      <c r="B18" s="88"/>
      <c r="C18" s="88"/>
      <c r="D18" s="318">
        <f>+D16+D14</f>
        <v>-550969.43000000005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37287</v>
      </c>
      <c r="B22" s="32"/>
      <c r="C22" s="32"/>
      <c r="D22" s="569">
        <v>-41423</v>
      </c>
    </row>
    <row r="23" spans="1:7" x14ac:dyDescent="0.2">
      <c r="A23" s="49"/>
      <c r="B23" s="32"/>
      <c r="C23" s="32"/>
      <c r="D23" s="349">
        <f>+D12</f>
        <v>-1783</v>
      </c>
    </row>
    <row r="24" spans="1:7" x14ac:dyDescent="0.2">
      <c r="A24" s="49">
        <f>+A18</f>
        <v>37297</v>
      </c>
      <c r="B24" s="32"/>
      <c r="C24" s="32"/>
      <c r="D24" s="14">
        <f>+D23+D22</f>
        <v>-43206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2" workbookViewId="0">
      <selection activeCell="C39" sqref="C39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-550901</v>
      </c>
      <c r="C37" s="11">
        <f>SUM(C6:C36)</f>
        <v>-549505</v>
      </c>
      <c r="D37" s="25">
        <f>SUM(D6:D36)</f>
        <v>1396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37287</v>
      </c>
      <c r="C40" s="15"/>
      <c r="D40" s="573">
        <v>19592</v>
      </c>
    </row>
    <row r="41" spans="1:4" x14ac:dyDescent="0.2">
      <c r="A41" s="57">
        <v>37299</v>
      </c>
      <c r="C41" s="48"/>
      <c r="D41" s="25">
        <f>+D40+D37</f>
        <v>20988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37287</v>
      </c>
      <c r="B45" s="32"/>
      <c r="C45" s="32"/>
      <c r="D45" s="484">
        <v>186633</v>
      </c>
    </row>
    <row r="46" spans="1:4" x14ac:dyDescent="0.2">
      <c r="A46" s="49">
        <f>+A41</f>
        <v>37299</v>
      </c>
      <c r="B46" s="32"/>
      <c r="C46" s="32"/>
      <c r="D46" s="374">
        <f>+D37*'by type_area'!G4</f>
        <v>2903.6800000000003</v>
      </c>
    </row>
    <row r="47" spans="1:4" x14ac:dyDescent="0.2">
      <c r="A47" s="32"/>
      <c r="B47" s="32"/>
      <c r="C47" s="32"/>
      <c r="D47" s="200">
        <f>+D46+D45</f>
        <v>189536.68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0</v>
      </c>
    </row>
    <row r="40" spans="1:4" x14ac:dyDescent="0.2">
      <c r="A40" s="57">
        <v>37287</v>
      </c>
      <c r="C40" s="15"/>
      <c r="D40" s="592">
        <v>-192285.66</v>
      </c>
    </row>
    <row r="41" spans="1:4" x14ac:dyDescent="0.2">
      <c r="A41" s="57">
        <v>37287</v>
      </c>
      <c r="C41" s="48"/>
      <c r="D41" s="138">
        <f>+D40+D39</f>
        <v>-192285.66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-45949</v>
      </c>
    </row>
    <row r="47" spans="1:4" x14ac:dyDescent="0.2">
      <c r="A47" s="49">
        <f>+A41</f>
        <v>37287</v>
      </c>
      <c r="B47" s="32"/>
      <c r="C47" s="32"/>
      <c r="D47" s="457">
        <f>+D37</f>
        <v>0</v>
      </c>
    </row>
    <row r="48" spans="1:4" x14ac:dyDescent="0.2">
      <c r="A48" s="32"/>
      <c r="B48" s="32"/>
      <c r="C48" s="32"/>
      <c r="D48" s="14">
        <f>+D47+D46</f>
        <v>-45949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3" workbookViewId="0">
      <selection activeCell="J41" sqref="J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8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/>
      <c r="C9" s="11"/>
      <c r="D9" s="11"/>
      <c r="E9" s="11"/>
      <c r="F9" s="11"/>
      <c r="G9" s="11"/>
      <c r="H9" s="11"/>
      <c r="I9" s="11"/>
      <c r="J9" s="11">
        <f t="shared" si="0"/>
        <v>0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/>
      <c r="C10" s="11"/>
      <c r="D10" s="129"/>
      <c r="E10" s="11"/>
      <c r="F10" s="11"/>
      <c r="G10" s="11"/>
      <c r="H10" s="11"/>
      <c r="I10" s="11"/>
      <c r="J10" s="11">
        <f t="shared" si="0"/>
        <v>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/>
      <c r="C12" s="11"/>
      <c r="D12" s="129"/>
      <c r="E12" s="11"/>
      <c r="F12" s="11"/>
      <c r="G12" s="11"/>
      <c r="H12" s="11"/>
      <c r="I12" s="11"/>
      <c r="J12" s="11">
        <f t="shared" si="0"/>
        <v>0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-541</v>
      </c>
      <c r="C37" s="11">
        <f t="shared" ref="C37:I37" si="1">SUM(C6:C36)</f>
        <v>-429</v>
      </c>
      <c r="D37" s="11">
        <f t="shared" si="1"/>
        <v>0</v>
      </c>
      <c r="E37" s="11">
        <f t="shared" si="1"/>
        <v>0</v>
      </c>
      <c r="F37" s="11">
        <f t="shared" si="1"/>
        <v>-3493</v>
      </c>
      <c r="G37" s="11">
        <f t="shared" si="1"/>
        <v>-2358</v>
      </c>
      <c r="H37" s="11">
        <f t="shared" si="1"/>
        <v>0</v>
      </c>
      <c r="I37" s="11">
        <f t="shared" si="1"/>
        <v>0</v>
      </c>
      <c r="J37" s="11">
        <f>SUM(J6:J36)</f>
        <v>1247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2.08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2593.7600000000002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37287</v>
      </c>
      <c r="C41" s="25"/>
      <c r="E41" s="25"/>
      <c r="G41" s="25"/>
      <c r="I41" s="25"/>
      <c r="J41" s="575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37290</v>
      </c>
      <c r="J43" s="319">
        <f>+J41+J39</f>
        <v>-34596.009999999995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37287</v>
      </c>
      <c r="B48" s="32"/>
      <c r="C48" s="32"/>
      <c r="D48" s="569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37290</v>
      </c>
      <c r="B49" s="32"/>
      <c r="C49" s="32"/>
      <c r="D49" s="349">
        <f>+J37</f>
        <v>1247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-2980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F35" workbookViewId="0">
      <selection activeCell="N41" sqref="N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280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282</v>
      </c>
      <c r="C4" s="4"/>
      <c r="D4" s="38" t="s">
        <v>283</v>
      </c>
      <c r="E4" s="4"/>
      <c r="F4" s="38" t="s">
        <v>284</v>
      </c>
      <c r="G4" s="4"/>
      <c r="H4" s="38" t="s">
        <v>285</v>
      </c>
      <c r="I4" s="4"/>
      <c r="J4" s="38" t="s">
        <v>286</v>
      </c>
      <c r="K4" s="4"/>
      <c r="L4" s="38" t="s">
        <v>287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4"/>
      <c r="C6" s="11"/>
      <c r="D6" s="494"/>
      <c r="E6" s="11"/>
      <c r="F6" s="494"/>
      <c r="G6" s="11"/>
      <c r="H6" s="494"/>
      <c r="I6" s="11"/>
      <c r="J6" s="494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4"/>
      <c r="C7" s="11"/>
      <c r="D7" s="494"/>
      <c r="E7" s="11"/>
      <c r="F7" s="494"/>
      <c r="G7" s="11"/>
      <c r="H7" s="494"/>
      <c r="I7" s="11"/>
      <c r="J7" s="494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4"/>
      <c r="C8" s="11"/>
      <c r="D8" s="494"/>
      <c r="E8" s="11"/>
      <c r="F8" s="494"/>
      <c r="G8" s="11"/>
      <c r="H8" s="494"/>
      <c r="I8" s="11"/>
      <c r="J8" s="494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4"/>
      <c r="C9" s="11"/>
      <c r="D9" s="494"/>
      <c r="E9" s="11"/>
      <c r="F9" s="494"/>
      <c r="G9" s="11"/>
      <c r="H9" s="494"/>
      <c r="I9" s="11"/>
      <c r="J9" s="494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4"/>
      <c r="C10" s="11"/>
      <c r="D10" s="494"/>
      <c r="E10" s="11"/>
      <c r="F10" s="494"/>
      <c r="G10" s="11"/>
      <c r="H10" s="494"/>
      <c r="I10" s="11"/>
      <c r="J10" s="494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4"/>
      <c r="C11" s="11"/>
      <c r="D11" s="494"/>
      <c r="E11" s="11"/>
      <c r="F11" s="494"/>
      <c r="G11" s="11"/>
      <c r="H11" s="494"/>
      <c r="I11" s="11"/>
      <c r="J11" s="494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4"/>
      <c r="C12" s="11"/>
      <c r="D12" s="494"/>
      <c r="E12" s="11"/>
      <c r="F12" s="494"/>
      <c r="G12" s="11"/>
      <c r="H12" s="494"/>
      <c r="I12" s="11"/>
      <c r="J12" s="494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4"/>
      <c r="C13" s="11"/>
      <c r="D13" s="494"/>
      <c r="E13" s="11"/>
      <c r="F13" s="494"/>
      <c r="G13" s="11"/>
      <c r="H13" s="494"/>
      <c r="I13" s="11"/>
      <c r="J13" s="494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4"/>
      <c r="C14" s="11"/>
      <c r="D14" s="494"/>
      <c r="E14" s="11"/>
      <c r="F14" s="494"/>
      <c r="G14" s="11"/>
      <c r="H14" s="494"/>
      <c r="I14" s="11"/>
      <c r="J14" s="494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4"/>
      <c r="C15" s="11"/>
      <c r="D15" s="494"/>
      <c r="E15" s="11"/>
      <c r="F15" s="494"/>
      <c r="G15" s="11"/>
      <c r="H15" s="494"/>
      <c r="I15" s="11"/>
      <c r="J15" s="494"/>
      <c r="K15" s="11"/>
      <c r="L15" s="11"/>
      <c r="M15" s="11"/>
      <c r="N15" s="11">
        <f t="shared" si="0"/>
        <v>0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4"/>
      <c r="C16" s="11"/>
      <c r="D16" s="494"/>
      <c r="E16" s="11"/>
      <c r="F16" s="494"/>
      <c r="G16" s="11"/>
      <c r="H16" s="494"/>
      <c r="I16" s="11"/>
      <c r="J16" s="494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4"/>
      <c r="C17" s="11"/>
      <c r="D17" s="494"/>
      <c r="E17" s="11"/>
      <c r="F17" s="494"/>
      <c r="G17" s="11"/>
      <c r="H17" s="494"/>
      <c r="I17" s="11"/>
      <c r="J17" s="494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4"/>
      <c r="C18" s="11"/>
      <c r="D18" s="494"/>
      <c r="E18" s="11"/>
      <c r="F18" s="494"/>
      <c r="G18" s="11"/>
      <c r="H18" s="494"/>
      <c r="I18" s="11"/>
      <c r="J18" s="494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4"/>
      <c r="C19" s="11"/>
      <c r="D19" s="494"/>
      <c r="E19" s="11"/>
      <c r="F19" s="494"/>
      <c r="G19" s="11"/>
      <c r="H19" s="494"/>
      <c r="I19" s="11"/>
      <c r="J19" s="494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4"/>
      <c r="C20" s="11"/>
      <c r="D20" s="494"/>
      <c r="E20" s="11"/>
      <c r="F20" s="494"/>
      <c r="G20" s="11"/>
      <c r="H20" s="494"/>
      <c r="I20" s="11"/>
      <c r="J20" s="494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4"/>
      <c r="C21" s="11"/>
      <c r="D21" s="494"/>
      <c r="E21" s="11"/>
      <c r="F21" s="494"/>
      <c r="G21" s="11"/>
      <c r="H21" s="494"/>
      <c r="I21" s="11"/>
      <c r="J21" s="494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4"/>
      <c r="C22" s="11"/>
      <c r="D22" s="494"/>
      <c r="E22" s="11"/>
      <c r="F22" s="494"/>
      <c r="G22" s="11"/>
      <c r="H22" s="494"/>
      <c r="I22" s="11"/>
      <c r="J22" s="494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4"/>
      <c r="C23" s="11"/>
      <c r="D23" s="494"/>
      <c r="E23" s="11"/>
      <c r="F23" s="494"/>
      <c r="G23" s="11"/>
      <c r="H23" s="494"/>
      <c r="I23" s="11"/>
      <c r="J23" s="494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4"/>
      <c r="C24" s="11"/>
      <c r="D24" s="494"/>
      <c r="E24" s="11"/>
      <c r="F24" s="494"/>
      <c r="G24" s="11"/>
      <c r="H24" s="494"/>
      <c r="I24" s="11"/>
      <c r="J24" s="494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4"/>
      <c r="C25" s="11"/>
      <c r="D25" s="494"/>
      <c r="E25" s="11"/>
      <c r="F25" s="494"/>
      <c r="G25" s="11"/>
      <c r="H25" s="494"/>
      <c r="I25" s="11"/>
      <c r="J25" s="494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4"/>
      <c r="C26" s="11"/>
      <c r="D26" s="494"/>
      <c r="E26" s="11"/>
      <c r="F26" s="494"/>
      <c r="G26" s="11"/>
      <c r="H26" s="494"/>
      <c r="I26" s="11"/>
      <c r="J26" s="494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4"/>
      <c r="C27" s="11"/>
      <c r="D27" s="494"/>
      <c r="E27" s="11"/>
      <c r="F27" s="494"/>
      <c r="G27" s="11"/>
      <c r="H27" s="494"/>
      <c r="I27" s="11"/>
      <c r="J27" s="494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4"/>
      <c r="C28" s="11"/>
      <c r="D28" s="494"/>
      <c r="E28" s="11"/>
      <c r="F28" s="494"/>
      <c r="G28" s="11"/>
      <c r="H28" s="494"/>
      <c r="I28" s="11"/>
      <c r="J28" s="494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4"/>
      <c r="C29" s="11"/>
      <c r="D29" s="494"/>
      <c r="E29" s="11"/>
      <c r="F29" s="494"/>
      <c r="G29" s="11"/>
      <c r="H29" s="494"/>
      <c r="I29" s="11"/>
      <c r="J29" s="494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4"/>
      <c r="C30" s="11"/>
      <c r="D30" s="494"/>
      <c r="E30" s="11"/>
      <c r="F30" s="494"/>
      <c r="G30" s="11"/>
      <c r="H30" s="494"/>
      <c r="I30" s="11"/>
      <c r="J30" s="494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-6827</v>
      </c>
      <c r="M37" s="11">
        <f>SUM(M6:M36)</f>
        <v>-7416</v>
      </c>
      <c r="N37" s="11">
        <f t="shared" si="1"/>
        <v>-589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2.08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-1225.1200000000001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37287</v>
      </c>
      <c r="C41" s="25"/>
      <c r="E41" s="25"/>
      <c r="G41" s="25"/>
      <c r="I41" s="25"/>
      <c r="K41" s="25"/>
      <c r="M41" s="25"/>
      <c r="N41" s="485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37296</v>
      </c>
      <c r="N43" s="319">
        <f>+N41+N39</f>
        <v>23961.29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37287</v>
      </c>
      <c r="B48" s="32"/>
      <c r="C48" s="32"/>
      <c r="D48" s="486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37296</v>
      </c>
      <c r="B49" s="32"/>
      <c r="C49" s="32"/>
      <c r="D49" s="349">
        <f>+N37</f>
        <v>-589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7966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>
        <v>150</v>
      </c>
      <c r="D6" s="25">
        <f>+C6-B6</f>
        <v>150</v>
      </c>
    </row>
    <row r="7" spans="1:4" x14ac:dyDescent="0.2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1971</v>
      </c>
      <c r="C37" s="11">
        <f>SUM(C6:C36)</f>
        <v>1650</v>
      </c>
      <c r="D37" s="25">
        <f>SUM(D6:D36)</f>
        <v>-321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-667.68000000000006</v>
      </c>
    </row>
    <row r="40" spans="1:4" x14ac:dyDescent="0.2">
      <c r="A40" s="57">
        <v>37287</v>
      </c>
      <c r="C40" s="15"/>
      <c r="D40" s="592">
        <v>174593.14</v>
      </c>
    </row>
    <row r="41" spans="1:4" x14ac:dyDescent="0.2">
      <c r="A41" s="57">
        <v>37298</v>
      </c>
      <c r="C41" s="48"/>
      <c r="D41" s="138">
        <f>+D40+D39</f>
        <v>173925.46000000002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76390</v>
      </c>
    </row>
    <row r="47" spans="1:4" x14ac:dyDescent="0.2">
      <c r="A47" s="49">
        <f>+A41</f>
        <v>37298</v>
      </c>
      <c r="B47" s="32"/>
      <c r="C47" s="32"/>
      <c r="D47" s="349">
        <f>+D37</f>
        <v>-321</v>
      </c>
    </row>
    <row r="48" spans="1:4" x14ac:dyDescent="0.2">
      <c r="A48" s="32"/>
      <c r="B48" s="32"/>
      <c r="C48" s="32"/>
      <c r="D48" s="14">
        <f>+D47+D46</f>
        <v>76069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8642</v>
      </c>
      <c r="C37" s="11">
        <f>SUM(C6:C36)</f>
        <v>1800</v>
      </c>
      <c r="D37" s="25">
        <f>SUM(D6:D36)</f>
        <v>-6842</v>
      </c>
    </row>
    <row r="38" spans="1:4" x14ac:dyDescent="0.2">
      <c r="A38" s="26"/>
      <c r="C38" s="14"/>
      <c r="D38" s="326">
        <f>+summary!G5</f>
        <v>2.08</v>
      </c>
    </row>
    <row r="39" spans="1:4" x14ac:dyDescent="0.2">
      <c r="D39" s="138">
        <f>+D38*D37</f>
        <v>-14231.36</v>
      </c>
    </row>
    <row r="40" spans="1:4" x14ac:dyDescent="0.2">
      <c r="A40" s="57">
        <v>37287</v>
      </c>
      <c r="C40" s="15"/>
      <c r="D40" s="592">
        <v>0</v>
      </c>
    </row>
    <row r="41" spans="1:4" x14ac:dyDescent="0.2">
      <c r="A41" s="57">
        <v>37297</v>
      </c>
      <c r="C41" s="48"/>
      <c r="D41" s="138">
        <f>+D40+D39</f>
        <v>-14231.36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0</v>
      </c>
    </row>
    <row r="47" spans="1:4" x14ac:dyDescent="0.2">
      <c r="A47" s="49">
        <f>+A41</f>
        <v>37297</v>
      </c>
      <c r="B47" s="32"/>
      <c r="C47" s="32"/>
      <c r="D47" s="349">
        <f>+D37</f>
        <v>-6842</v>
      </c>
    </row>
    <row r="48" spans="1:4" x14ac:dyDescent="0.2">
      <c r="A48" s="32"/>
      <c r="B48" s="32"/>
      <c r="C48" s="32"/>
      <c r="D48" s="14">
        <f>+D47+D46</f>
        <v>-6842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31" workbookViewId="0">
      <selection activeCell="A44" sqref="A4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311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2" t="s">
        <v>49</v>
      </c>
      <c r="P9" s="563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310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-10723</v>
      </c>
      <c r="C12" s="11">
        <v>-10000</v>
      </c>
      <c r="D12" s="129">
        <v>-34718</v>
      </c>
      <c r="E12" s="11">
        <v>-35326</v>
      </c>
      <c r="F12" s="11">
        <f t="shared" si="0"/>
        <v>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-9867</v>
      </c>
      <c r="C14" s="11">
        <v>-10000</v>
      </c>
      <c r="D14" s="129">
        <v>-55296</v>
      </c>
      <c r="E14" s="11">
        <v>-56224</v>
      </c>
      <c r="F14" s="11">
        <f t="shared" si="0"/>
        <v>-1061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312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-104987</v>
      </c>
      <c r="C36" s="44">
        <f>SUM(C5:C35)</f>
        <v>-100000</v>
      </c>
      <c r="D36" s="43">
        <f>SUM(D5:D35)</f>
        <v>-572624</v>
      </c>
      <c r="E36" s="43">
        <f>SUM(E5:E35)</f>
        <v>-569929</v>
      </c>
      <c r="F36" s="11">
        <f>SUM(F5:F35)</f>
        <v>7682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90">
        <f>+summary!G5</f>
        <v>2.08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15978.560000000001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37287</v>
      </c>
      <c r="B42" s="32"/>
      <c r="C42" s="460"/>
      <c r="D42" s="111"/>
      <c r="E42" s="460"/>
      <c r="F42" s="567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37299</v>
      </c>
      <c r="B43" s="32"/>
      <c r="C43" s="106"/>
      <c r="D43" s="106"/>
      <c r="E43" s="106"/>
      <c r="F43" s="24">
        <f>+F42+F36</f>
        <v>42362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292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37287</v>
      </c>
      <c r="B48" s="32"/>
      <c r="C48" s="32"/>
      <c r="D48" s="568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37299</v>
      </c>
      <c r="B49" s="32"/>
      <c r="C49" s="32"/>
      <c r="D49" s="76">
        <f>+F36</f>
        <v>7682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79610.960000000006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213</v>
      </c>
      <c r="C3" s="208"/>
      <c r="D3" s="444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-24426</v>
      </c>
      <c r="C37" s="24">
        <f>SUM(C6:C36)</f>
        <v>-28911</v>
      </c>
      <c r="D37" s="24">
        <f>SUM(D6:D36)</f>
        <v>-18430</v>
      </c>
      <c r="E37" s="24">
        <f>SUM(E6:E36)</f>
        <v>-22000</v>
      </c>
      <c r="F37" s="24">
        <f>SUM(F6:F36)</f>
        <v>-8055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-16754.400000000001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70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37298</v>
      </c>
      <c r="C41" s="319"/>
      <c r="D41" s="262"/>
      <c r="E41" s="262"/>
      <c r="F41" s="104">
        <f>+F40+F39</f>
        <v>-133551.19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9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37298</v>
      </c>
      <c r="B47" s="32"/>
      <c r="C47" s="32"/>
      <c r="D47" s="349">
        <f>+F37</f>
        <v>-8055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-41022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221</v>
      </c>
      <c r="C3" s="208"/>
      <c r="D3" s="444" t="s">
        <v>223</v>
      </c>
      <c r="E3" s="207"/>
      <c r="F3" s="444" t="s">
        <v>225</v>
      </c>
      <c r="G3" s="207"/>
      <c r="H3" s="444" t="s">
        <v>227</v>
      </c>
      <c r="I3" s="207"/>
      <c r="J3" s="444" t="s">
        <v>229</v>
      </c>
      <c r="K3" s="207"/>
      <c r="L3" s="444" t="s">
        <v>231</v>
      </c>
      <c r="M3" s="207"/>
      <c r="N3" s="444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-1176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-949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-2617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501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-26333</v>
      </c>
      <c r="C37" s="24">
        <f t="shared" si="1"/>
        <v>-25200</v>
      </c>
      <c r="D37" s="24">
        <f t="shared" si="1"/>
        <v>-10</v>
      </c>
      <c r="E37" s="24">
        <f t="shared" si="1"/>
        <v>-300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843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1753.44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70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37299</v>
      </c>
      <c r="E41" s="14"/>
      <c r="O41" s="441"/>
      <c r="P41" s="104">
        <f>+P40+P39</f>
        <v>91520.72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9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37299</v>
      </c>
      <c r="B47" s="32"/>
      <c r="C47" s="32"/>
      <c r="D47" s="349">
        <f>+P37</f>
        <v>843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37884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C18" sqref="C1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277</v>
      </c>
      <c r="C3" s="87"/>
      <c r="D3" s="87"/>
    </row>
    <row r="4" spans="1:4" x14ac:dyDescent="0.2">
      <c r="A4" s="3"/>
      <c r="B4" s="328" t="s">
        <v>276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-213401</v>
      </c>
      <c r="C37" s="11">
        <f>SUM(C6:C36)</f>
        <v>-212963</v>
      </c>
      <c r="D37" s="25">
        <f>SUM(D6:D36)</f>
        <v>438</v>
      </c>
    </row>
    <row r="38" spans="1:4" x14ac:dyDescent="0.2">
      <c r="A38" s="26"/>
      <c r="C38" s="14"/>
      <c r="D38" s="326">
        <f>+summary!G4</f>
        <v>2.08</v>
      </c>
    </row>
    <row r="39" spans="1:4" x14ac:dyDescent="0.2">
      <c r="D39" s="138">
        <f>+D38*D37</f>
        <v>911.04000000000008</v>
      </c>
    </row>
    <row r="40" spans="1:4" x14ac:dyDescent="0.2">
      <c r="A40" s="57">
        <v>37287</v>
      </c>
      <c r="C40" s="15"/>
      <c r="D40" s="592">
        <v>-27179.17</v>
      </c>
    </row>
    <row r="41" spans="1:4" x14ac:dyDescent="0.2">
      <c r="A41" s="57">
        <v>37298</v>
      </c>
      <c r="C41" s="48"/>
      <c r="D41" s="138">
        <f>+D40+D39</f>
        <v>-26268.129999999997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37287</v>
      </c>
      <c r="B46" s="32"/>
      <c r="C46" s="32"/>
      <c r="D46" s="593">
        <v>-12</v>
      </c>
    </row>
    <row r="47" spans="1:4" x14ac:dyDescent="0.2">
      <c r="A47" s="49">
        <f>+A41</f>
        <v>37298</v>
      </c>
      <c r="B47" s="32"/>
      <c r="C47" s="32"/>
      <c r="D47" s="349">
        <f>+D37</f>
        <v>438</v>
      </c>
    </row>
    <row r="48" spans="1:4" x14ac:dyDescent="0.2">
      <c r="A48" s="32"/>
      <c r="B48" s="32"/>
      <c r="C48" s="32"/>
      <c r="D48" s="14">
        <f>+D47+D46</f>
        <v>426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workbookViewId="0">
      <selection activeCell="D46" sqref="D46:E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297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2.08</v>
      </c>
    </row>
    <row r="39" spans="1:5" x14ac:dyDescent="0.2">
      <c r="D39" s="138">
        <f>+D38*D37</f>
        <v>0</v>
      </c>
    </row>
    <row r="40" spans="1:5" x14ac:dyDescent="0.2">
      <c r="A40" s="57">
        <v>37287</v>
      </c>
      <c r="C40" s="15"/>
      <c r="D40" s="592">
        <v>48490.31</v>
      </c>
    </row>
    <row r="41" spans="1:5" x14ac:dyDescent="0.2">
      <c r="A41" s="57">
        <v>37287</v>
      </c>
      <c r="C41" s="48"/>
      <c r="D41" s="138">
        <f>+D40+D39</f>
        <v>48490.31</v>
      </c>
    </row>
    <row r="42" spans="1:5" x14ac:dyDescent="0.2">
      <c r="D42" s="24"/>
    </row>
    <row r="45" spans="1:5" x14ac:dyDescent="0.2">
      <c r="A45" s="32" t="s">
        <v>149</v>
      </c>
      <c r="B45" s="32"/>
      <c r="C45" s="32"/>
      <c r="D45" s="32"/>
    </row>
    <row r="46" spans="1:5" x14ac:dyDescent="0.2">
      <c r="A46" s="49">
        <f>+A40</f>
        <v>37287</v>
      </c>
      <c r="B46" s="32"/>
      <c r="C46" s="32"/>
      <c r="D46" s="593">
        <v>17403</v>
      </c>
      <c r="E46" s="594"/>
    </row>
    <row r="47" spans="1:5" x14ac:dyDescent="0.2">
      <c r="A47" s="49">
        <f>+A41</f>
        <v>37287</v>
      </c>
      <c r="B47" s="32"/>
      <c r="C47" s="32"/>
      <c r="D47" s="349">
        <f>+D37</f>
        <v>0</v>
      </c>
    </row>
    <row r="48" spans="1:5" x14ac:dyDescent="0.2">
      <c r="A48" s="32"/>
      <c r="B48" s="32"/>
      <c r="C48" s="32"/>
      <c r="D48" s="14">
        <f>+D47+D46</f>
        <v>17403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21" t="s">
        <v>280</v>
      </c>
    </row>
    <row r="3" spans="1:37" x14ac:dyDescent="0.2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">
      <c r="B4" s="522" t="s">
        <v>282</v>
      </c>
      <c r="C4" s="523"/>
      <c r="D4" s="524" t="s">
        <v>283</v>
      </c>
      <c r="E4" s="523"/>
      <c r="F4" s="524" t="s">
        <v>284</v>
      </c>
      <c r="G4" s="523"/>
      <c r="H4" s="524" t="s">
        <v>285</v>
      </c>
      <c r="I4" s="523"/>
      <c r="J4" s="524" t="s">
        <v>286</v>
      </c>
      <c r="K4" s="523"/>
      <c r="L4" s="524" t="s">
        <v>287</v>
      </c>
      <c r="M4" s="523"/>
      <c r="N4" s="523"/>
    </row>
    <row r="5" spans="1:37" x14ac:dyDescent="0.2">
      <c r="A5" s="525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6"/>
      <c r="Q5" s="526"/>
      <c r="R5" s="526"/>
      <c r="S5" s="526"/>
      <c r="T5" s="526"/>
      <c r="V5" s="527"/>
      <c r="AA5" s="528"/>
      <c r="AB5" s="526"/>
      <c r="AC5" s="526"/>
      <c r="AD5" s="526"/>
      <c r="AE5" s="526"/>
      <c r="AF5" s="526"/>
      <c r="AH5" s="527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6"/>
      <c r="Q6" s="526"/>
      <c r="R6" s="526"/>
      <c r="S6" s="526"/>
      <c r="T6" s="526"/>
      <c r="U6" s="529"/>
      <c r="V6" s="527"/>
      <c r="Y6" s="530"/>
      <c r="AA6" s="528"/>
      <c r="AB6" s="526"/>
      <c r="AC6" s="526"/>
      <c r="AD6" s="526"/>
      <c r="AE6" s="526"/>
      <c r="AF6" s="526"/>
      <c r="AG6" s="529"/>
      <c r="AH6" s="527"/>
      <c r="AK6" s="530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31"/>
      <c r="AB7" s="532"/>
      <c r="AC7" s="532"/>
      <c r="AD7" s="532"/>
      <c r="AE7" s="532"/>
      <c r="AF7" s="532"/>
      <c r="AG7" s="19"/>
      <c r="AH7" s="533"/>
      <c r="AI7" s="252"/>
      <c r="AJ7" s="264"/>
      <c r="AK7" s="530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2"/>
      <c r="Q8" s="532"/>
      <c r="R8" s="532"/>
      <c r="S8" s="532"/>
      <c r="T8" s="532"/>
      <c r="U8" s="19"/>
      <c r="V8" s="533"/>
      <c r="W8" s="252"/>
      <c r="X8" s="264"/>
      <c r="Y8" s="530"/>
      <c r="AA8" s="531"/>
      <c r="AB8" s="532"/>
      <c r="AC8" s="532"/>
      <c r="AD8" s="532"/>
      <c r="AE8" s="532"/>
      <c r="AF8" s="532"/>
      <c r="AG8" s="19"/>
      <c r="AH8" s="533"/>
      <c r="AI8" s="252"/>
      <c r="AJ8" s="264"/>
      <c r="AK8" s="530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2"/>
      <c r="S9" s="28"/>
      <c r="T9" s="532"/>
      <c r="U9" s="19"/>
      <c r="V9" s="533"/>
      <c r="W9" s="252"/>
      <c r="X9" s="264"/>
      <c r="Y9" s="530"/>
      <c r="AA9" s="531"/>
      <c r="AB9" s="532"/>
      <c r="AC9" s="532"/>
      <c r="AD9" s="532"/>
      <c r="AE9" s="532"/>
      <c r="AF9" s="532"/>
      <c r="AG9" s="19"/>
      <c r="AH9" s="533"/>
      <c r="AI9" s="252"/>
      <c r="AJ9" s="264"/>
      <c r="AK9" s="530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2"/>
      <c r="S10" s="28"/>
      <c r="T10" s="532"/>
      <c r="U10" s="19"/>
      <c r="V10" s="533"/>
      <c r="W10" s="252"/>
      <c r="X10" s="264"/>
      <c r="Y10" s="530"/>
      <c r="AA10" s="531"/>
      <c r="AB10" s="532"/>
      <c r="AC10" s="532"/>
      <c r="AD10" s="532"/>
      <c r="AE10" s="532"/>
      <c r="AF10" s="532"/>
      <c r="AG10" s="19"/>
      <c r="AH10" s="533"/>
      <c r="AI10" s="252"/>
      <c r="AJ10" s="264"/>
      <c r="AK10" s="530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2"/>
      <c r="S11" s="28"/>
      <c r="T11" s="532"/>
      <c r="U11" s="19"/>
      <c r="V11" s="533"/>
      <c r="W11" s="252"/>
      <c r="X11" s="264"/>
      <c r="Y11" s="530"/>
      <c r="AA11" s="531"/>
      <c r="AB11" s="532"/>
      <c r="AC11" s="532"/>
      <c r="AD11" s="532"/>
      <c r="AE11" s="532"/>
      <c r="AF11" s="532"/>
      <c r="AG11" s="19"/>
      <c r="AH11" s="533"/>
      <c r="AI11" s="252"/>
      <c r="AJ11" s="264"/>
      <c r="AK11" s="530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2"/>
      <c r="S12" s="28"/>
      <c r="T12" s="532"/>
      <c r="U12" s="19"/>
      <c r="V12" s="533"/>
      <c r="W12" s="252"/>
      <c r="X12" s="264"/>
      <c r="Y12" s="530"/>
      <c r="AA12" s="531"/>
      <c r="AB12" s="532"/>
      <c r="AC12" s="532"/>
      <c r="AD12" s="532"/>
      <c r="AE12" s="532"/>
      <c r="AF12" s="532"/>
      <c r="AG12" s="19"/>
      <c r="AH12" s="533"/>
      <c r="AI12" s="252"/>
      <c r="AJ12" s="264"/>
      <c r="AK12" s="530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2"/>
      <c r="S13" s="534"/>
      <c r="T13" s="532"/>
      <c r="U13" s="19"/>
      <c r="V13" s="533"/>
      <c r="W13" s="252"/>
      <c r="X13" s="264"/>
      <c r="Y13" s="530"/>
      <c r="AA13" s="531"/>
      <c r="AB13" s="532"/>
      <c r="AC13" s="532"/>
      <c r="AD13" s="532"/>
      <c r="AE13" s="532"/>
      <c r="AF13" s="532"/>
      <c r="AG13" s="19"/>
      <c r="AH13" s="533"/>
      <c r="AI13" s="252"/>
      <c r="AJ13" s="264"/>
      <c r="AK13" s="530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2"/>
      <c r="S14" s="534"/>
      <c r="T14" s="532"/>
      <c r="U14" s="19"/>
      <c r="V14" s="533"/>
      <c r="W14" s="252"/>
      <c r="X14" s="264"/>
      <c r="Y14" s="530"/>
      <c r="AA14" s="531"/>
      <c r="AB14" s="532"/>
      <c r="AC14" s="532"/>
      <c r="AD14" s="532"/>
      <c r="AE14" s="532"/>
      <c r="AF14" s="532"/>
      <c r="AG14" s="19"/>
      <c r="AH14" s="533"/>
      <c r="AI14" s="252"/>
      <c r="AJ14" s="264"/>
      <c r="AK14" s="530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2"/>
      <c r="S15" s="534"/>
      <c r="T15" s="532"/>
      <c r="U15" s="19"/>
      <c r="V15" s="533"/>
      <c r="W15" s="252"/>
      <c r="X15" s="264"/>
      <c r="Y15" s="530"/>
      <c r="AA15" s="531"/>
      <c r="AB15" s="532"/>
      <c r="AC15" s="532"/>
      <c r="AD15" s="532"/>
      <c r="AE15" s="532"/>
      <c r="AF15" s="532"/>
      <c r="AG15" s="19"/>
      <c r="AH15" s="533"/>
      <c r="AI15" s="252"/>
      <c r="AJ15" s="264"/>
      <c r="AK15" s="530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2"/>
      <c r="S16" s="534"/>
      <c r="T16" s="532"/>
      <c r="U16" s="19"/>
      <c r="V16" s="533"/>
      <c r="W16" s="252"/>
      <c r="X16" s="264"/>
      <c r="Y16" s="530"/>
      <c r="AA16" s="531"/>
      <c r="AB16" s="532"/>
      <c r="AC16" s="532"/>
      <c r="AD16" s="532"/>
      <c r="AE16" s="532"/>
      <c r="AF16" s="532"/>
      <c r="AG16" s="19"/>
      <c r="AH16" s="533"/>
      <c r="AI16" s="252"/>
      <c r="AJ16" s="264"/>
      <c r="AK16" s="530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2"/>
      <c r="S17" s="534"/>
      <c r="T17" s="532"/>
      <c r="U17" s="19"/>
      <c r="V17" s="533"/>
      <c r="W17" s="252"/>
      <c r="X17" s="264"/>
      <c r="Y17" s="530"/>
      <c r="AA17" s="531"/>
      <c r="AB17" s="532"/>
      <c r="AC17" s="532"/>
      <c r="AD17" s="532"/>
      <c r="AE17" s="532"/>
      <c r="AF17" s="532"/>
      <c r="AG17" s="19"/>
      <c r="AH17" s="533"/>
      <c r="AI17" s="252"/>
      <c r="AJ17" s="264"/>
      <c r="AK17" s="530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2"/>
      <c r="S18" s="534"/>
      <c r="T18" s="532"/>
      <c r="U18" s="19"/>
      <c r="V18" s="533"/>
      <c r="W18" s="252"/>
      <c r="X18" s="264"/>
      <c r="Y18" s="530"/>
      <c r="AA18" s="531"/>
      <c r="AB18" s="532"/>
      <c r="AF18" s="532"/>
      <c r="AG18" s="19"/>
      <c r="AH18" s="533"/>
      <c r="AI18" s="252"/>
      <c r="AJ18" s="264"/>
      <c r="AK18" s="530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2"/>
      <c r="T19" s="532"/>
      <c r="U19" s="19"/>
      <c r="V19" s="533"/>
      <c r="W19" s="252"/>
      <c r="X19" s="264"/>
      <c r="Y19" s="530"/>
      <c r="AA19" s="531"/>
      <c r="AB19" s="532"/>
      <c r="AF19" s="532"/>
      <c r="AG19" s="19"/>
      <c r="AH19" s="533"/>
      <c r="AI19" s="252"/>
      <c r="AJ19" s="264"/>
      <c r="AK19" s="530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2"/>
      <c r="T20" s="532"/>
      <c r="U20" s="19"/>
      <c r="V20" s="533"/>
      <c r="W20" s="252"/>
      <c r="X20" s="264"/>
      <c r="Y20" s="530"/>
      <c r="AA20" s="531"/>
      <c r="AB20" s="532"/>
      <c r="AF20" s="532"/>
      <c r="AG20" s="19"/>
      <c r="AH20" s="533"/>
      <c r="AI20" s="252"/>
      <c r="AJ20" s="264"/>
      <c r="AK20" s="530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31"/>
      <c r="AB21" s="532"/>
      <c r="AF21" s="532"/>
      <c r="AG21" s="19"/>
      <c r="AH21" s="533"/>
      <c r="AI21" s="252"/>
      <c r="AJ21" s="264"/>
      <c r="AK21" s="530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31"/>
      <c r="AB22" s="51"/>
      <c r="AF22" s="532"/>
      <c r="AG22" s="19"/>
      <c r="AH22" s="533"/>
      <c r="AI22" s="252"/>
      <c r="AJ22" s="264"/>
      <c r="AK22" s="530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2"/>
      <c r="Q23" s="532"/>
      <c r="R23" s="532"/>
      <c r="S23" s="532"/>
      <c r="T23" s="532"/>
      <c r="U23" s="19"/>
      <c r="V23" s="533"/>
      <c r="W23" s="252"/>
      <c r="X23" s="264"/>
      <c r="Y23" s="530"/>
      <c r="AA23" s="531"/>
      <c r="AB23" s="51"/>
      <c r="AF23" s="532"/>
      <c r="AG23" s="19"/>
      <c r="AH23" s="533"/>
      <c r="AI23" s="252"/>
      <c r="AJ23" s="264"/>
      <c r="AK23" s="530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2"/>
      <c r="Q24" s="532"/>
      <c r="R24" s="532"/>
      <c r="S24" s="532"/>
      <c r="T24" s="532"/>
      <c r="U24" s="19"/>
      <c r="V24" s="533"/>
      <c r="W24" s="252"/>
      <c r="X24" s="264"/>
      <c r="Y24" s="530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2"/>
      <c r="Q25" s="532"/>
      <c r="R25" s="532"/>
      <c r="S25" s="532"/>
      <c r="T25" s="532"/>
      <c r="U25" s="19"/>
      <c r="V25" s="533"/>
      <c r="W25" s="252"/>
      <c r="X25" s="264"/>
      <c r="Y25" s="530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2"/>
      <c r="Q26" s="532"/>
      <c r="R26" s="532"/>
      <c r="S26" s="532"/>
      <c r="T26" s="532"/>
      <c r="U26" s="19"/>
      <c r="V26" s="533"/>
      <c r="W26" s="252"/>
      <c r="X26" s="264"/>
      <c r="Y26" s="530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2"/>
      <c r="Q27" s="532"/>
      <c r="R27" s="532"/>
      <c r="S27" s="532"/>
      <c r="T27" s="532"/>
      <c r="U27" s="19"/>
      <c r="V27" s="533"/>
      <c r="W27" s="252"/>
      <c r="X27" s="264"/>
      <c r="Y27" s="530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2"/>
      <c r="Q28" s="532"/>
      <c r="R28" s="532"/>
      <c r="S28" s="532"/>
      <c r="T28" s="532"/>
      <c r="U28" s="19"/>
      <c r="V28" s="533"/>
      <c r="W28" s="252"/>
      <c r="X28" s="264"/>
      <c r="Y28" s="530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2"/>
      <c r="Q29" s="532"/>
      <c r="R29" s="532"/>
      <c r="S29" s="532"/>
      <c r="T29" s="532"/>
      <c r="U29" s="19"/>
      <c r="V29" s="533"/>
      <c r="W29" s="252"/>
      <c r="X29" s="264"/>
      <c r="Y29" s="530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2"/>
      <c r="Q30" s="532"/>
      <c r="R30" s="532"/>
      <c r="S30" s="532"/>
      <c r="T30" s="532"/>
      <c r="U30" s="19"/>
      <c r="V30" s="533"/>
      <c r="W30" s="252"/>
      <c r="X30" s="264"/>
      <c r="Y30" s="530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2"/>
      <c r="Q31" s="532"/>
      <c r="R31" s="532"/>
      <c r="S31" s="532"/>
      <c r="T31" s="532"/>
      <c r="U31" s="19"/>
      <c r="V31" s="533"/>
      <c r="W31" s="252"/>
      <c r="X31" s="264"/>
      <c r="Y31" s="530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2"/>
      <c r="Q32" s="532"/>
      <c r="R32" s="532"/>
      <c r="S32" s="532"/>
      <c r="T32" s="532"/>
      <c r="U32" s="19"/>
      <c r="V32" s="533"/>
      <c r="W32" s="252"/>
      <c r="X32" s="264"/>
      <c r="Y32" s="530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2"/>
      <c r="Q33" s="532"/>
      <c r="R33" s="532"/>
      <c r="S33" s="532"/>
      <c r="T33" s="532"/>
      <c r="U33" s="19"/>
      <c r="V33" s="533"/>
      <c r="W33" s="252"/>
      <c r="X33" s="264"/>
      <c r="Y33" s="530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2"/>
      <c r="T34" s="532"/>
      <c r="U34" s="19"/>
      <c r="V34" s="533"/>
      <c r="W34" s="252"/>
      <c r="X34" s="264"/>
      <c r="Y34" s="530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2"/>
      <c r="T35" s="532"/>
      <c r="U35" s="19"/>
      <c r="V35" s="533"/>
      <c r="W35" s="252"/>
      <c r="X35" s="264"/>
      <c r="Y35" s="530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2"/>
      <c r="T36" s="532"/>
      <c r="U36" s="19"/>
      <c r="V36" s="533"/>
      <c r="W36" s="252"/>
      <c r="X36" s="264"/>
      <c r="Y36" s="530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2"/>
      <c r="T37" s="532"/>
      <c r="U37" s="19"/>
      <c r="V37" s="533"/>
      <c r="W37" s="252"/>
      <c r="X37" s="264"/>
      <c r="Y37" s="530"/>
    </row>
    <row r="38" spans="1:25" x14ac:dyDescent="0.2">
      <c r="N38" s="264">
        <f>+summary!G4</f>
        <v>2.08</v>
      </c>
      <c r="P38" s="51"/>
      <c r="T38" s="532"/>
      <c r="U38" s="19"/>
      <c r="V38" s="533"/>
      <c r="W38" s="252"/>
      <c r="X38" s="264"/>
      <c r="Y38" s="530"/>
    </row>
    <row r="39" spans="1:25" x14ac:dyDescent="0.2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2"/>
      <c r="U39" s="19"/>
      <c r="V39" s="533"/>
      <c r="W39" s="252"/>
      <c r="X39" s="264"/>
      <c r="Y39" s="530"/>
    </row>
    <row r="40" spans="1:25" x14ac:dyDescent="0.2">
      <c r="N40" s="329"/>
      <c r="P40" s="532"/>
      <c r="T40" s="532"/>
      <c r="U40" s="19"/>
      <c r="V40" s="533"/>
      <c r="W40" s="252"/>
      <c r="X40" s="264"/>
      <c r="Y40" s="530"/>
    </row>
    <row r="41" spans="1:25" x14ac:dyDescent="0.2">
      <c r="A41" s="263">
        <v>37287</v>
      </c>
      <c r="C41" s="131"/>
      <c r="E41" s="131"/>
      <c r="G41" s="131"/>
      <c r="I41" s="131"/>
      <c r="K41" s="131"/>
      <c r="M41" s="131"/>
      <c r="N41" s="575">
        <f>121241.56-58000</f>
        <v>63241.56</v>
      </c>
      <c r="P41" s="532"/>
      <c r="T41" s="532"/>
      <c r="U41" s="19"/>
      <c r="V41" s="533"/>
      <c r="W41" s="252"/>
      <c r="X41" s="264"/>
      <c r="Y41" s="530"/>
    </row>
    <row r="42" spans="1:25" x14ac:dyDescent="0.2">
      <c r="N42" s="319"/>
      <c r="P42" s="532"/>
      <c r="T42" s="532"/>
      <c r="U42" s="19"/>
      <c r="V42" s="533"/>
      <c r="W42" s="252"/>
      <c r="X42" s="264"/>
      <c r="Y42" s="530"/>
    </row>
    <row r="43" spans="1:25" x14ac:dyDescent="0.2">
      <c r="A43" s="263">
        <v>37287</v>
      </c>
      <c r="N43" s="319">
        <f>+N41+N39</f>
        <v>63241.56</v>
      </c>
      <c r="P43" s="532"/>
      <c r="T43" s="532"/>
      <c r="U43" s="19"/>
      <c r="V43" s="533"/>
      <c r="W43" s="252"/>
      <c r="X43" s="264"/>
      <c r="Y43" s="530"/>
    </row>
    <row r="44" spans="1:25" x14ac:dyDescent="0.2">
      <c r="N44" s="329"/>
      <c r="P44" s="532"/>
      <c r="T44" s="532"/>
      <c r="U44" s="19"/>
      <c r="V44" s="533"/>
      <c r="W44" s="252"/>
      <c r="X44" s="264"/>
      <c r="Y44" s="530"/>
    </row>
    <row r="45" spans="1:25" x14ac:dyDescent="0.2">
      <c r="P45" s="532"/>
      <c r="T45" s="532"/>
      <c r="U45" s="19"/>
      <c r="V45" s="533"/>
      <c r="W45" s="252"/>
      <c r="X45" s="264"/>
      <c r="Y45" s="530"/>
    </row>
    <row r="46" spans="1:25" x14ac:dyDescent="0.2">
      <c r="B46" s="463"/>
      <c r="D46" s="463"/>
      <c r="F46" s="463"/>
      <c r="H46" s="463"/>
      <c r="J46" s="463"/>
      <c r="L46" s="463"/>
      <c r="O46" s="531"/>
      <c r="P46" s="51"/>
      <c r="T46" s="532"/>
      <c r="U46" s="19"/>
      <c r="V46" s="533"/>
      <c r="W46" s="252"/>
      <c r="X46" s="264"/>
      <c r="Y46" s="530"/>
    </row>
    <row r="47" spans="1:25" x14ac:dyDescent="0.2">
      <c r="A47" s="249" t="s">
        <v>149</v>
      </c>
      <c r="B47" s="249"/>
      <c r="C47" s="249"/>
      <c r="D47" s="249"/>
      <c r="E47" s="523"/>
      <c r="F47" s="523"/>
      <c r="G47" s="523"/>
      <c r="H47" s="523"/>
      <c r="I47" s="523"/>
      <c r="J47" s="523"/>
      <c r="K47" s="523"/>
      <c r="L47" s="523"/>
      <c r="M47" s="523"/>
      <c r="N47" s="523"/>
      <c r="O47" s="531"/>
      <c r="P47" s="51"/>
      <c r="T47" s="532"/>
      <c r="U47" s="19"/>
      <c r="V47" s="533"/>
      <c r="W47" s="252"/>
      <c r="X47" s="264"/>
      <c r="Y47" s="530"/>
    </row>
    <row r="48" spans="1:25" x14ac:dyDescent="0.2">
      <c r="A48" s="535">
        <f>+A41</f>
        <v>37287</v>
      </c>
      <c r="B48" s="249"/>
      <c r="C48" s="249"/>
      <c r="D48" s="569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31"/>
      <c r="T48" s="532"/>
      <c r="U48" s="19"/>
      <c r="V48" s="533"/>
      <c r="W48" s="252"/>
      <c r="X48" s="264"/>
      <c r="Y48" s="530"/>
    </row>
    <row r="49" spans="1:25" x14ac:dyDescent="0.2">
      <c r="A49" s="535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31"/>
      <c r="T49" s="532"/>
      <c r="U49" s="19"/>
      <c r="V49" s="533"/>
      <c r="W49" s="252"/>
      <c r="X49" s="264"/>
      <c r="Y49" s="530"/>
    </row>
    <row r="50" spans="1:25" x14ac:dyDescent="0.2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31"/>
      <c r="U50" s="19"/>
    </row>
    <row r="51" spans="1:25" x14ac:dyDescent="0.2">
      <c r="A51" s="536"/>
      <c r="B51" s="537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31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31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31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31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31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31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31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31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31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31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31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31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31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31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31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31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31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31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31"/>
      <c r="P70" s="532"/>
      <c r="Q70" s="532"/>
      <c r="R70" s="532"/>
      <c r="S70" s="532"/>
      <c r="T70" s="532"/>
      <c r="U70" s="28"/>
      <c r="V70" s="538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31"/>
      <c r="P71" s="532"/>
      <c r="Q71" s="532"/>
      <c r="R71" s="532"/>
      <c r="S71" s="532"/>
      <c r="T71" s="532"/>
      <c r="U71" s="28"/>
      <c r="V71" s="538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31"/>
      <c r="P72" s="532"/>
      <c r="Q72" s="532"/>
      <c r="R72" s="532"/>
      <c r="S72" s="532"/>
      <c r="T72" s="532"/>
      <c r="U72" s="28"/>
      <c r="V72" s="538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31"/>
      <c r="P73" s="532"/>
      <c r="Q73" s="532"/>
      <c r="R73" s="532"/>
      <c r="S73" s="532"/>
      <c r="T73" s="532"/>
      <c r="U73" s="28"/>
      <c r="V73" s="538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31"/>
      <c r="P74" s="532"/>
      <c r="Q74" s="532"/>
      <c r="R74" s="532"/>
      <c r="S74" s="532"/>
      <c r="T74" s="532"/>
      <c r="U74" s="28"/>
      <c r="V74" s="538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31"/>
      <c r="P75" s="532"/>
      <c r="Q75" s="532"/>
      <c r="R75" s="532"/>
      <c r="S75" s="532"/>
      <c r="T75" s="532"/>
      <c r="U75" s="28"/>
      <c r="V75" s="538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31"/>
      <c r="P76" s="532"/>
      <c r="Q76" s="532"/>
      <c r="R76" s="532"/>
      <c r="S76" s="532"/>
      <c r="T76" s="532"/>
      <c r="U76" s="28"/>
      <c r="V76" s="538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31"/>
      <c r="P77" s="532"/>
      <c r="Q77" s="532"/>
      <c r="R77" s="532"/>
      <c r="S77" s="532"/>
      <c r="T77" s="532"/>
      <c r="U77" s="28"/>
      <c r="V77" s="538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31"/>
      <c r="P78" s="532"/>
      <c r="Q78" s="532"/>
      <c r="R78" s="532"/>
      <c r="S78" s="532"/>
      <c r="T78" s="532"/>
      <c r="U78" s="28"/>
      <c r="V78" s="538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31"/>
      <c r="P79" s="532"/>
      <c r="Q79" s="532"/>
      <c r="R79" s="532"/>
      <c r="S79" s="532"/>
      <c r="T79" s="532"/>
      <c r="U79" s="28"/>
      <c r="V79" s="538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31"/>
      <c r="P80" s="532"/>
      <c r="Q80" s="532"/>
      <c r="R80" s="532"/>
      <c r="S80" s="532"/>
      <c r="T80" s="532"/>
      <c r="U80" s="28"/>
      <c r="V80" s="538"/>
    </row>
    <row r="81" spans="1:22" x14ac:dyDescent="0.2">
      <c r="A81" s="261"/>
      <c r="C81" s="131"/>
      <c r="E81" s="131"/>
      <c r="G81" s="131"/>
      <c r="I81" s="131"/>
      <c r="K81" s="131"/>
      <c r="M81" s="131"/>
      <c r="O81" s="531"/>
      <c r="P81" s="532"/>
      <c r="Q81" s="532"/>
      <c r="R81" s="532"/>
      <c r="S81" s="532"/>
      <c r="T81" s="532"/>
      <c r="U81" s="28"/>
      <c r="V81" s="538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31"/>
      <c r="P82" s="532"/>
      <c r="Q82" s="532"/>
      <c r="R82" s="532"/>
      <c r="S82" s="532"/>
      <c r="T82" s="532"/>
      <c r="U82" s="28"/>
      <c r="V82" s="538"/>
    </row>
    <row r="83" spans="1:22" x14ac:dyDescent="0.2">
      <c r="A83" s="261"/>
      <c r="C83" s="131"/>
      <c r="E83" s="131"/>
      <c r="H83" s="539"/>
      <c r="I83" s="539"/>
      <c r="J83" s="539"/>
      <c r="K83" s="539"/>
      <c r="L83" s="539"/>
      <c r="M83" s="539"/>
      <c r="N83" s="131"/>
      <c r="O83" s="531"/>
      <c r="P83" s="532"/>
      <c r="Q83" s="532"/>
      <c r="R83" s="532"/>
      <c r="S83" s="532"/>
      <c r="T83" s="532"/>
      <c r="V83" s="538"/>
    </row>
    <row r="84" spans="1:22" x14ac:dyDescent="0.2">
      <c r="A84" s="261"/>
      <c r="O84" s="531"/>
      <c r="P84" s="532"/>
      <c r="Q84" s="532"/>
      <c r="R84" s="532"/>
      <c r="S84" s="532"/>
      <c r="T84" s="532"/>
      <c r="V84" s="538"/>
    </row>
    <row r="85" spans="1:22" x14ac:dyDescent="0.2">
      <c r="A85" s="261"/>
      <c r="O85" s="531"/>
      <c r="P85" s="532"/>
      <c r="Q85" s="532"/>
      <c r="R85" s="532"/>
      <c r="S85" s="532"/>
      <c r="T85" s="532"/>
      <c r="V85" s="538"/>
    </row>
    <row r="86" spans="1:22" x14ac:dyDescent="0.2">
      <c r="A86" s="261"/>
      <c r="O86" s="531"/>
      <c r="P86" s="532"/>
      <c r="Q86" s="532"/>
      <c r="R86" s="532"/>
      <c r="S86" s="532"/>
      <c r="T86" s="532"/>
      <c r="V86" s="538"/>
    </row>
    <row r="87" spans="1:22" x14ac:dyDescent="0.2">
      <c r="A87" s="261"/>
      <c r="O87" s="531"/>
      <c r="P87" s="532"/>
      <c r="Q87" s="532"/>
      <c r="R87" s="532"/>
      <c r="S87" s="532"/>
      <c r="T87" s="532"/>
      <c r="V87" s="538"/>
    </row>
    <row r="88" spans="1:22" x14ac:dyDescent="0.2">
      <c r="A88" s="261"/>
      <c r="O88" s="531"/>
      <c r="P88" s="532"/>
      <c r="Q88" s="532"/>
      <c r="R88" s="532"/>
      <c r="S88" s="532"/>
      <c r="T88" s="532"/>
      <c r="V88" s="538"/>
    </row>
    <row r="89" spans="1:22" x14ac:dyDescent="0.2">
      <c r="A89" s="261"/>
      <c r="O89" s="531"/>
      <c r="P89" s="532"/>
      <c r="Q89" s="532"/>
      <c r="R89" s="532"/>
      <c r="S89" s="532"/>
      <c r="T89" s="532"/>
      <c r="V89" s="538"/>
    </row>
    <row r="90" spans="1:22" x14ac:dyDescent="0.2">
      <c r="B90" s="463"/>
      <c r="D90" s="463"/>
      <c r="F90" s="463"/>
      <c r="H90" s="463"/>
      <c r="J90" s="463"/>
      <c r="L90" s="463"/>
      <c r="O90" s="531"/>
      <c r="P90" s="532"/>
      <c r="Q90" s="532"/>
      <c r="R90" s="532"/>
      <c r="S90" s="532"/>
      <c r="T90" s="532"/>
      <c r="V90" s="538"/>
    </row>
    <row r="91" spans="1:22" x14ac:dyDescent="0.2">
      <c r="A91" s="540"/>
      <c r="B91" s="523"/>
      <c r="C91" s="523"/>
      <c r="D91" s="523"/>
      <c r="E91" s="523"/>
      <c r="F91" s="523"/>
      <c r="G91" s="523"/>
      <c r="H91" s="523"/>
      <c r="I91" s="523"/>
      <c r="J91" s="523"/>
      <c r="K91" s="523"/>
      <c r="L91" s="523"/>
      <c r="M91" s="523"/>
      <c r="N91" s="523"/>
      <c r="O91" s="531"/>
      <c r="P91" s="532"/>
      <c r="Q91" s="532"/>
      <c r="R91" s="532"/>
      <c r="S91" s="532"/>
      <c r="T91" s="532"/>
      <c r="V91" s="538"/>
    </row>
    <row r="92" spans="1:22" x14ac:dyDescent="0.2">
      <c r="A92" s="525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31"/>
      <c r="P92" s="539"/>
      <c r="Q92" s="539"/>
      <c r="R92" s="539"/>
      <c r="S92" s="539"/>
      <c r="T92" s="539"/>
      <c r="V92" s="526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9"/>
      <c r="I127" s="539"/>
      <c r="J127" s="539"/>
      <c r="K127" s="539"/>
      <c r="L127" s="539"/>
      <c r="M127" s="539"/>
      <c r="N127" s="131"/>
    </row>
    <row r="128" spans="1:14" x14ac:dyDescent="0.2">
      <c r="A128" s="261"/>
    </row>
    <row r="129" spans="1:14" x14ac:dyDescent="0.2">
      <c r="B129" s="463"/>
      <c r="D129" s="463"/>
      <c r="F129" s="463"/>
      <c r="H129" s="463"/>
      <c r="J129" s="463"/>
      <c r="L129" s="463"/>
    </row>
    <row r="130" spans="1:14" x14ac:dyDescent="0.2">
      <c r="B130" s="522"/>
      <c r="C130" s="523"/>
      <c r="D130" s="523"/>
      <c r="E130" s="523"/>
      <c r="F130" s="523"/>
      <c r="G130" s="523"/>
      <c r="H130" s="523"/>
      <c r="I130" s="523"/>
      <c r="J130" s="523"/>
      <c r="K130" s="523"/>
      <c r="L130" s="523"/>
      <c r="M130" s="523"/>
      <c r="N130" s="523"/>
    </row>
    <row r="131" spans="1:14" x14ac:dyDescent="0.2">
      <c r="A131" s="525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41"/>
      <c r="K166" s="541"/>
      <c r="M166" s="541"/>
      <c r="N166" s="51"/>
    </row>
    <row r="167" spans="1:14" x14ac:dyDescent="0.2">
      <c r="N167" s="51"/>
    </row>
    <row r="171" spans="1:14" x14ac:dyDescent="0.2">
      <c r="B171" s="463"/>
      <c r="D171" s="463"/>
      <c r="F171" s="463"/>
      <c r="H171" s="463"/>
      <c r="J171" s="463"/>
      <c r="L171" s="463"/>
    </row>
    <row r="172" spans="1:14" x14ac:dyDescent="0.2">
      <c r="B172" s="522"/>
      <c r="C172" s="523"/>
      <c r="D172" s="523"/>
      <c r="E172" s="523"/>
      <c r="F172" s="523"/>
      <c r="G172" s="523"/>
      <c r="H172" s="523"/>
      <c r="I172" s="523"/>
      <c r="J172" s="523"/>
      <c r="K172" s="523"/>
      <c r="L172" s="523"/>
      <c r="M172" s="523"/>
    </row>
    <row r="173" spans="1:14" x14ac:dyDescent="0.2">
      <c r="A173" s="525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41"/>
      <c r="K208" s="541"/>
      <c r="M208" s="541"/>
    </row>
    <row r="214" spans="1:13" x14ac:dyDescent="0.2">
      <c r="B214" s="463"/>
      <c r="D214" s="463"/>
      <c r="F214" s="463"/>
      <c r="H214" s="463"/>
      <c r="J214" s="463"/>
      <c r="L214" s="463"/>
    </row>
    <row r="215" spans="1:13" x14ac:dyDescent="0.2">
      <c r="B215" s="522"/>
      <c r="C215" s="523"/>
      <c r="D215" s="523"/>
      <c r="E215" s="523"/>
      <c r="F215" s="523"/>
      <c r="G215" s="523"/>
      <c r="H215" s="523"/>
      <c r="I215" s="523"/>
      <c r="J215" s="523"/>
      <c r="K215" s="523"/>
      <c r="L215" s="523"/>
      <c r="M215" s="523"/>
    </row>
    <row r="216" spans="1:13" x14ac:dyDescent="0.2">
      <c r="A216" s="525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41"/>
      <c r="K251" s="541"/>
      <c r="M251" s="541"/>
    </row>
    <row r="256" spans="1:21" x14ac:dyDescent="0.2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">
      <c r="B257" s="522"/>
      <c r="C257" s="523"/>
      <c r="D257" s="523"/>
      <c r="E257" s="523"/>
      <c r="F257" s="523"/>
      <c r="G257" s="523"/>
      <c r="H257" s="523"/>
      <c r="I257" s="523"/>
      <c r="J257" s="523"/>
      <c r="K257" s="523"/>
      <c r="L257" s="523"/>
      <c r="M257" s="523"/>
      <c r="O257" s="522"/>
      <c r="P257" s="523"/>
      <c r="Q257" s="523"/>
      <c r="R257" s="523"/>
      <c r="S257" s="523"/>
      <c r="T257" s="523"/>
      <c r="U257" s="523"/>
      <c r="V257" s="523"/>
      <c r="W257" s="523"/>
    </row>
    <row r="258" spans="1:23" x14ac:dyDescent="0.2">
      <c r="A258" s="525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5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41"/>
      <c r="K293" s="541"/>
      <c r="M293" s="541"/>
      <c r="V293" s="541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3"/>
      <c r="Q297" s="463"/>
      <c r="S297" s="463"/>
      <c r="U297" s="463"/>
    </row>
    <row r="298" spans="1:23" x14ac:dyDescent="0.2">
      <c r="O298" s="522"/>
      <c r="P298" s="523"/>
      <c r="Q298" s="523"/>
      <c r="R298" s="523"/>
      <c r="S298" s="523"/>
      <c r="T298" s="523"/>
      <c r="U298" s="523"/>
      <c r="V298" s="523"/>
      <c r="W298" s="523"/>
    </row>
    <row r="299" spans="1:23" x14ac:dyDescent="0.2">
      <c r="N299" s="525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42"/>
      <c r="W336" s="51"/>
    </row>
    <row r="339" spans="14:23" x14ac:dyDescent="0.2">
      <c r="O339" s="463"/>
      <c r="Q339" s="463"/>
      <c r="S339" s="463"/>
      <c r="U339" s="463"/>
    </row>
    <row r="340" spans="14:23" x14ac:dyDescent="0.2">
      <c r="O340" s="522"/>
      <c r="P340" s="523"/>
      <c r="Q340" s="523"/>
      <c r="R340" s="523"/>
      <c r="S340" s="523"/>
      <c r="T340" s="523"/>
      <c r="U340" s="523"/>
      <c r="V340" s="523"/>
      <c r="W340" s="523"/>
    </row>
    <row r="341" spans="14:23" x14ac:dyDescent="0.2">
      <c r="N341" s="525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21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42"/>
      <c r="W378" s="543"/>
    </row>
    <row r="381" spans="14:23" x14ac:dyDescent="0.2">
      <c r="O381" s="463"/>
      <c r="Q381" s="463"/>
      <c r="S381" s="463"/>
      <c r="U381" s="463"/>
    </row>
    <row r="382" spans="14:23" x14ac:dyDescent="0.2">
      <c r="O382" s="522"/>
      <c r="P382" s="523"/>
      <c r="Q382" s="523"/>
      <c r="R382" s="523"/>
      <c r="S382" s="523"/>
      <c r="T382" s="523"/>
      <c r="U382" s="523"/>
      <c r="V382" s="523"/>
      <c r="W382" s="523"/>
    </row>
    <row r="383" spans="14:23" x14ac:dyDescent="0.2">
      <c r="N383" s="525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21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42"/>
      <c r="W420" s="543"/>
    </row>
    <row r="425" spans="14:23" x14ac:dyDescent="0.2">
      <c r="O425" s="463"/>
      <c r="Q425" s="463"/>
      <c r="S425" s="463"/>
      <c r="U425" s="463"/>
    </row>
    <row r="426" spans="14:23" x14ac:dyDescent="0.2">
      <c r="O426" s="522"/>
      <c r="P426" s="523"/>
      <c r="Q426" s="523"/>
      <c r="R426" s="523"/>
      <c r="S426" s="523"/>
      <c r="T426" s="523"/>
      <c r="U426" s="523"/>
      <c r="V426" s="523"/>
      <c r="W426" s="523"/>
    </row>
    <row r="427" spans="14:23" x14ac:dyDescent="0.2">
      <c r="N427" s="525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21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42"/>
      <c r="W464" s="51"/>
    </row>
    <row r="467" spans="14:33" x14ac:dyDescent="0.2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">
      <c r="O468" s="522"/>
      <c r="P468" s="523"/>
      <c r="Q468" s="523"/>
      <c r="R468" s="523"/>
      <c r="S468" s="523"/>
      <c r="T468" s="523"/>
      <c r="U468" s="523"/>
      <c r="V468" s="523"/>
      <c r="W468" s="523"/>
      <c r="Y468" s="522"/>
      <c r="Z468" s="523"/>
      <c r="AA468" s="523"/>
      <c r="AB468" s="523"/>
      <c r="AC468" s="523"/>
      <c r="AD468" s="523"/>
      <c r="AE468" s="523"/>
      <c r="AF468" s="523"/>
      <c r="AG468" s="523"/>
    </row>
    <row r="469" spans="14:33" x14ac:dyDescent="0.2">
      <c r="N469" s="525"/>
      <c r="O469" s="464"/>
      <c r="P469" s="464"/>
      <c r="Q469" s="464"/>
      <c r="R469" s="464"/>
      <c r="S469" s="464"/>
      <c r="T469" s="464"/>
      <c r="U469" s="464"/>
      <c r="V469" s="464"/>
      <c r="W469" s="464"/>
      <c r="X469" s="525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21"/>
      <c r="P504" s="131"/>
      <c r="R504" s="131"/>
      <c r="T504" s="131"/>
      <c r="V504" s="131"/>
      <c r="W504" s="51"/>
      <c r="X504" s="521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42"/>
      <c r="W506" s="51"/>
      <c r="X506" s="542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8" workbookViewId="0">
      <selection activeCell="D42" sqref="D42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">
      <c r="A17" s="10">
        <v>11</v>
      </c>
      <c r="B17" s="11">
        <v>133005</v>
      </c>
      <c r="C17" s="11">
        <v>132704</v>
      </c>
      <c r="D17" s="25">
        <f t="shared" si="0"/>
        <v>-301</v>
      </c>
    </row>
    <row r="18" spans="1:4" x14ac:dyDescent="0.2">
      <c r="A18" s="10">
        <v>12</v>
      </c>
      <c r="B18" s="11">
        <v>154944</v>
      </c>
      <c r="C18" s="11">
        <v>155214</v>
      </c>
      <c r="D18" s="25">
        <f t="shared" si="0"/>
        <v>270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1719557</v>
      </c>
      <c r="C38" s="11">
        <f>SUM(C7:C37)</f>
        <v>1714330</v>
      </c>
      <c r="D38" s="11">
        <f>SUM(D7:D37)</f>
        <v>-5227</v>
      </c>
    </row>
    <row r="39" spans="1:8" x14ac:dyDescent="0.2">
      <c r="A39" s="26"/>
      <c r="C39" s="14"/>
      <c r="D39" s="106">
        <f>+summary!G3</f>
        <v>2.08</v>
      </c>
    </row>
    <row r="40" spans="1:8" x14ac:dyDescent="0.2">
      <c r="D40" s="138">
        <f>+D39*D38</f>
        <v>-10872.16</v>
      </c>
      <c r="H40">
        <v>20</v>
      </c>
    </row>
    <row r="41" spans="1:8" x14ac:dyDescent="0.2">
      <c r="A41" s="57">
        <v>37287</v>
      </c>
      <c r="C41" s="15"/>
      <c r="D41" s="599">
        <v>-61603.360000000001</v>
      </c>
      <c r="H41">
        <v>530</v>
      </c>
    </row>
    <row r="42" spans="1:8" x14ac:dyDescent="0.2">
      <c r="A42" s="57">
        <v>37299</v>
      </c>
      <c r="D42" s="319">
        <f>+D41+D40</f>
        <v>-72475.520000000004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37287</v>
      </c>
      <c r="B47" s="32"/>
      <c r="C47" s="32"/>
      <c r="D47" s="569">
        <v>-29617</v>
      </c>
    </row>
    <row r="48" spans="1:8" x14ac:dyDescent="0.2">
      <c r="A48" s="49">
        <f>+A42</f>
        <v>37299</v>
      </c>
      <c r="B48" s="32"/>
      <c r="C48" s="32"/>
      <c r="D48" s="349">
        <f>+D38</f>
        <v>-5227</v>
      </c>
    </row>
    <row r="49" spans="1:4" x14ac:dyDescent="0.2">
      <c r="A49" s="32"/>
      <c r="B49" s="32"/>
      <c r="C49" s="32"/>
      <c r="D49" s="14">
        <f>+D48+D47</f>
        <v>-34844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37" sqref="C37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-2946916</v>
      </c>
      <c r="C35" s="11">
        <f>SUM(C4:C34)</f>
        <v>-2935809</v>
      </c>
      <c r="D35" s="11">
        <f>SUM(D4:D34)</f>
        <v>11107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37287</v>
      </c>
      <c r="D38" s="577">
        <v>28722</v>
      </c>
    </row>
    <row r="39" spans="1:30" x14ac:dyDescent="0.2">
      <c r="A39" s="12"/>
      <c r="D39" s="51"/>
    </row>
    <row r="40" spans="1:30" x14ac:dyDescent="0.2">
      <c r="A40" s="245">
        <v>37299</v>
      </c>
      <c r="D40" s="51">
        <f>+D38+D35</f>
        <v>39829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1"/>
      <c r="K44"/>
    </row>
    <row r="45" spans="1:30" x14ac:dyDescent="0.2">
      <c r="A45" s="49">
        <f>+A38</f>
        <v>37287</v>
      </c>
      <c r="B45" s="32"/>
      <c r="C45" s="32"/>
      <c r="D45" s="576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37299</v>
      </c>
      <c r="B46" s="32"/>
      <c r="C46" s="32"/>
      <c r="D46" s="374">
        <f>+D35*'by type_area'!G4</f>
        <v>23102.560000000001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-120566.44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B36" sqref="B36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-7218399</v>
      </c>
      <c r="C35" s="11">
        <f>SUM(C4:C34)</f>
        <v>-7234332</v>
      </c>
      <c r="D35" s="11">
        <f>SUM(D4:D34)</f>
        <v>0</v>
      </c>
      <c r="E35" s="11">
        <f>SUM(E4:E34)</f>
        <v>0</v>
      </c>
      <c r="F35" s="11">
        <f>SUM(F4:F34)</f>
        <v>-15933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37287</v>
      </c>
      <c r="D38" s="246"/>
      <c r="E38" s="246"/>
      <c r="F38" s="578">
        <v>94012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37299</v>
      </c>
      <c r="D40" s="246"/>
      <c r="E40" s="246"/>
      <c r="F40" s="51">
        <f>+F38+F35</f>
        <v>78079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37287</v>
      </c>
      <c r="B45" s="32"/>
      <c r="C45" s="32"/>
      <c r="D45" s="576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37299</v>
      </c>
      <c r="B46" s="32"/>
      <c r="C46" s="32"/>
      <c r="D46" s="472">
        <f>+F35*'by type_area'!G4</f>
        <v>-33140.639999999999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0">
        <f>+D46+D45</f>
        <v>277127.36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30" workbookViewId="0">
      <selection activeCell="H54" sqref="H54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2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3" t="s">
        <v>49</v>
      </c>
      <c r="Q3" s="514" t="s">
        <v>15</v>
      </c>
      <c r="R3" s="515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-64055</v>
      </c>
      <c r="C15" s="11">
        <v>-33560</v>
      </c>
      <c r="D15" s="11"/>
      <c r="E15" s="11">
        <v>-29867</v>
      </c>
      <c r="F15" s="11"/>
      <c r="G15" s="11"/>
      <c r="H15" s="11">
        <f t="shared" si="0"/>
        <v>628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4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4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4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4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4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4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4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4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4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4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4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4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4"/>
      <c r="L34" s="11"/>
      <c r="M34" s="11"/>
      <c r="N34" s="11"/>
    </row>
    <row r="35" spans="1:14" x14ac:dyDescent="0.2">
      <c r="A35" s="41"/>
      <c r="B35" s="11">
        <f t="shared" ref="B35:H35" si="3">SUM(B4:B34)</f>
        <v>-533614</v>
      </c>
      <c r="C35" s="44">
        <f t="shared" si="3"/>
        <v>-68844</v>
      </c>
      <c r="D35" s="11">
        <f t="shared" si="3"/>
        <v>0</v>
      </c>
      <c r="E35" s="44">
        <f t="shared" si="3"/>
        <v>-461532</v>
      </c>
      <c r="F35" s="11">
        <f t="shared" si="3"/>
        <v>0</v>
      </c>
      <c r="G35" s="11">
        <f t="shared" si="3"/>
        <v>0</v>
      </c>
      <c r="H35" s="11">
        <f t="shared" si="3"/>
        <v>3238</v>
      </c>
      <c r="I35" s="11"/>
      <c r="J35" s="102"/>
      <c r="K35" s="504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2.08</v>
      </c>
      <c r="I36" s="11"/>
      <c r="J36" s="102"/>
      <c r="K36" s="504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6735.04</v>
      </c>
      <c r="I37" s="11"/>
      <c r="J37" s="102"/>
      <c r="K37" s="504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1">
        <v>9867</v>
      </c>
      <c r="I38" s="262"/>
      <c r="J38" s="102"/>
      <c r="K38" s="505"/>
      <c r="L38" s="14"/>
      <c r="M38" s="14"/>
      <c r="N38" s="16"/>
    </row>
    <row r="39" spans="1:14" x14ac:dyDescent="0.2">
      <c r="C39" s="14"/>
      <c r="D39" s="47"/>
      <c r="E39" s="263">
        <v>37298</v>
      </c>
      <c r="F39" s="471"/>
      <c r="G39" s="471"/>
      <c r="H39" s="319">
        <f>+H38+H37</f>
        <v>16602.04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6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7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7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3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37298</v>
      </c>
      <c r="E47" s="457">
        <f>+H35</f>
        <v>3238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35714</v>
      </c>
      <c r="F48" s="129"/>
      <c r="G48" s="129"/>
      <c r="H48" s="129"/>
      <c r="I48" s="262"/>
      <c r="J48" s="102"/>
      <c r="K48" s="508"/>
      <c r="L48" s="38"/>
      <c r="M48" s="4"/>
    </row>
    <row r="49" spans="1:15" ht="12.75" x14ac:dyDescent="0.2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9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4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4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4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4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4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4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4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4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4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4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4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4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4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4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4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4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4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4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4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4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4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4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4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4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4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4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4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4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4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4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4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4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6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7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7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8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9"/>
      <c r="L91" s="6"/>
      <c r="M91" s="6"/>
    </row>
    <row r="92" spans="1:14" x14ac:dyDescent="0.2">
      <c r="I92" s="11"/>
      <c r="J92" s="11"/>
      <c r="K92" s="504"/>
      <c r="L92" s="11"/>
      <c r="M92" s="11"/>
      <c r="N92" s="11"/>
    </row>
    <row r="93" spans="1:14" x14ac:dyDescent="0.2">
      <c r="G93" s="41"/>
      <c r="H93" s="11"/>
      <c r="I93" s="11"/>
      <c r="J93" s="11"/>
      <c r="K93" s="504"/>
      <c r="L93" s="11"/>
      <c r="M93" s="11"/>
      <c r="N93" s="11"/>
    </row>
    <row r="94" spans="1:14" x14ac:dyDescent="0.2">
      <c r="G94" s="41"/>
      <c r="H94" s="11"/>
      <c r="I94" s="11"/>
      <c r="J94" s="11"/>
      <c r="K94" s="504"/>
      <c r="L94" s="11"/>
      <c r="M94" s="11"/>
      <c r="N94" s="11"/>
    </row>
    <row r="95" spans="1:14" x14ac:dyDescent="0.2">
      <c r="G95" s="41"/>
      <c r="H95" s="11"/>
      <c r="I95" s="11"/>
      <c r="J95" s="11"/>
      <c r="K95" s="504"/>
      <c r="L95" s="11"/>
      <c r="M95" s="11"/>
      <c r="N95" s="11"/>
    </row>
    <row r="96" spans="1:14" x14ac:dyDescent="0.2">
      <c r="G96" s="41"/>
      <c r="H96" s="11"/>
      <c r="I96" s="11"/>
      <c r="J96" s="11"/>
      <c r="K96" s="504"/>
      <c r="L96" s="11"/>
      <c r="M96" s="11"/>
      <c r="N96" s="11"/>
    </row>
    <row r="97" spans="7:14" x14ac:dyDescent="0.2">
      <c r="G97" s="41"/>
      <c r="H97" s="11"/>
      <c r="I97" s="11"/>
      <c r="J97" s="11"/>
      <c r="K97" s="504"/>
      <c r="L97" s="11"/>
      <c r="M97" s="11"/>
      <c r="N97" s="11"/>
    </row>
    <row r="98" spans="7:14" x14ac:dyDescent="0.2">
      <c r="G98" s="41"/>
      <c r="H98" s="11"/>
      <c r="I98" s="11"/>
      <c r="J98" s="11"/>
      <c r="K98" s="504"/>
      <c r="L98" s="11"/>
      <c r="M98" s="11"/>
      <c r="N98" s="11"/>
    </row>
    <row r="99" spans="7:14" x14ac:dyDescent="0.2">
      <c r="G99" s="41"/>
      <c r="H99" s="11"/>
      <c r="I99" s="11"/>
      <c r="J99" s="11"/>
      <c r="K99" s="504"/>
      <c r="L99" s="11"/>
      <c r="M99" s="11"/>
      <c r="N99" s="11"/>
    </row>
    <row r="100" spans="7:14" x14ac:dyDescent="0.2">
      <c r="G100" s="41"/>
      <c r="H100" s="11"/>
      <c r="I100" s="11"/>
      <c r="J100" s="11"/>
      <c r="K100" s="504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4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4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4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4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4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4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4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4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4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4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4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4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4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4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4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4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4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4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4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4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4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4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6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7"/>
      <c r="L127" s="50"/>
      <c r="M127" s="50"/>
      <c r="N127" s="106"/>
    </row>
    <row r="128" spans="7:14" x14ac:dyDescent="0.2">
      <c r="G128" s="57"/>
      <c r="J128" s="50"/>
      <c r="K128" s="507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8"/>
      <c r="L133" s="38"/>
      <c r="M133" s="4"/>
    </row>
    <row r="134" spans="7:14" x14ac:dyDescent="0.2">
      <c r="G134" s="39"/>
      <c r="H134" s="6"/>
      <c r="I134" s="40"/>
      <c r="J134" s="6"/>
      <c r="K134" s="509"/>
      <c r="L134" s="6"/>
      <c r="M134" s="6"/>
    </row>
    <row r="135" spans="7:14" x14ac:dyDescent="0.2">
      <c r="G135" s="41"/>
      <c r="H135" s="11"/>
      <c r="I135" s="11"/>
      <c r="J135" s="11"/>
      <c r="K135" s="504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4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4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4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4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4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4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4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4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4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4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4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4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4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4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4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4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4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4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4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4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4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4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4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4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4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4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4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4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4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0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1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6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7"/>
      <c r="L171" s="57"/>
      <c r="M171" s="50"/>
      <c r="N171" s="106"/>
    </row>
    <row r="172" spans="7:14" x14ac:dyDescent="0.2">
      <c r="J172" s="50"/>
      <c r="K172" s="507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8"/>
      <c r="L177" s="38"/>
      <c r="M177" s="4"/>
    </row>
    <row r="178" spans="7:14" x14ac:dyDescent="0.2">
      <c r="G178" s="39"/>
      <c r="H178" s="6"/>
      <c r="I178" s="40"/>
      <c r="J178" s="6"/>
      <c r="K178" s="509"/>
      <c r="L178" s="6"/>
      <c r="M178" s="6"/>
    </row>
    <row r="179" spans="7:14" x14ac:dyDescent="0.2">
      <c r="G179" s="41"/>
      <c r="H179" s="11"/>
      <c r="I179" s="11"/>
      <c r="J179" s="11"/>
      <c r="K179" s="504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4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4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4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4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4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4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4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4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4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4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4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4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4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4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4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4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4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4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4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4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4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4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4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4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4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4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4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4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4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0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1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6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7"/>
      <c r="L215" s="57"/>
      <c r="M215" s="50"/>
      <c r="N215" s="106"/>
    </row>
    <row r="216" spans="7:14" x14ac:dyDescent="0.2">
      <c r="J216" s="50"/>
      <c r="K216" s="507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8"/>
      <c r="L220" s="38"/>
      <c r="M220" s="4"/>
    </row>
    <row r="221" spans="7:14" x14ac:dyDescent="0.2">
      <c r="G221" s="39"/>
      <c r="H221" s="6"/>
      <c r="I221" s="40"/>
      <c r="J221" s="6"/>
      <c r="K221" s="509"/>
      <c r="L221" s="6"/>
      <c r="M221" s="6"/>
    </row>
    <row r="222" spans="7:14" x14ac:dyDescent="0.2">
      <c r="G222" s="41"/>
      <c r="H222" s="11"/>
      <c r="I222" s="11"/>
      <c r="J222" s="11"/>
      <c r="K222" s="504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4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4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4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4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4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4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4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4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4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4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4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4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4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4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4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4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4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4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4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4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4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4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4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4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4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4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4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4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4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0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1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6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7"/>
      <c r="L258" s="57"/>
      <c r="M258" s="50"/>
      <c r="N258" s="106"/>
    </row>
    <row r="259" spans="10:14" x14ac:dyDescent="0.2">
      <c r="J259" s="50"/>
      <c r="K259" s="507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9" workbookViewId="0">
      <selection activeCell="F16" sqref="F16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08">
        <v>-325040</v>
      </c>
      <c r="E8" s="129">
        <v>-325040</v>
      </c>
      <c r="F8" s="11"/>
      <c r="G8" s="11"/>
      <c r="H8" s="24">
        <f t="shared" si="0"/>
        <v>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-3937318</v>
      </c>
      <c r="E36" s="11">
        <f t="shared" si="15"/>
        <v>-3941143</v>
      </c>
      <c r="F36" s="11">
        <f t="shared" si="15"/>
        <v>0</v>
      </c>
      <c r="G36" s="11">
        <f t="shared" si="15"/>
        <v>0</v>
      </c>
      <c r="H36" s="11">
        <f t="shared" si="15"/>
        <v>-3825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-3825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37287</v>
      </c>
      <c r="B38" s="2" t="s">
        <v>45</v>
      </c>
      <c r="C38" s="580">
        <v>64269</v>
      </c>
      <c r="D38" s="320"/>
      <c r="E38" s="581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37299</v>
      </c>
      <c r="B39" s="2" t="s">
        <v>45</v>
      </c>
      <c r="C39" s="131">
        <f>+C38+C37</f>
        <v>64269</v>
      </c>
      <c r="D39" s="252"/>
      <c r="E39" s="131">
        <f>+E38+E37</f>
        <v>10783</v>
      </c>
      <c r="F39" s="252"/>
      <c r="G39" s="131"/>
      <c r="H39" s="131">
        <f>+H38+H36</f>
        <v>75052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37287</v>
      </c>
      <c r="B44" s="32"/>
      <c r="C44" s="579">
        <v>-1582961.01</v>
      </c>
      <c r="D44" s="205"/>
      <c r="E44" s="582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37299</v>
      </c>
      <c r="B45" s="32"/>
      <c r="C45" s="47">
        <f>+C37*summary!G4</f>
        <v>0</v>
      </c>
      <c r="D45" s="205"/>
      <c r="E45" s="376">
        <f>+E37*summary!G3</f>
        <v>-7956</v>
      </c>
      <c r="F45" s="47">
        <f>+E45+C45</f>
        <v>-7956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F44" sqref="F44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6">
        <f>+A45</f>
        <v>37299</v>
      </c>
      <c r="I23" s="11">
        <f>+B39</f>
        <v>2221623</v>
      </c>
      <c r="J23" s="11">
        <f>+C39</f>
        <v>2228014</v>
      </c>
      <c r="K23" s="11">
        <f>+D39</f>
        <v>156715</v>
      </c>
      <c r="L23" s="11">
        <f>+E39</f>
        <v>155454</v>
      </c>
      <c r="M23" s="42">
        <f>+J23-I23+L23-K23</f>
        <v>5130</v>
      </c>
      <c r="N23" s="102">
        <f>+summary!G3</f>
        <v>2.08</v>
      </c>
      <c r="O23" s="498">
        <f>+N23*M23</f>
        <v>10670.4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7">
        <f>SUM(M9:M23)</f>
        <v>94930</v>
      </c>
      <c r="N24" s="102"/>
      <c r="O24" s="102">
        <f>SUM(O9:O23)</f>
        <v>578786.74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5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2221623</v>
      </c>
      <c r="C39" s="150">
        <f>SUM(C8:C38)</f>
        <v>2228014</v>
      </c>
      <c r="D39" s="150">
        <f>SUM(D8:D38)</f>
        <v>156715</v>
      </c>
      <c r="E39" s="150">
        <f>SUM(E8:E38)</f>
        <v>155454</v>
      </c>
      <c r="F39" s="11">
        <f t="shared" si="5"/>
        <v>5130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37287</v>
      </c>
      <c r="B44" s="32"/>
      <c r="C44" s="460"/>
      <c r="D44" s="111"/>
      <c r="E44" s="460"/>
      <c r="F44" s="567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37299</v>
      </c>
      <c r="B45" s="32"/>
      <c r="C45" s="106"/>
      <c r="D45" s="106"/>
      <c r="E45" s="106"/>
      <c r="F45" s="24">
        <f>+F44+F39</f>
        <v>35202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288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37287</v>
      </c>
      <c r="B50" s="32"/>
      <c r="C50" s="32"/>
      <c r="D50" s="489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37299</v>
      </c>
      <c r="B51" s="32"/>
      <c r="C51" s="32"/>
      <c r="D51" s="349">
        <f>+F39*summary!G3</f>
        <v>10670.4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419924.4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2002-02-13T20:45:31Z</cp:lastPrinted>
  <dcterms:created xsi:type="dcterms:W3CDTF">2000-03-28T16:52:23Z</dcterms:created>
  <dcterms:modified xsi:type="dcterms:W3CDTF">2023-09-14T17:31:52Z</dcterms:modified>
</cp:coreProperties>
</file>