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C5F70F-F4C8-4FD3-8FCF-9119D8CB96B5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B6" i="8"/>
  <c r="D6" i="8"/>
  <c r="D7" i="8"/>
  <c r="D8" i="8"/>
  <c r="B9" i="8"/>
  <c r="D9" i="8"/>
  <c r="D10" i="8"/>
  <c r="D11" i="8"/>
  <c r="D12" i="8"/>
  <c r="B13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E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D43" i="67"/>
  <c r="A44" i="67"/>
  <c r="D44" i="67"/>
  <c r="F44" i="67"/>
  <c r="D45" i="67"/>
  <c r="F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1" i="93"/>
  <c r="N43" i="93"/>
  <c r="A48" i="93"/>
  <c r="D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F53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P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38" i="2"/>
  <c r="J40" i="2"/>
  <c r="A46" i="2"/>
  <c r="D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<sst xmlns="http://schemas.openxmlformats.org/spreadsheetml/2006/main" count="1013" uniqueCount="315">
  <si>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</si>
  <si>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</si>
  <si>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</si>
  <si>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</si>
  <si>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</si>
  <si>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</si>
  <si>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</si>
  <si>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</si>
  <si>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</si>
  <si>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</si>
  <si>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</si>
  <si>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</si>
  <si>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</si>
  <si>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</si>
  <si>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</si>
  <si>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</si>
  <si>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</si>
  <si>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</si>
  <si>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</si>
  <si>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</si>
  <si>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</si>
  <si>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</si>
  <si>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</si>
  <si>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</si>
  <si>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</si>
  <si>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</si>
  <si>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</si>
  <si>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</si>
  <si>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</si>
  <si>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</si>
  <si>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</si>
  <si>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</si>
  <si>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</si>
  <si>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</si>
  <si>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</si>
  <si>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</si>
  <si>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</si>
  <si>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</si>
  <si>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</si>
  <si>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</si>
  <si>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</si>
  <si>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</si>
  <si>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</si>
  <si>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</si>
  <si>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</si>
  <si>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</si>
  <si>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</si>
  <si>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</si>
  <si>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</si>
  <si>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</si>
  <si>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</si>
  <si>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</si>
  <si>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</si>
  <si>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</si>
  <si>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</si>
  <si>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</si>
  <si>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</si>
  <si>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</si>
  <si>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</si>
  <si>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</si>
  <si>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</si>
  <si>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</si>
  <si>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</si>
  <si>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</si>
  <si>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</si>
  <si>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</si>
  <si>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</si>
  <si>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</si>
  <si>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</si>
  <si>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</si>
  <si>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</si>
  <si>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</si>
  <si>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</si>
  <si>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</si>
  <si>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</si>
  <si>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</si>
  <si>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</si>
  <si>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</si>
  <si>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</si>
  <si>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</si>
  <si>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</si>
  <si>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</si>
  <si>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</si>
  <si>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</si>
  <si>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</si>
  <si>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</si>
  <si>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</si>
  <si>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</si>
  <si>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</si>
  <si>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</si>
  <si>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</si>
  <si>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</si>
  <si>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</si>
  <si>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</si>
  <si>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</si>
  <si>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</si>
  <si>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</si>
  <si>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</si>
  <si>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</si>
  <si>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</si>
  <si>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</si>
  <si>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</si>
  <si>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</si>
  <si>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</si>
  <si>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</si>
  <si>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</si>
  <si>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</si>
  <si>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</si>
  <si>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</si>
  <si>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</si>
  <si>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</si>
  <si>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</si>
  <si>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</si>
  <si>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</si>
  <si>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</si>
  <si>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</si>
  <si>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</si>
  <si>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</si>
  <si>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</si>
  <si>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</si>
  <si>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</si>
  <si>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</si>
  <si>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</si>
  <si>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</si>
  <si>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</si>
  <si>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</si>
  <si>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</si>
  <si>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</si>
  <si>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</si>
  <si>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</si>
  <si>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</si>
  <si>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</si>
  <si>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</si>
  <si>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</si>
  <si>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</si>
  <si>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</si>
  <si>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</si>
  <si>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</si>
  <si>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</si>
  <si>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</si>
  <si>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</si>
  <si>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</si>
  <si>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</si>
  <si>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</si>
  <si>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</si>
  <si>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</si>
  <si>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</si>
  <si>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</si>
  <si>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</si>
  <si>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</si>
  <si>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</si>
  <si>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</si>
  <si>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</si>
  <si>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</si>
  <si>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</si>
  <si>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</si>
  <si>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</si>
  <si>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</si>
  <si>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</si>
  <si>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</si>
  <si>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</si>
  <si>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</si>
  <si>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</si>
  <si>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</si>
  <si>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</si>
  <si>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</si>
  <si>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</si>
  <si>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</si>
  <si>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</si>
  <si>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</si>
  <si>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</si>
  <si>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</si>
  <si>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</si>
  <si>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</si>
  <si>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</si>
  <si>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</si>
  <si>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</si>
  <si>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</si>
  <si>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</si>
  <si>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</si>
  <si>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</si>
  <si>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</si>
  <si>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</si>
  <si>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</si>
  <si>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</si>
  <si>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</si>
  <si>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</si>
  <si>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</si>
  <si>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</si>
  <si>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</si>
  <si>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</si>
  <si>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</si>
  <si>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</si>
  <si>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</si>
  <si>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</si>
  <si>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</si>
  <si>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</si>
  <si>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</si>
  <si>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</si>
  <si>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</si>
  <si>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</si>
  <si>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</si>
  <si>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</si>
  <si>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</si>
  <si>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</si>
  <si>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</si>
  <si>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</si>
  <si>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</si>
  <si>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</si>
  <si>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</si>
  <si>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</si>
  <si>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</si>
  <si>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</si>
  <si>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</si>
  <si>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</si>
  <si>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</si>
  <si>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</si>
  <si>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</si>
  <si>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</si>
  <si>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</si>
  <si>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</si>
  <si>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</si>
  <si>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</si>
  <si>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</si>
  <si>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</si>
  <si>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</si>
  <si>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</si>
  <si>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</si>
  <si>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</si>
  <si>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</si>
  <si>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</si>
  <si>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</si>
  <si>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</si>
  <si>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</si>
  <si>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</si>
  <si>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</si>
  <si>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</si>
  <si>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</si>
  <si>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</si>
  <si>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</si>
  <si>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</si>
  <si>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</si>
  <si>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</si>
  <si>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</si>
  <si>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</si>
  <si>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</si>
  <si>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</si>
  <si>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</si>
  <si>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</si>
  <si>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</si>
  <si>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</si>
  <si>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</si>
  <si>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</si>
  <si>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</si>
  <si>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</si>
  <si>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</si>
  <si>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</si>
  <si>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</si>
  <si>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</si>
  <si>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</si>
  <si>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</si>
  <si>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</si>
  <si>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</si>
  <si>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</si>
  <si>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</si>
  <si>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</si>
  <si>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</si>
  <si>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</si>
  <si>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</si>
  <si>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</si>
  <si>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</si>
  <si>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</si>
  <si>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</si>
  <si>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</si>
  <si>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</si>
  <si>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</si>
  <si>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</si>
  <si>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</si>
  <si>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</si>
  <si>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</si>
  <si>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</si>
  <si>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</si>
  <si>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</si>
  <si>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</si>
  <si>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</si>
  <si>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</si>
  <si>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</si>
  <si>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</si>
  <si>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</si>
  <si>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</si>
  <si>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</si>
  <si>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</si>
  <si>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</si>
  <si>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</si>
  <si>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</si>
  <si>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</si>
  <si>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</si>
  <si>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</si>
  <si>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</si>
  <si>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</si>
  <si>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</si>
  <si>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</si>
  <si>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</si>
  <si>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</si>
  <si>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</si>
  <si>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</si>
  <si>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</si>
  <si>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</si>
  <si>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</si>
  <si>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</si>
  <si>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</si>
  <si>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</si>
  <si>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working on payback plan with PNM- will meet 2/22</t>
  </si>
  <si>
    <t>reconciling and working on payback plan</t>
  </si>
  <si>
    <t>volumetric through 11/30/01 - majority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</si>
</sst>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5" fontId="41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2.1</v>
          </cell>
          <cell r="K39">
            <v>2.1</v>
          </cell>
          <cell r="M39">
            <v>2.1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83" workbookViewId="0">
      <selection activeCell="D30" sqref="D30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2.1</v>
      </c>
      <c r="H3" s="401">
        <f ca="1">NOW()</f>
        <v>37312.699731597226</v>
      </c>
    </row>
    <row r="4" spans="1:32" ht="12.95" customHeight="1" x14ac:dyDescent="0.2">
      <c r="A4" s="34" t="s">
        <v>144</v>
      </c>
      <c r="C4" s="34" t="s">
        <v>5</v>
      </c>
      <c r="D4" s="7"/>
      <c r="F4" s="384" t="s">
        <v>30</v>
      </c>
      <c r="G4" s="386">
        <f>+summary!G4</f>
        <v>2.1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2.1</v>
      </c>
      <c r="H5" s="32"/>
    </row>
    <row r="6" spans="1:32" ht="6.95" customHeight="1" x14ac:dyDescent="0.2"/>
    <row r="7" spans="1:32" ht="12.95" customHeight="1" x14ac:dyDescent="0.2">
      <c r="A7" s="399" t="s">
        <v>162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154</v>
      </c>
    </row>
    <row r="12" spans="1:32" ht="13.5" customHeight="1" outlineLevel="1" x14ac:dyDescent="0.2">
      <c r="A12" s="499" t="s">
        <v>127</v>
      </c>
      <c r="B12" s="605">
        <f>+Calpine!D41</f>
        <v>41046.300000000003</v>
      </c>
      <c r="C12" s="368">
        <f>+B12/$G$4</f>
        <v>19545.857142857145</v>
      </c>
      <c r="D12" s="14">
        <f>+Calpine!D47</f>
        <v>106635</v>
      </c>
      <c r="E12" s="70">
        <f>+C12-D12</f>
        <v>-87089.142857142855</v>
      </c>
      <c r="F12" s="363">
        <f>+Calpine!A41</f>
        <v>37310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605">
        <f>+'Citizens-Griffith'!D41</f>
        <v>52311.7</v>
      </c>
      <c r="C13" s="367">
        <f>+B13/$G$4</f>
        <v>24910.333333333332</v>
      </c>
      <c r="D13" s="14">
        <f>+'Citizens-Griffith'!D48</f>
        <v>28601</v>
      </c>
      <c r="E13" s="70">
        <f>+C13-D13</f>
        <v>-3690.6666666666679</v>
      </c>
      <c r="F13" s="363">
        <f>+'Citizens-Griffith'!A41</f>
        <v>37310</v>
      </c>
      <c r="G13" s="203" t="s">
        <v>300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277</v>
      </c>
      <c r="B14" s="611">
        <f>+SWGasTrans!D41</f>
        <v>-22389.07</v>
      </c>
      <c r="C14" s="367">
        <f>+B14/G4</f>
        <v>-10661.461904761903</v>
      </c>
      <c r="D14" s="14">
        <f>+SWGasTrans!$D$48</f>
        <v>2269</v>
      </c>
      <c r="E14" s="70">
        <f>+C14-D14</f>
        <v>-12930.461904761903</v>
      </c>
      <c r="F14" s="363">
        <f>+SWGasTrans!A41</f>
        <v>37310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-265829.3</v>
      </c>
      <c r="C15" s="367">
        <f>+B15/$G$4</f>
        <v>-126585.38095238095</v>
      </c>
      <c r="D15" s="14">
        <f>+'NS Steel'!D50</f>
        <v>-1487</v>
      </c>
      <c r="E15" s="70">
        <f>+C15-D15</f>
        <v>-125098.38095238095</v>
      </c>
      <c r="F15" s="364">
        <f>+'NS Steel'!A41</f>
        <v>37310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9" t="s">
        <v>135</v>
      </c>
      <c r="B16" s="348">
        <f>+Citizens!D18</f>
        <v>-574798.09000000008</v>
      </c>
      <c r="C16" s="369">
        <f>+B16/$G$4</f>
        <v>-273713.37619047624</v>
      </c>
      <c r="D16" s="349">
        <f>+Citizens!D24</f>
        <v>-54536</v>
      </c>
      <c r="E16" s="72">
        <f>+C16-D16</f>
        <v>-219177.37619047624</v>
      </c>
      <c r="F16" s="363">
        <f>+Citizens!A18</f>
        <v>37310</v>
      </c>
      <c r="G16" s="203" t="s">
        <v>300</v>
      </c>
      <c r="H16" s="204" t="s">
        <v>99</v>
      </c>
      <c r="I16" s="418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7">
        <f>SUBTOTAL(9,B12:B16)</f>
        <v>-769658.46000000008</v>
      </c>
      <c r="C17" s="392">
        <f>SUBTOTAL(9,C12:C16)</f>
        <v>-366504.02857142861</v>
      </c>
      <c r="D17" s="393">
        <f>SUBTOTAL(9,D12:D16)</f>
        <v>81482</v>
      </c>
      <c r="E17" s="394">
        <f>SUBTOTAL(9,E12:E16)</f>
        <v>-447986.02857142861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610">
        <f>+transcol!$D$43</f>
        <v>22181.8</v>
      </c>
      <c r="C20" s="367">
        <f>+B20/$G$4</f>
        <v>10562.761904761905</v>
      </c>
      <c r="D20" s="14">
        <f>+transcol!D50</f>
        <v>-45252</v>
      </c>
      <c r="E20" s="70">
        <f>+C20-D20</f>
        <v>55814.761904761908</v>
      </c>
      <c r="F20" s="364">
        <f>+transcol!A43</f>
        <v>37310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9" t="s">
        <v>289</v>
      </c>
      <c r="B21" s="610">
        <f>+C21*G3</f>
        <v>71236.2</v>
      </c>
      <c r="C21" s="367">
        <f>+williams!J40</f>
        <v>33922</v>
      </c>
      <c r="D21" s="14">
        <f>+C21</f>
        <v>33922</v>
      </c>
      <c r="E21" s="70">
        <f>+C21-D21</f>
        <v>0</v>
      </c>
      <c r="F21" s="364">
        <f>+williams!A40</f>
        <v>37310</v>
      </c>
      <c r="G21" s="203" t="s">
        <v>153</v>
      </c>
      <c r="H21" s="32" t="s">
        <v>290</v>
      </c>
      <c r="I21" s="32"/>
      <c r="J21" s="32"/>
      <c r="K21" s="32"/>
      <c r="T21" s="259"/>
    </row>
    <row r="22" spans="1:20" ht="13.5" customHeight="1" outlineLevel="2" x14ac:dyDescent="0.2">
      <c r="A22" s="499" t="s">
        <v>95</v>
      </c>
      <c r="B22" s="612">
        <f>+burlington!D42</f>
        <v>-66359.86</v>
      </c>
      <c r="C22" s="371">
        <f>+B22/$G$3</f>
        <v>-31599.933333333331</v>
      </c>
      <c r="D22" s="349">
        <f>+burlington!D49</f>
        <v>-31882</v>
      </c>
      <c r="E22" s="72">
        <f>+C22-D22</f>
        <v>282.06666666666933</v>
      </c>
      <c r="F22" s="363">
        <f>+burlington!A42</f>
        <v>37310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7">
        <f>SUBTOTAL(9,B20:B22)</f>
        <v>27058.14</v>
      </c>
      <c r="C23" s="388">
        <f>SUBTOTAL(9,C20:C22)</f>
        <v>12884.828571428578</v>
      </c>
      <c r="D23" s="393">
        <f>SUBTOTAL(9,D20:D22)</f>
        <v>-43212</v>
      </c>
      <c r="E23" s="394">
        <f>SUBTOTAL(9,E20:E22)</f>
        <v>56096.828571428574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499" t="s">
        <v>87</v>
      </c>
      <c r="B26" s="614">
        <f>+NNG!$D$24</f>
        <v>13280.67</v>
      </c>
      <c r="C26" s="367">
        <f>+B26/$G$4</f>
        <v>6324.1285714285714</v>
      </c>
      <c r="D26" s="14">
        <f>+NNG!D34</f>
        <v>5672</v>
      </c>
      <c r="E26" s="70">
        <f t="shared" ref="E26:E48" si="0">+C26-D26</f>
        <v>652.12857142857138</v>
      </c>
      <c r="F26" s="363">
        <f>+NNG!A24</f>
        <v>37310</v>
      </c>
      <c r="G26" s="204" t="s">
        <v>299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614">
        <f>+Conoco!$F$41</f>
        <v>475187.14999999997</v>
      </c>
      <c r="C27" s="367">
        <f>+B27/$G$4</f>
        <v>226279.59523809521</v>
      </c>
      <c r="D27" s="14">
        <f>+Conoco!D48</f>
        <v>24955</v>
      </c>
      <c r="E27" s="70">
        <f t="shared" si="0"/>
        <v>201324.59523809521</v>
      </c>
      <c r="F27" s="363">
        <f>+Conoco!A41</f>
        <v>37310</v>
      </c>
      <c r="G27" s="32" t="s">
        <v>300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614">
        <f>+'Amoco Abo'!$F$43</f>
        <v>173778.53</v>
      </c>
      <c r="C28" s="367">
        <f>+B28/$G$4</f>
        <v>82751.68095238095</v>
      </c>
      <c r="D28" s="14">
        <f>+'Amoco Abo'!D49</f>
        <v>-358100</v>
      </c>
      <c r="E28" s="70">
        <f t="shared" si="0"/>
        <v>440851.68095238094</v>
      </c>
      <c r="F28" s="364">
        <f>+'Amoco Abo'!A43</f>
        <v>37310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614">
        <f>+KN_Westar!F41</f>
        <v>322455.8</v>
      </c>
      <c r="C29" s="367">
        <f>+B29/$G$4</f>
        <v>153550.38095238095</v>
      </c>
      <c r="D29" s="14">
        <f>+KN_Westar!D48</f>
        <v>-40346</v>
      </c>
      <c r="E29" s="70">
        <f t="shared" si="0"/>
        <v>193896.38095238095</v>
      </c>
      <c r="F29" s="364">
        <f>+KN_Westar!A41</f>
        <v>37306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9" t="s">
        <v>247</v>
      </c>
      <c r="B30" s="605">
        <f>+summary!B44</f>
        <v>-174989.20999999961</v>
      </c>
      <c r="C30" s="368">
        <f>+B30/$G$5</f>
        <v>-83328.195238095053</v>
      </c>
      <c r="D30" s="14">
        <f>+DEFS!$I$36+DEFS!$J$36+DEFS!$K$45+DEFS!$K$46+DEFS!$K$47+DEFS!$K$48+Duke!I53+Duke!I54+Duke!F40+Duke!G40+Duke!H40</f>
        <v>245448</v>
      </c>
      <c r="E30" s="70">
        <f t="shared" si="0"/>
        <v>-328776.19523809507</v>
      </c>
      <c r="F30" s="364">
        <f>+DEFS!A40</f>
        <v>37310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605">
        <f>+mewborne!$J$43</f>
        <v>323560.3</v>
      </c>
      <c r="C31" s="367">
        <f>+B31/$G$4</f>
        <v>154076.33333333331</v>
      </c>
      <c r="D31" s="14">
        <f>+mewborne!D49</f>
        <v>126982</v>
      </c>
      <c r="E31" s="70">
        <f t="shared" si="0"/>
        <v>27094.333333333314</v>
      </c>
      <c r="F31" s="364">
        <f>+mewborne!A43</f>
        <v>37310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8">
        <f>+PGETX!$H$39</f>
        <v>25570.800000000003</v>
      </c>
      <c r="C32" s="367">
        <f>+B32/$G$4</f>
        <v>12176.571428571429</v>
      </c>
      <c r="D32" s="14">
        <f>+PGETX!E48</f>
        <v>39954</v>
      </c>
      <c r="E32" s="70">
        <f t="shared" si="0"/>
        <v>-27777.428571428572</v>
      </c>
      <c r="F32" s="364">
        <f>+PGETX!E39</f>
        <v>37310</v>
      </c>
      <c r="G32" s="32" t="s">
        <v>301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605">
        <f>+PNM!$D$23</f>
        <v>855794.04</v>
      </c>
      <c r="C33" s="367">
        <f>+B33/$G$4</f>
        <v>407520.97142857144</v>
      </c>
      <c r="D33" s="14">
        <f>+PNM!D30</f>
        <v>349959</v>
      </c>
      <c r="E33" s="70">
        <f t="shared" si="0"/>
        <v>57561.971428571444</v>
      </c>
      <c r="F33" s="364">
        <f>+PNM!A23</f>
        <v>37310</v>
      </c>
      <c r="G33" s="32" t="s">
        <v>299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614">
        <f>+EOG!J41</f>
        <v>3470.41</v>
      </c>
      <c r="C34" s="367">
        <f>+B34/$G$4</f>
        <v>1652.5761904761903</v>
      </c>
      <c r="D34" s="14">
        <f>+EOG!D48</f>
        <v>-125980</v>
      </c>
      <c r="E34" s="70">
        <f t="shared" si="0"/>
        <v>127632.57619047619</v>
      </c>
      <c r="F34" s="363">
        <f>+EOG!A41</f>
        <v>37310</v>
      </c>
      <c r="G34" s="32" t="s">
        <v>299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614">
        <f>+Oasis!D40</f>
        <v>17956.329999999998</v>
      </c>
      <c r="C35" s="367">
        <f>+B35/G5</f>
        <v>8550.6333333333314</v>
      </c>
      <c r="D35" s="14">
        <f>+Oasis!D47</f>
        <v>6545</v>
      </c>
      <c r="E35" s="70">
        <f>+C35-D35</f>
        <v>2005.6333333333314</v>
      </c>
      <c r="F35" s="363">
        <f>+Oasis!A40</f>
        <v>37310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614">
        <f>+SidR!D41</f>
        <v>8153.64</v>
      </c>
      <c r="C36" s="367">
        <f>+B36/$G$5</f>
        <v>3882.6857142857143</v>
      </c>
      <c r="D36" s="14">
        <f>+SidR!D48</f>
        <v>3705</v>
      </c>
      <c r="E36" s="70">
        <f t="shared" si="0"/>
        <v>177.68571428571431</v>
      </c>
      <c r="F36" s="364">
        <f>+SidR!A41</f>
        <v>37310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9" t="s">
        <v>257</v>
      </c>
      <c r="B37" s="611">
        <f>+MiVida_Rich!D41</f>
        <v>-192285.66</v>
      </c>
      <c r="C37" s="367">
        <f>+B37/$G$5</f>
        <v>-91564.599999999991</v>
      </c>
      <c r="D37" s="14">
        <f>+MiVida_Rich!D48</f>
        <v>-45949</v>
      </c>
      <c r="E37" s="70">
        <f>+C37-D37</f>
        <v>-45615.599999999991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605">
        <f>+Dominion!D41</f>
        <v>172724.14</v>
      </c>
      <c r="C38" s="367">
        <f>+B38/$G$5</f>
        <v>82249.590476190482</v>
      </c>
      <c r="D38" s="14">
        <f>+Dominion!D48</f>
        <v>75500</v>
      </c>
      <c r="E38" s="70">
        <f t="shared" si="0"/>
        <v>6749.5904761904821</v>
      </c>
      <c r="F38" s="364">
        <f>+Dominion!A41</f>
        <v>37310</v>
      </c>
      <c r="G38" s="203" t="s">
        <v>299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611">
        <f>+WTGmktg!J43</f>
        <v>-27185.369999999995</v>
      </c>
      <c r="C39" s="367">
        <f>+B39/$G$4</f>
        <v>-12945.414285714283</v>
      </c>
      <c r="D39" s="14">
        <f>+WTGmktg!D50</f>
        <v>537</v>
      </c>
      <c r="E39" s="70">
        <f t="shared" si="0"/>
        <v>-13482.414285714283</v>
      </c>
      <c r="F39" s="364">
        <f>+WTGmktg!A43</f>
        <v>37310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280</v>
      </c>
      <c r="B40" s="345">
        <f>+'WTG inc'!N43</f>
        <v>21368.61</v>
      </c>
      <c r="C40" s="367">
        <f>+B40/G4</f>
        <v>10175.528571428571</v>
      </c>
      <c r="D40" s="14">
        <f>+'WTG inc'!D50</f>
        <v>6737</v>
      </c>
      <c r="E40" s="70">
        <f>+C40-D40</f>
        <v>3438.528571428571</v>
      </c>
      <c r="F40" s="364">
        <f>+'WTG inc'!A43</f>
        <v>37307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611">
        <f>+Devon!D41</f>
        <v>-3966.9</v>
      </c>
      <c r="C41" s="367">
        <f>+B41/$G$5</f>
        <v>-1889</v>
      </c>
      <c r="D41" s="14">
        <f>+Devon!D48</f>
        <v>-1889</v>
      </c>
      <c r="E41" s="70">
        <f t="shared" si="0"/>
        <v>0</v>
      </c>
      <c r="F41" s="364">
        <f>+Devon!A41</f>
        <v>37310</v>
      </c>
      <c r="G41" s="203" t="s">
        <v>300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5">
        <f>+crosstex!F41</f>
        <v>-125350.09000000001</v>
      </c>
      <c r="C42" s="367">
        <f>+B42/$G$4</f>
        <v>-59690.519047619047</v>
      </c>
      <c r="D42" s="14">
        <f>+crosstex!D48</f>
        <v>-37040</v>
      </c>
      <c r="E42" s="70">
        <f t="shared" si="0"/>
        <v>-22650.519047619047</v>
      </c>
      <c r="F42" s="364">
        <f>+crosstex!A41</f>
        <v>37310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605">
        <f>+Amarillo!P41</f>
        <v>113385.98</v>
      </c>
      <c r="C43" s="367">
        <f>+B43/$G$4</f>
        <v>53993.323809523805</v>
      </c>
      <c r="D43" s="14">
        <f>+Amarillo!D48</f>
        <v>48288</v>
      </c>
      <c r="E43" s="70">
        <f t="shared" si="0"/>
        <v>5705.3238095238048</v>
      </c>
      <c r="F43" s="364">
        <f>+Amarillo!A41</f>
        <v>37307</v>
      </c>
      <c r="G43" s="203" t="s">
        <v>300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295</v>
      </c>
      <c r="B44" s="605">
        <f>+Stratland!$D$41</f>
        <v>48490.31</v>
      </c>
      <c r="C44" s="368">
        <f>+B44/$G$4</f>
        <v>23090.623809523808</v>
      </c>
      <c r="D44" s="14">
        <f>+Stratland!D48</f>
        <v>17403</v>
      </c>
      <c r="E44" s="70">
        <f>+C44-D44</f>
        <v>5687.6238095238077</v>
      </c>
      <c r="F44" s="363">
        <f>+Stratland!A41</f>
        <v>37287</v>
      </c>
      <c r="G44" s="203" t="s">
        <v>299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306</v>
      </c>
      <c r="B45" s="605">
        <f>+Plains!$N$43</f>
        <v>63241.56</v>
      </c>
      <c r="C45" s="608">
        <f>+B45/$G$4</f>
        <v>30115.028571428567</v>
      </c>
      <c r="D45" s="14">
        <f>+Plains!D50</f>
        <v>22284</v>
      </c>
      <c r="E45" s="70">
        <f>+C45-D45</f>
        <v>7831.0285714285674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605">
        <f>+Continental!F43</f>
        <v>48225.240000000005</v>
      </c>
      <c r="C46" s="368">
        <f>+B46/$G$4</f>
        <v>22964.400000000001</v>
      </c>
      <c r="D46" s="14">
        <f>+Continental!D50</f>
        <v>7169</v>
      </c>
      <c r="E46" s="70">
        <f t="shared" si="0"/>
        <v>15795.400000000001</v>
      </c>
      <c r="F46" s="364">
        <f>+Continental!A43</f>
        <v>37310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605">
        <f>+EPFS!D41</f>
        <v>161681.60000000001</v>
      </c>
      <c r="C47" s="368">
        <f>+B47/$G$5</f>
        <v>76991.238095238092</v>
      </c>
      <c r="D47" s="14">
        <f>+EPFS!D47</f>
        <v>91168</v>
      </c>
      <c r="E47" s="70">
        <f t="shared" si="0"/>
        <v>-14176.761904761908</v>
      </c>
      <c r="F47" s="363">
        <f>+EPFS!A41</f>
        <v>37310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9" t="s">
        <v>79</v>
      </c>
      <c r="B48" s="607">
        <f>+Agave!$D$24</f>
        <v>117918.84</v>
      </c>
      <c r="C48" s="369">
        <f>+B48/$G$4</f>
        <v>56151.828571428567</v>
      </c>
      <c r="D48" s="349">
        <f>+Agave!D31</f>
        <v>68891</v>
      </c>
      <c r="E48" s="72">
        <f t="shared" si="0"/>
        <v>-12739.171428571433</v>
      </c>
      <c r="F48" s="363">
        <f>+Agave!A24</f>
        <v>37310</v>
      </c>
      <c r="G48" s="203" t="s">
        <v>300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7">
        <f>SUBTOTAL(9,B26:B48)</f>
        <v>2442466.7200000007</v>
      </c>
      <c r="C49" s="392">
        <f>SUBTOTAL(9,C26:C48)</f>
        <v>1163079.3904761905</v>
      </c>
      <c r="D49" s="393">
        <f>SUBTOTAL(9,D26:D48)</f>
        <v>531893</v>
      </c>
      <c r="E49" s="394">
        <f>SUBTOTAL(9,E26:E48)</f>
        <v>631186.3904761906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7">
        <f>SUBTOTAL(9,B12:B48)</f>
        <v>1699866.4000000004</v>
      </c>
      <c r="C51" s="392">
        <f>SUBTOTAL(9,C12:C48)</f>
        <v>809460.19047619053</v>
      </c>
      <c r="D51" s="393">
        <f>SUBTOTAL(9,D12:D48)</f>
        <v>570163</v>
      </c>
      <c r="E51" s="394">
        <f>SUBTOTAL(9,E12:E48)</f>
        <v>239297.19047619056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+G3</f>
        <v>2.1</v>
      </c>
      <c r="H57" s="401">
        <f ca="1">NOW()</f>
        <v>37312.699731597226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4" t="s">
        <v>30</v>
      </c>
      <c r="G58" s="386">
        <f>+G4</f>
        <v>2.1</v>
      </c>
      <c r="H58" s="32"/>
    </row>
    <row r="59" spans="1:19" ht="13.5" customHeight="1" outlineLevel="1" x14ac:dyDescent="0.2">
      <c r="D59" s="7"/>
      <c r="F59" s="383" t="s">
        <v>117</v>
      </c>
      <c r="G59" s="386">
        <f>+G5</f>
        <v>2.1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163</v>
      </c>
      <c r="B61" s="400"/>
      <c r="E61" s="12" t="s">
        <v>196</v>
      </c>
    </row>
    <row r="62" spans="1:19" ht="13.5" customHeight="1" outlineLevel="2" x14ac:dyDescent="0.2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0">
        <f>+Mojave!D40</f>
        <v>150734</v>
      </c>
      <c r="C66" s="605">
        <f>+B66*$G$4</f>
        <v>316541.40000000002</v>
      </c>
      <c r="D66" s="47">
        <f>+Mojave!D47</f>
        <v>124203.5</v>
      </c>
      <c r="E66" s="47">
        <f>+C66-D66</f>
        <v>192337.90000000002</v>
      </c>
      <c r="F66" s="364">
        <f>+Mojave!A40</f>
        <v>37310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69762</v>
      </c>
      <c r="C67" s="605">
        <f>+B67*$G$4</f>
        <v>146500.20000000001</v>
      </c>
      <c r="D67" s="47">
        <f>+SoCal!D47</f>
        <v>259343</v>
      </c>
      <c r="E67" s="47">
        <f>+C67-D67</f>
        <v>-112842.79999999999</v>
      </c>
      <c r="F67" s="364">
        <f>+SoCal!A40</f>
        <v>37310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7">
        <f>+'El Paso'!C39</f>
        <v>64269</v>
      </c>
      <c r="C68" s="605">
        <f>+B68*$G$4</f>
        <v>134964.9</v>
      </c>
      <c r="D68" s="47">
        <f>+'El Paso'!C46</f>
        <v>-1582961.01</v>
      </c>
      <c r="E68" s="47">
        <f>+C68-D68</f>
        <v>1717925.91</v>
      </c>
      <c r="F68" s="364">
        <f>+'El Paso'!A39</f>
        <v>37310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45057</v>
      </c>
      <c r="C69" s="607">
        <f>+B69*$G$4</f>
        <v>94619.7</v>
      </c>
      <c r="D69" s="348">
        <f>+'PG&amp;E'!D47</f>
        <v>-109365.5</v>
      </c>
      <c r="E69" s="348">
        <f>+C69-D69</f>
        <v>203985.2</v>
      </c>
      <c r="F69" s="364">
        <f>+'PG&amp;E'!A40</f>
        <v>37310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2">
        <f>SUBTOTAL(9,B66:B69)</f>
        <v>329822</v>
      </c>
      <c r="C70" s="387">
        <f>SUBTOTAL(9,C66:C69)</f>
        <v>692626.2</v>
      </c>
      <c r="D70" s="387">
        <f>SUBTOTAL(9,D66:D69)</f>
        <v>-1308780.01</v>
      </c>
      <c r="E70" s="387">
        <f>SUBTOTAL(9,E66:E69)</f>
        <v>2001406.21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64740</v>
      </c>
      <c r="C73" s="606">
        <f>+B73*G57</f>
        <v>135954</v>
      </c>
      <c r="D73" s="200">
        <f>+'Red C'!D52</f>
        <v>482056.8</v>
      </c>
      <c r="E73" s="47">
        <f>+C73-D73</f>
        <v>-346102.8</v>
      </c>
      <c r="F73" s="363">
        <f>+'Red C'!A45</f>
        <v>37310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288</v>
      </c>
      <c r="B74" s="367">
        <f>+Amoco!D40</f>
        <v>-1160</v>
      </c>
      <c r="C74" s="611">
        <f>+B74*$G$3</f>
        <v>-2436</v>
      </c>
      <c r="D74" s="47">
        <f>+Amoco!D47</f>
        <v>332831.8</v>
      </c>
      <c r="E74" s="47">
        <f>+C74-D74</f>
        <v>-335267.8</v>
      </c>
      <c r="F74" s="364">
        <f>+Amoco!A40</f>
        <v>37310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7">
        <f>+'El Paso'!E39</f>
        <v>-68008</v>
      </c>
      <c r="C75" s="605">
        <f>+B75*$G$3</f>
        <v>-142816.80000000002</v>
      </c>
      <c r="D75" s="47">
        <f>+'El Paso'!F46</f>
        <v>-657254.01</v>
      </c>
      <c r="E75" s="47">
        <f>+C75-D75</f>
        <v>514437.20999999996</v>
      </c>
      <c r="F75" s="364">
        <f>+'El Paso'!A39</f>
        <v>37310</v>
      </c>
      <c r="G75" s="419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-18110</v>
      </c>
      <c r="C76" s="612">
        <f>+B76*$G$3</f>
        <v>-38031</v>
      </c>
      <c r="D76" s="348">
        <f>+NW!E49</f>
        <v>-498095.88</v>
      </c>
      <c r="E76" s="348">
        <f>+C76-D76</f>
        <v>460064.88</v>
      </c>
      <c r="F76" s="363">
        <f>+NW!B41</f>
        <v>37310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2">
        <f>SUBTOTAL(9,B73:B76)</f>
        <v>-22538</v>
      </c>
      <c r="C77" s="387">
        <f>SUBTOTAL(9,C73:C76)</f>
        <v>-47329.800000000017</v>
      </c>
      <c r="D77" s="387">
        <f>SUBTOTAL(9,D73:D76)</f>
        <v>-340461.29000000004</v>
      </c>
      <c r="E77" s="387">
        <f>SUBTOTAL(9,E73:E76)</f>
        <v>293131.49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158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64793</v>
      </c>
      <c r="C80" s="605">
        <f>+B80*$G$5</f>
        <v>136065.30000000002</v>
      </c>
      <c r="D80" s="47">
        <f>+NGPL!D45</f>
        <v>187354.24999999997</v>
      </c>
      <c r="E80" s="47">
        <f>+C80-D80</f>
        <v>-51288.949999999953</v>
      </c>
      <c r="F80" s="364">
        <f>+NGPL!A38</f>
        <v>37310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11584</v>
      </c>
      <c r="C81" s="606">
        <f>+B81*$G$4</f>
        <v>24326.400000000001</v>
      </c>
      <c r="D81" s="47">
        <f>+PEPL!D47</f>
        <v>169816.2</v>
      </c>
      <c r="E81" s="47">
        <f>+C81-D81</f>
        <v>-145489.80000000002</v>
      </c>
      <c r="F81" s="364">
        <f>+PEPL!A41</f>
        <v>37310</v>
      </c>
      <c r="G81" s="32" t="s">
        <v>300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606">
        <f>+B82*$G$4</f>
        <v>36932.700000000004</v>
      </c>
      <c r="D82" s="200">
        <f>+CIG!D49</f>
        <v>385897</v>
      </c>
      <c r="E82" s="70">
        <f>+C82-D82</f>
        <v>-348964.3</v>
      </c>
      <c r="F82" s="364">
        <f>+CIG!A42</f>
        <v>37310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1">
        <f>+Lonestar!F43</f>
        <v>35486</v>
      </c>
      <c r="C83" s="607">
        <f>+B83*G59</f>
        <v>74520.600000000006</v>
      </c>
      <c r="D83" s="348">
        <f>+Lonestar!D50</f>
        <v>72734.960000000006</v>
      </c>
      <c r="E83" s="348">
        <f>+C83-D83</f>
        <v>1785.6399999999994</v>
      </c>
      <c r="F83" s="363">
        <f>+Lonestar!A43</f>
        <v>37310</v>
      </c>
      <c r="G83" s="32" t="s">
        <v>300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8">
        <f>SUBTOTAL(9,B80:B83)</f>
        <v>129450</v>
      </c>
      <c r="C84" s="387">
        <f>SUBTOTAL(9,C80:C83)</f>
        <v>271845</v>
      </c>
      <c r="D84" s="387">
        <f>SUBTOTAL(9,D80:D83)</f>
        <v>815802.40999999992</v>
      </c>
      <c r="E84" s="387">
        <f>SUBTOTAL(9,E80:E83)</f>
        <v>-543957.40999999992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8">
        <f>SUBTOTAL(9,B66:B83)</f>
        <v>436734</v>
      </c>
      <c r="C86" s="387">
        <f>SUBTOTAL(9,C66:C83)</f>
        <v>917141.39999999991</v>
      </c>
      <c r="D86" s="387">
        <f>SUBTOTAL(9,D66:D83)</f>
        <v>-833438.8899999999</v>
      </c>
      <c r="E86" s="387">
        <f>SUBTOTAL(9,E66:E83)</f>
        <v>1750580.29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5">
        <f>+C86+B51</f>
        <v>2617007.8000000003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1246194.1904761905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5" workbookViewId="0">
      <selection activeCell="B41" sqref="B41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162193</v>
      </c>
      <c r="C7" s="410">
        <v>159898</v>
      </c>
      <c r="D7" s="307">
        <f>+C7-B7</f>
        <v>-2295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>
        <v>157916</v>
      </c>
      <c r="C17" s="410">
        <v>154251</v>
      </c>
      <c r="D17" s="307">
        <f t="shared" si="0"/>
        <v>-3665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>
        <v>152043</v>
      </c>
      <c r="C18" s="410">
        <v>149527</v>
      </c>
      <c r="D18" s="307">
        <f t="shared" si="0"/>
        <v>-2516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>
        <v>159460</v>
      </c>
      <c r="C19" s="410">
        <v>159170</v>
      </c>
      <c r="D19" s="307">
        <f t="shared" si="0"/>
        <v>-290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>
        <v>151954</v>
      </c>
      <c r="C20" s="410">
        <v>156660</v>
      </c>
      <c r="D20" s="307">
        <f t="shared" si="0"/>
        <v>4706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>
        <v>161371</v>
      </c>
      <c r="C21" s="410">
        <v>161663</v>
      </c>
      <c r="D21" s="307">
        <f t="shared" si="0"/>
        <v>292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>
        <v>163543</v>
      </c>
      <c r="C22" s="410">
        <v>162791</v>
      </c>
      <c r="D22" s="307">
        <f t="shared" si="0"/>
        <v>-752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>
        <v>160795</v>
      </c>
      <c r="C23" s="410">
        <v>162790</v>
      </c>
      <c r="D23" s="307">
        <f t="shared" si="0"/>
        <v>1995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>
        <v>152695</v>
      </c>
      <c r="C24" s="436">
        <v>152757</v>
      </c>
      <c r="D24" s="481">
        <f t="shared" si="0"/>
        <v>62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>
        <v>153119</v>
      </c>
      <c r="C25" s="436">
        <v>152756</v>
      </c>
      <c r="D25" s="481">
        <f t="shared" si="0"/>
        <v>-363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>
        <v>152740</v>
      </c>
      <c r="C26" s="436">
        <v>157125</v>
      </c>
      <c r="D26" s="481">
        <f t="shared" si="0"/>
        <v>4385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>
        <v>159107</v>
      </c>
      <c r="C27" s="436">
        <v>157125</v>
      </c>
      <c r="D27" s="481">
        <f t="shared" si="0"/>
        <v>-1982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>
        <v>156236</v>
      </c>
      <c r="C28" s="436">
        <v>157125</v>
      </c>
      <c r="D28" s="481">
        <f t="shared" si="0"/>
        <v>889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/>
      <c r="C29" s="436"/>
      <c r="D29" s="481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/>
      <c r="C30" s="436"/>
      <c r="D30" s="481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3591303</v>
      </c>
      <c r="C37" s="410">
        <f>SUM(C6:C36)</f>
        <v>3595191</v>
      </c>
      <c r="D37" s="410">
        <f>SUM(D6:D36)</f>
        <v>3888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4"/>
      <c r="D39" s="486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37310</v>
      </c>
      <c r="B40" s="285"/>
      <c r="C40" s="435"/>
      <c r="D40" s="307">
        <f>+D39+D37</f>
        <v>-1160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87">
        <v>324667</v>
      </c>
    </row>
    <row r="46" spans="1:16" x14ac:dyDescent="0.2">
      <c r="A46" s="49">
        <f>+A40</f>
        <v>37310</v>
      </c>
      <c r="B46" s="32"/>
      <c r="C46" s="32"/>
      <c r="D46" s="374">
        <f>+D37*'by type_area'!G3</f>
        <v>8164.8</v>
      </c>
    </row>
    <row r="47" spans="1:16" x14ac:dyDescent="0.2">
      <c r="A47" s="32"/>
      <c r="B47" s="32"/>
      <c r="C47" s="32"/>
      <c r="D47" s="200">
        <f>+D46+D45</f>
        <v>332831.8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2" workbookViewId="0">
      <selection activeCell="C28" sqref="C28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-16324</v>
      </c>
      <c r="C17" s="24">
        <v>-16000</v>
      </c>
      <c r="D17" s="24">
        <f t="shared" si="0"/>
        <v>324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-23772</v>
      </c>
      <c r="C18" s="24">
        <v>-23741</v>
      </c>
      <c r="D18" s="24">
        <f t="shared" si="0"/>
        <v>31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-15589</v>
      </c>
      <c r="C19" s="24">
        <v>-15000</v>
      </c>
      <c r="D19" s="24">
        <f t="shared" si="0"/>
        <v>589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-14045</v>
      </c>
      <c r="C20" s="24">
        <v>-14000</v>
      </c>
      <c r="D20" s="24">
        <f t="shared" si="0"/>
        <v>45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-15357</v>
      </c>
      <c r="C21" s="24">
        <v>-14000</v>
      </c>
      <c r="D21" s="24">
        <f t="shared" si="0"/>
        <v>1357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-14292</v>
      </c>
      <c r="C22" s="24">
        <v>-14000</v>
      </c>
      <c r="D22" s="24">
        <f t="shared" si="0"/>
        <v>292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-14173</v>
      </c>
      <c r="C23" s="24">
        <v>-14000</v>
      </c>
      <c r="D23" s="24">
        <f t="shared" si="0"/>
        <v>173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-1</v>
      </c>
      <c r="C24" s="24"/>
      <c r="D24" s="24">
        <f t="shared" si="0"/>
        <v>1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-57134</v>
      </c>
      <c r="C25" s="24">
        <v>-58600</v>
      </c>
      <c r="D25" s="24">
        <f t="shared" si="0"/>
        <v>-1466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-30029</v>
      </c>
      <c r="C26" s="24">
        <v>-30000</v>
      </c>
      <c r="D26" s="24">
        <f t="shared" si="0"/>
        <v>29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-42012</v>
      </c>
      <c r="C27" s="24">
        <v>-41600</v>
      </c>
      <c r="D27" s="24">
        <f t="shared" si="0"/>
        <v>412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-329331</v>
      </c>
      <c r="C36" s="24">
        <f>SUM(C5:C35)</f>
        <v>-330340</v>
      </c>
      <c r="D36" s="24">
        <f t="shared" si="0"/>
        <v>-1009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2.1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-2118.9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490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37310</v>
      </c>
      <c r="B40"/>
      <c r="C40" s="48"/>
      <c r="D40" s="138">
        <f>+D39+D38</f>
        <v>17956.329999999998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485">
        <v>7554</v>
      </c>
    </row>
    <row r="46" spans="1:65" x14ac:dyDescent="0.2">
      <c r="A46" s="49">
        <f>+A40</f>
        <v>37310</v>
      </c>
      <c r="B46" s="32"/>
      <c r="C46" s="32"/>
      <c r="D46" s="349">
        <f>+D36</f>
        <v>-1009</v>
      </c>
    </row>
    <row r="47" spans="1:65" x14ac:dyDescent="0.2">
      <c r="A47" s="32"/>
      <c r="B47" s="32"/>
      <c r="C47" s="32"/>
      <c r="D47" s="14">
        <f>+D46+D45</f>
        <v>6545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10" sqref="C10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743786</v>
      </c>
      <c r="C5" s="90">
        <v>769530</v>
      </c>
      <c r="D5" s="90">
        <f>+C5-B5</f>
        <v>25744</v>
      </c>
      <c r="E5" s="275"/>
      <c r="F5" s="273"/>
    </row>
    <row r="6" spans="1:13" x14ac:dyDescent="0.2">
      <c r="A6" s="87">
        <v>78311</v>
      </c>
      <c r="B6" s="90">
        <f>212279+10600+11892+13007+11964+11345</f>
        <v>271087</v>
      </c>
      <c r="C6" s="90">
        <v>262600</v>
      </c>
      <c r="D6" s="90">
        <f t="shared" ref="D6:D17" si="0">+C6-B6</f>
        <v>-8487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732382</v>
      </c>
      <c r="C7" s="90">
        <v>857357</v>
      </c>
      <c r="D7" s="90">
        <f t="shared" si="0"/>
        <v>124975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851706</v>
      </c>
      <c r="C8" s="90">
        <v>765343</v>
      </c>
      <c r="D8" s="90">
        <f t="shared" si="0"/>
        <v>-86363</v>
      </c>
      <c r="E8" s="455"/>
      <c r="F8" s="273"/>
    </row>
    <row r="9" spans="1:13" x14ac:dyDescent="0.2">
      <c r="A9" s="87">
        <v>500293</v>
      </c>
      <c r="B9" s="90">
        <f>313636+15726+16374+16282+16545+15874</f>
        <v>394437</v>
      </c>
      <c r="C9" s="90">
        <v>466370</v>
      </c>
      <c r="D9" s="90">
        <f t="shared" si="0"/>
        <v>71933</v>
      </c>
      <c r="E9" s="275"/>
      <c r="F9" s="273"/>
    </row>
    <row r="10" spans="1:13" x14ac:dyDescent="0.2">
      <c r="A10" s="87">
        <v>500302</v>
      </c>
      <c r="B10" s="90"/>
      <c r="C10" s="90">
        <v>7269</v>
      </c>
      <c r="D10" s="90">
        <f t="shared" si="0"/>
        <v>7269</v>
      </c>
      <c r="E10" s="275"/>
      <c r="F10" s="273"/>
    </row>
    <row r="11" spans="1:13" x14ac:dyDescent="0.2">
      <c r="A11" s="87">
        <v>500303</v>
      </c>
      <c r="B11" s="90"/>
      <c r="C11" s="90">
        <v>21505</v>
      </c>
      <c r="D11" s="90">
        <f t="shared" si="0"/>
        <v>21505</v>
      </c>
      <c r="E11" s="275"/>
      <c r="F11" s="273"/>
    </row>
    <row r="12" spans="1:13" x14ac:dyDescent="0.2">
      <c r="A12" s="91">
        <v>500305</v>
      </c>
      <c r="B12" s="90">
        <v>1131277</v>
      </c>
      <c r="C12" s="90">
        <v>1211948</v>
      </c>
      <c r="D12" s="90">
        <f t="shared" si="0"/>
        <v>80671</v>
      </c>
      <c r="E12" s="276"/>
      <c r="F12" s="465"/>
      <c r="G12" s="90"/>
    </row>
    <row r="13" spans="1:13" x14ac:dyDescent="0.2">
      <c r="A13" s="87">
        <v>500307</v>
      </c>
      <c r="B13" s="90">
        <f>59494+3199+3101+3206+3195+3202</f>
        <v>75397</v>
      </c>
      <c r="C13" s="90">
        <v>46982</v>
      </c>
      <c r="D13" s="90">
        <f t="shared" si="0"/>
        <v>-28415</v>
      </c>
      <c r="E13" s="275"/>
      <c r="F13" s="273"/>
    </row>
    <row r="14" spans="1:13" x14ac:dyDescent="0.2">
      <c r="A14" s="87">
        <v>500313</v>
      </c>
      <c r="B14" s="90"/>
      <c r="C14" s="90">
        <v>2230</v>
      </c>
      <c r="D14" s="90">
        <f t="shared" si="0"/>
        <v>2230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168654</v>
      </c>
      <c r="C16" s="90"/>
      <c r="D16" s="90">
        <f t="shared" si="0"/>
        <v>-168654</v>
      </c>
      <c r="E16" s="275"/>
      <c r="F16" s="273"/>
    </row>
    <row r="17" spans="1:7" x14ac:dyDescent="0.2">
      <c r="A17" s="87">
        <v>500657</v>
      </c>
      <c r="B17" s="88">
        <v>90713</v>
      </c>
      <c r="C17" s="88">
        <v>46544</v>
      </c>
      <c r="D17" s="94">
        <f t="shared" si="0"/>
        <v>-44169</v>
      </c>
      <c r="E17" s="275"/>
      <c r="F17" s="273"/>
      <c r="G17" s="557"/>
    </row>
    <row r="18" spans="1:7" x14ac:dyDescent="0.2">
      <c r="A18" s="87"/>
      <c r="B18" s="88"/>
      <c r="C18" s="88"/>
      <c r="D18" s="88">
        <f>SUM(D5:D17)</f>
        <v>-1761</v>
      </c>
      <c r="E18" s="275"/>
      <c r="F18" s="465"/>
    </row>
    <row r="19" spans="1:7" x14ac:dyDescent="0.2">
      <c r="A19" s="87" t="s">
        <v>81</v>
      </c>
      <c r="B19" s="88"/>
      <c r="C19" s="88"/>
      <c r="D19" s="95">
        <f>+summary!G5</f>
        <v>2.1</v>
      </c>
      <c r="E19" s="277"/>
      <c r="F19" s="465"/>
    </row>
    <row r="20" spans="1:7" x14ac:dyDescent="0.2">
      <c r="A20" s="87"/>
      <c r="B20" s="88"/>
      <c r="C20" s="88"/>
      <c r="D20" s="96">
        <f>+D19*D18</f>
        <v>-3698.1000000000004</v>
      </c>
      <c r="E20" s="207"/>
      <c r="F20" s="465"/>
    </row>
    <row r="21" spans="1:7" x14ac:dyDescent="0.2">
      <c r="A21" s="87"/>
      <c r="B21" s="88"/>
      <c r="C21" s="88"/>
      <c r="D21" s="96"/>
      <c r="E21" s="207"/>
      <c r="F21" s="201"/>
    </row>
    <row r="22" spans="1:7" x14ac:dyDescent="0.2">
      <c r="A22" s="99">
        <v>37287</v>
      </c>
      <c r="B22" s="88"/>
      <c r="C22" s="88"/>
      <c r="D22" s="582">
        <v>121616.94</v>
      </c>
      <c r="E22" s="207"/>
      <c r="F22" s="466"/>
    </row>
    <row r="23" spans="1:7" x14ac:dyDescent="0.2">
      <c r="A23" s="87"/>
      <c r="B23" s="88"/>
      <c r="C23" s="88"/>
      <c r="D23" s="308"/>
      <c r="E23" s="207"/>
      <c r="F23" s="466"/>
    </row>
    <row r="24" spans="1:7" ht="13.5" thickBot="1" x14ac:dyDescent="0.25">
      <c r="A24" s="99">
        <v>37310</v>
      </c>
      <c r="B24" s="88"/>
      <c r="C24" s="88"/>
      <c r="D24" s="318">
        <f>+D22+D20</f>
        <v>117918.84</v>
      </c>
      <c r="E24" s="207"/>
      <c r="F24" s="466"/>
    </row>
    <row r="25" spans="1:7" ht="13.5" thickTop="1" x14ac:dyDescent="0.2">
      <c r="E25" s="278"/>
    </row>
    <row r="28" spans="1:7" x14ac:dyDescent="0.2">
      <c r="A28" s="32" t="s">
        <v>148</v>
      </c>
      <c r="B28" s="32"/>
      <c r="C28" s="32"/>
      <c r="D28" s="32"/>
      <c r="E28" s="344"/>
    </row>
    <row r="29" spans="1:7" x14ac:dyDescent="0.2">
      <c r="A29" s="49">
        <f>+A22</f>
        <v>37287</v>
      </c>
      <c r="B29" s="32"/>
      <c r="C29" s="32"/>
      <c r="D29" s="567">
        <v>70652</v>
      </c>
    </row>
    <row r="30" spans="1:7" x14ac:dyDescent="0.2">
      <c r="A30" s="49">
        <f>+A24</f>
        <v>37310</v>
      </c>
      <c r="B30" s="32"/>
      <c r="C30" s="32"/>
      <c r="D30" s="349">
        <f>+D18</f>
        <v>-1761</v>
      </c>
    </row>
    <row r="31" spans="1:7" x14ac:dyDescent="0.2">
      <c r="A31" s="32"/>
      <c r="B31" s="32"/>
      <c r="C31" s="32"/>
      <c r="D31" s="14">
        <f>+D30+D29</f>
        <v>68891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2" workbookViewId="0">
      <selection activeCell="B25" sqref="B25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>
        <v>34768</v>
      </c>
      <c r="C15" s="11">
        <v>37555</v>
      </c>
      <c r="D15" s="11">
        <v>31799</v>
      </c>
      <c r="E15" s="11">
        <v>28000</v>
      </c>
      <c r="F15" s="25">
        <f t="shared" si="2"/>
        <v>-1012</v>
      </c>
      <c r="G15" s="25"/>
    </row>
    <row r="16" spans="1:14" x14ac:dyDescent="0.2">
      <c r="A16" s="41">
        <v>13</v>
      </c>
      <c r="B16" s="11">
        <v>32840</v>
      </c>
      <c r="C16" s="11">
        <v>37555</v>
      </c>
      <c r="D16" s="11">
        <v>32905</v>
      </c>
      <c r="E16" s="11">
        <v>28000</v>
      </c>
      <c r="F16" s="25">
        <f t="shared" si="2"/>
        <v>-190</v>
      </c>
      <c r="G16" s="25"/>
    </row>
    <row r="17" spans="1:7" x14ac:dyDescent="0.2">
      <c r="A17" s="41">
        <v>14</v>
      </c>
      <c r="B17" s="11">
        <v>39757</v>
      </c>
      <c r="C17" s="11">
        <v>40146</v>
      </c>
      <c r="D17" s="11">
        <v>32995</v>
      </c>
      <c r="E17" s="11">
        <v>30000</v>
      </c>
      <c r="F17" s="25">
        <f t="shared" si="2"/>
        <v>-2606</v>
      </c>
      <c r="G17" s="25"/>
    </row>
    <row r="18" spans="1:7" x14ac:dyDescent="0.2">
      <c r="A18" s="41">
        <v>15</v>
      </c>
      <c r="B18" s="11">
        <v>39667</v>
      </c>
      <c r="C18" s="11">
        <v>39089</v>
      </c>
      <c r="D18" s="11">
        <v>30543</v>
      </c>
      <c r="E18" s="11">
        <v>31023</v>
      </c>
      <c r="F18" s="25">
        <f t="shared" si="2"/>
        <v>-98</v>
      </c>
      <c r="G18" s="25"/>
    </row>
    <row r="19" spans="1:7" x14ac:dyDescent="0.2">
      <c r="A19" s="41">
        <v>16</v>
      </c>
      <c r="B19" s="11">
        <v>35987</v>
      </c>
      <c r="C19" s="11">
        <v>39089</v>
      </c>
      <c r="D19" s="11">
        <v>31473</v>
      </c>
      <c r="E19" s="11">
        <v>31023</v>
      </c>
      <c r="F19" s="25">
        <f t="shared" si="2"/>
        <v>2652</v>
      </c>
      <c r="G19" s="25"/>
    </row>
    <row r="20" spans="1:7" x14ac:dyDescent="0.2">
      <c r="A20" s="41">
        <v>17</v>
      </c>
      <c r="B20" s="11">
        <v>36447</v>
      </c>
      <c r="C20" s="11">
        <v>39089</v>
      </c>
      <c r="D20" s="11">
        <v>29858</v>
      </c>
      <c r="E20" s="11">
        <v>31023</v>
      </c>
      <c r="F20" s="25">
        <f t="shared" si="2"/>
        <v>3807</v>
      </c>
      <c r="G20" s="25"/>
    </row>
    <row r="21" spans="1:7" x14ac:dyDescent="0.2">
      <c r="A21" s="41">
        <v>18</v>
      </c>
      <c r="B21" s="11">
        <v>36600</v>
      </c>
      <c r="C21" s="11">
        <v>39089</v>
      </c>
      <c r="D21" s="129">
        <v>29631</v>
      </c>
      <c r="E21" s="11">
        <v>31023</v>
      </c>
      <c r="F21" s="25">
        <f t="shared" si="2"/>
        <v>3881</v>
      </c>
      <c r="G21" s="25"/>
    </row>
    <row r="22" spans="1:7" x14ac:dyDescent="0.2">
      <c r="A22" s="41">
        <v>19</v>
      </c>
      <c r="B22" s="11">
        <v>38815</v>
      </c>
      <c r="C22" s="11">
        <v>39089</v>
      </c>
      <c r="D22" s="11">
        <v>29393</v>
      </c>
      <c r="E22" s="11">
        <v>31023</v>
      </c>
      <c r="F22" s="25">
        <f t="shared" si="2"/>
        <v>1904</v>
      </c>
      <c r="G22" s="25"/>
    </row>
    <row r="23" spans="1:7" x14ac:dyDescent="0.2">
      <c r="A23" s="41">
        <v>20</v>
      </c>
      <c r="B23" s="11">
        <v>38362</v>
      </c>
      <c r="C23" s="11">
        <v>39089</v>
      </c>
      <c r="D23" s="11">
        <v>30657</v>
      </c>
      <c r="E23" s="11">
        <v>31023</v>
      </c>
      <c r="F23" s="25">
        <f t="shared" si="2"/>
        <v>1093</v>
      </c>
      <c r="G23" s="25"/>
    </row>
    <row r="24" spans="1:7" x14ac:dyDescent="0.2">
      <c r="A24" s="41">
        <v>21</v>
      </c>
      <c r="B24" s="11">
        <v>38790</v>
      </c>
      <c r="C24" s="11">
        <v>39089</v>
      </c>
      <c r="D24" s="11">
        <v>27625</v>
      </c>
      <c r="E24" s="11">
        <v>29023</v>
      </c>
      <c r="F24" s="25">
        <f t="shared" si="2"/>
        <v>1697</v>
      </c>
      <c r="G24" s="25"/>
    </row>
    <row r="25" spans="1:7" x14ac:dyDescent="0.2">
      <c r="A25" s="41">
        <v>22</v>
      </c>
      <c r="B25" s="11">
        <v>39729</v>
      </c>
      <c r="C25" s="11">
        <v>39089</v>
      </c>
      <c r="D25" s="11">
        <v>27891</v>
      </c>
      <c r="E25" s="11">
        <v>29023</v>
      </c>
      <c r="F25" s="25">
        <f t="shared" si="2"/>
        <v>492</v>
      </c>
      <c r="G25" s="25"/>
    </row>
    <row r="26" spans="1:7" x14ac:dyDescent="0.2">
      <c r="A26" s="41">
        <v>23</v>
      </c>
      <c r="B26" s="11">
        <v>41425</v>
      </c>
      <c r="C26" s="11">
        <v>39089</v>
      </c>
      <c r="D26" s="129">
        <v>24731</v>
      </c>
      <c r="E26" s="11">
        <v>29023</v>
      </c>
      <c r="F26" s="25">
        <f t="shared" si="2"/>
        <v>1956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995718</v>
      </c>
      <c r="C35" s="11">
        <f>SUM(C4:C34)</f>
        <v>999491</v>
      </c>
      <c r="D35" s="11">
        <f>SUM(D4:D34)</f>
        <v>524991</v>
      </c>
      <c r="E35" s="11">
        <f>SUM(E4:E34)</f>
        <v>532489</v>
      </c>
      <c r="F35" s="11">
        <f>+E35-D35+C35-B35</f>
        <v>11271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2.1</v>
      </c>
    </row>
    <row r="38" spans="1:7" x14ac:dyDescent="0.2">
      <c r="C38" s="48"/>
      <c r="D38" s="47"/>
      <c r="E38" s="48"/>
      <c r="F38" s="46">
        <f>+F37*F35</f>
        <v>23669.100000000002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451518.05</v>
      </c>
      <c r="G40" s="25"/>
    </row>
    <row r="41" spans="1:7" x14ac:dyDescent="0.2">
      <c r="A41" s="57">
        <v>37310</v>
      </c>
      <c r="C41" s="106"/>
      <c r="D41" s="106"/>
      <c r="E41" s="106"/>
      <c r="F41" s="106">
        <f>+F38+F40</f>
        <v>475187.14999999997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13684</v>
      </c>
      <c r="E46" s="11"/>
      <c r="F46" s="11"/>
      <c r="G46" s="25"/>
    </row>
    <row r="47" spans="1:7" x14ac:dyDescent="0.2">
      <c r="A47" s="49">
        <f>+A41</f>
        <v>37310</v>
      </c>
      <c r="D47" s="349">
        <f>+F35</f>
        <v>11271</v>
      </c>
      <c r="E47" s="11"/>
      <c r="F47" s="11"/>
      <c r="G47" s="25"/>
    </row>
    <row r="48" spans="1:7" x14ac:dyDescent="0.2">
      <c r="D48" s="14">
        <f>+D47+D46</f>
        <v>24955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3" workbookViewId="0">
      <selection activeCell="C27" sqref="C27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184182</v>
      </c>
      <c r="C16" s="11">
        <v>185636</v>
      </c>
      <c r="D16" s="11"/>
      <c r="E16" s="11">
        <v>-2646</v>
      </c>
      <c r="F16" s="11">
        <f t="shared" si="2"/>
        <v>-1192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200799</v>
      </c>
      <c r="C17" s="11">
        <v>203343</v>
      </c>
      <c r="D17" s="11"/>
      <c r="E17" s="11">
        <v>-4578</v>
      </c>
      <c r="F17" s="11">
        <f t="shared" si="2"/>
        <v>-2034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197521</v>
      </c>
      <c r="C18" s="11">
        <v>199150</v>
      </c>
      <c r="D18" s="11"/>
      <c r="E18" s="11">
        <v>-2646</v>
      </c>
      <c r="F18" s="11">
        <f t="shared" si="2"/>
        <v>-1017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199710</v>
      </c>
      <c r="C19" s="11">
        <v>204054</v>
      </c>
      <c r="D19" s="11"/>
      <c r="E19" s="11">
        <v>-2646</v>
      </c>
      <c r="F19" s="11">
        <f t="shared" si="2"/>
        <v>1698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174864</v>
      </c>
      <c r="C20" s="11">
        <v>192107</v>
      </c>
      <c r="D20" s="11"/>
      <c r="E20" s="11">
        <v>-8424</v>
      </c>
      <c r="F20" s="11">
        <f t="shared" si="2"/>
        <v>8819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167500</v>
      </c>
      <c r="C21" s="11">
        <v>192060</v>
      </c>
      <c r="D21" s="11"/>
      <c r="E21" s="11">
        <v>-9974</v>
      </c>
      <c r="F21" s="11">
        <f t="shared" si="2"/>
        <v>14586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178413</v>
      </c>
      <c r="C22" s="11">
        <v>201395</v>
      </c>
      <c r="D22" s="11"/>
      <c r="E22" s="11">
        <v>-9523</v>
      </c>
      <c r="F22" s="11">
        <f t="shared" si="2"/>
        <v>13459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195343</v>
      </c>
      <c r="C23" s="11">
        <v>195081</v>
      </c>
      <c r="D23" s="11"/>
      <c r="E23" s="11">
        <v>-2646</v>
      </c>
      <c r="F23" s="11">
        <f t="shared" si="2"/>
        <v>-2908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181177</v>
      </c>
      <c r="C24" s="11">
        <v>195278</v>
      </c>
      <c r="D24" s="11"/>
      <c r="E24" s="11">
        <v>-15161</v>
      </c>
      <c r="F24" s="11">
        <f t="shared" si="2"/>
        <v>-1060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182113</v>
      </c>
      <c r="C25" s="11">
        <v>201233</v>
      </c>
      <c r="D25" s="11"/>
      <c r="E25" s="11">
        <v>-19301</v>
      </c>
      <c r="F25" s="11">
        <f t="shared" si="2"/>
        <v>-181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186315</v>
      </c>
      <c r="C26" s="11">
        <v>192397</v>
      </c>
      <c r="D26" s="11"/>
      <c r="E26" s="11">
        <v>-7735</v>
      </c>
      <c r="F26" s="11">
        <f t="shared" si="2"/>
        <v>-1653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172591</v>
      </c>
      <c r="C27" s="11">
        <v>173419</v>
      </c>
      <c r="D27" s="11"/>
      <c r="E27" s="11">
        <v>-2646</v>
      </c>
      <c r="F27" s="11">
        <f t="shared" si="2"/>
        <v>-1818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4188068</v>
      </c>
      <c r="C36" s="11">
        <f>SUM(C5:C35)</f>
        <v>4323471</v>
      </c>
      <c r="D36" s="11">
        <f>SUM(D5:D35)</f>
        <v>0</v>
      </c>
      <c r="E36" s="11">
        <f>SUM(E5:E35)</f>
        <v>-118322</v>
      </c>
      <c r="F36" s="11">
        <f>SUM(F5:F35)</f>
        <v>17081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72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37310</v>
      </c>
      <c r="F41" s="332">
        <f>+F39+F36</f>
        <v>-18110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574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37310</v>
      </c>
      <c r="C48" s="32"/>
      <c r="D48" s="32"/>
      <c r="E48" s="374">
        <f>+F36*'by type_area'!G3</f>
        <v>35870.1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-498095.88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7" workbookViewId="0">
      <selection activeCell="C31" sqref="C31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">
      <c r="A17" s="10">
        <v>10</v>
      </c>
      <c r="B17" s="11">
        <v>95002</v>
      </c>
      <c r="C17" s="11">
        <v>93799</v>
      </c>
      <c r="D17" s="11">
        <f t="shared" si="0"/>
        <v>-1203</v>
      </c>
      <c r="E17" s="10"/>
      <c r="F17" s="11"/>
      <c r="G17" s="11"/>
      <c r="H17" s="11"/>
    </row>
    <row r="18" spans="1:8" x14ac:dyDescent="0.2">
      <c r="A18" s="10">
        <v>11</v>
      </c>
      <c r="B18" s="11">
        <v>93951</v>
      </c>
      <c r="C18" s="11">
        <v>93799</v>
      </c>
      <c r="D18" s="11">
        <f t="shared" si="0"/>
        <v>-152</v>
      </c>
      <c r="E18" s="10"/>
      <c r="F18" s="11"/>
      <c r="G18" s="11"/>
      <c r="H18" s="11"/>
    </row>
    <row r="19" spans="1:8" x14ac:dyDescent="0.2">
      <c r="A19" s="10">
        <v>12</v>
      </c>
      <c r="B19" s="11">
        <v>90782</v>
      </c>
      <c r="C19" s="11">
        <v>90776</v>
      </c>
      <c r="D19" s="11">
        <f t="shared" si="0"/>
        <v>-6</v>
      </c>
      <c r="E19" s="10"/>
      <c r="F19" s="11"/>
      <c r="G19" s="11"/>
      <c r="H19" s="11"/>
    </row>
    <row r="20" spans="1:8" x14ac:dyDescent="0.2">
      <c r="A20" s="10">
        <v>13</v>
      </c>
      <c r="B20" s="11">
        <v>95014</v>
      </c>
      <c r="C20" s="11">
        <v>93799</v>
      </c>
      <c r="D20" s="11">
        <f t="shared" si="0"/>
        <v>-1215</v>
      </c>
      <c r="E20" s="10"/>
      <c r="F20" s="11"/>
      <c r="G20" s="11"/>
      <c r="H20" s="11"/>
    </row>
    <row r="21" spans="1:8" x14ac:dyDescent="0.2">
      <c r="A21" s="10">
        <v>14</v>
      </c>
      <c r="B21" s="11">
        <v>94012</v>
      </c>
      <c r="C21" s="11">
        <v>93799</v>
      </c>
      <c r="D21" s="11">
        <f t="shared" si="0"/>
        <v>-213</v>
      </c>
      <c r="E21" s="10"/>
      <c r="F21" s="11"/>
      <c r="G21" s="11"/>
      <c r="H21" s="11"/>
    </row>
    <row r="22" spans="1:8" x14ac:dyDescent="0.2">
      <c r="A22" s="10">
        <v>15</v>
      </c>
      <c r="B22" s="11">
        <v>94013</v>
      </c>
      <c r="C22" s="11">
        <v>93799</v>
      </c>
      <c r="D22" s="11">
        <f t="shared" si="0"/>
        <v>-214</v>
      </c>
      <c r="E22" s="10"/>
      <c r="F22" s="11"/>
      <c r="G22" s="11"/>
      <c r="H22" s="11"/>
    </row>
    <row r="23" spans="1:8" x14ac:dyDescent="0.2">
      <c r="A23" s="10">
        <v>16</v>
      </c>
      <c r="B23" s="11">
        <v>103917</v>
      </c>
      <c r="C23" s="11">
        <v>91798</v>
      </c>
      <c r="D23" s="11">
        <f t="shared" si="0"/>
        <v>-12119</v>
      </c>
      <c r="E23" s="10"/>
      <c r="F23" s="11"/>
      <c r="G23" s="11"/>
      <c r="H23" s="11"/>
    </row>
    <row r="24" spans="1:8" x14ac:dyDescent="0.2">
      <c r="A24" s="10">
        <v>17</v>
      </c>
      <c r="B24" s="11">
        <v>91468</v>
      </c>
      <c r="C24" s="11">
        <v>91798</v>
      </c>
      <c r="D24" s="11">
        <f t="shared" si="0"/>
        <v>330</v>
      </c>
      <c r="E24" s="10"/>
      <c r="F24" s="11"/>
      <c r="G24" s="11"/>
      <c r="H24" s="11"/>
    </row>
    <row r="25" spans="1:8" x14ac:dyDescent="0.2">
      <c r="A25" s="10">
        <v>18</v>
      </c>
      <c r="B25" s="11">
        <v>89759</v>
      </c>
      <c r="C25" s="11">
        <v>91798</v>
      </c>
      <c r="D25" s="11">
        <f t="shared" si="0"/>
        <v>2039</v>
      </c>
      <c r="E25" s="10"/>
      <c r="F25" s="11"/>
      <c r="G25" s="11"/>
      <c r="H25" s="11"/>
    </row>
    <row r="26" spans="1:8" x14ac:dyDescent="0.2">
      <c r="A26" s="10">
        <v>19</v>
      </c>
      <c r="B26" s="11">
        <v>91998</v>
      </c>
      <c r="C26" s="11">
        <v>91798</v>
      </c>
      <c r="D26" s="11">
        <f t="shared" si="0"/>
        <v>-200</v>
      </c>
      <c r="E26" s="10"/>
      <c r="F26" s="11"/>
      <c r="G26" s="11"/>
      <c r="H26" s="11"/>
    </row>
    <row r="27" spans="1:8" x14ac:dyDescent="0.2">
      <c r="A27" s="10">
        <v>20</v>
      </c>
      <c r="B27" s="11">
        <v>90471</v>
      </c>
      <c r="C27" s="11">
        <v>93799</v>
      </c>
      <c r="D27" s="11">
        <f t="shared" si="0"/>
        <v>3328</v>
      </c>
      <c r="E27" s="10"/>
      <c r="F27" s="11"/>
      <c r="G27" s="11"/>
      <c r="H27" s="11"/>
    </row>
    <row r="28" spans="1:8" x14ac:dyDescent="0.2">
      <c r="A28" s="10">
        <v>21</v>
      </c>
      <c r="B28" s="11">
        <v>83048</v>
      </c>
      <c r="C28" s="11">
        <v>91226</v>
      </c>
      <c r="D28" s="11">
        <f t="shared" si="0"/>
        <v>8178</v>
      </c>
      <c r="E28" s="10"/>
      <c r="F28" s="11"/>
      <c r="G28" s="11"/>
      <c r="H28" s="11"/>
    </row>
    <row r="29" spans="1:8" x14ac:dyDescent="0.2">
      <c r="A29" s="10">
        <v>22</v>
      </c>
      <c r="B29" s="11">
        <v>94026</v>
      </c>
      <c r="C29" s="11">
        <v>93799</v>
      </c>
      <c r="D29" s="11">
        <f t="shared" si="0"/>
        <v>-227</v>
      </c>
      <c r="E29" s="10"/>
      <c r="F29" s="11"/>
      <c r="G29" s="11"/>
      <c r="H29" s="11"/>
    </row>
    <row r="30" spans="1:8" x14ac:dyDescent="0.2">
      <c r="A30" s="10">
        <v>23</v>
      </c>
      <c r="B30" s="11">
        <v>94004</v>
      </c>
      <c r="C30" s="11">
        <v>93799</v>
      </c>
      <c r="D30" s="11">
        <f t="shared" si="0"/>
        <v>-205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2151032</v>
      </c>
      <c r="C39" s="11">
        <f>SUM(C8:C38)</f>
        <v>2147940</v>
      </c>
      <c r="D39" s="11">
        <f>SUM(D8:D38)</f>
        <v>-3092</v>
      </c>
      <c r="E39" s="10"/>
      <c r="F39" s="11"/>
      <c r="G39" s="11"/>
      <c r="H39" s="11"/>
    </row>
    <row r="40" spans="1:8" x14ac:dyDescent="0.2">
      <c r="A40" s="26"/>
      <c r="D40" s="75">
        <f>+summary!G4</f>
        <v>2.1</v>
      </c>
      <c r="E40" s="26"/>
      <c r="H40" s="75"/>
    </row>
    <row r="41" spans="1:8" x14ac:dyDescent="0.2">
      <c r="D41" s="195">
        <f>+D40*D39</f>
        <v>-6493.2000000000007</v>
      </c>
      <c r="F41" s="247"/>
      <c r="H41" s="195"/>
    </row>
    <row r="42" spans="1:8" x14ac:dyDescent="0.2">
      <c r="A42" s="57">
        <v>37287</v>
      </c>
      <c r="D42" s="596">
        <v>28675</v>
      </c>
      <c r="E42" s="57"/>
      <c r="H42" s="195"/>
    </row>
    <row r="43" spans="1:8" x14ac:dyDescent="0.2">
      <c r="A43" s="57">
        <v>37310</v>
      </c>
      <c r="D43" s="196">
        <f>+D42+D41</f>
        <v>22181.8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591">
        <v>-42160</v>
      </c>
    </row>
    <row r="49" spans="1:4" x14ac:dyDescent="0.2">
      <c r="A49" s="49">
        <f>+A43</f>
        <v>37310</v>
      </c>
      <c r="B49" s="32"/>
      <c r="C49" s="32"/>
      <c r="D49" s="349">
        <f>+D39</f>
        <v>-3092</v>
      </c>
    </row>
    <row r="50" spans="1:4" x14ac:dyDescent="0.2">
      <c r="A50" s="32"/>
      <c r="B50" s="32"/>
      <c r="C50" s="32"/>
      <c r="D50" s="14">
        <f>+D49+D48</f>
        <v>-45252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36" workbookViewId="0">
      <selection activeCell="B45" sqref="B45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83">
        <v>1529476.6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249</v>
      </c>
      <c r="J6" s="15"/>
    </row>
    <row r="7" spans="1:14" x14ac:dyDescent="0.2">
      <c r="A7" s="57">
        <v>37306</v>
      </c>
      <c r="I7" s="3" t="s">
        <v>255</v>
      </c>
      <c r="J7" s="15"/>
    </row>
    <row r="8" spans="1:14" x14ac:dyDescent="0.2">
      <c r="A8" s="248">
        <v>50895</v>
      </c>
      <c r="B8" s="339">
        <f>4791-4550</f>
        <v>241</v>
      </c>
      <c r="J8" s="15"/>
    </row>
    <row r="9" spans="1:14" x14ac:dyDescent="0.2">
      <c r="A9" s="248">
        <v>60874</v>
      </c>
      <c r="B9" s="339">
        <v>1898</v>
      </c>
      <c r="J9" s="15"/>
    </row>
    <row r="10" spans="1:14" x14ac:dyDescent="0.2">
      <c r="A10" s="248">
        <v>78169</v>
      </c>
      <c r="B10" s="339">
        <f>370713-345099-16581-16483</f>
        <v>-7450</v>
      </c>
      <c r="I10" s="87" t="s">
        <v>250</v>
      </c>
      <c r="J10" s="480" t="s">
        <v>27</v>
      </c>
      <c r="K10" s="87" t="s">
        <v>251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0">
        <f>+C40</f>
        <v>855876.1</v>
      </c>
      <c r="K11" s="87" t="s">
        <v>252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253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11408-9805</f>
        <v>1603</v>
      </c>
      <c r="I13" s="87">
        <v>21665</v>
      </c>
      <c r="J13" s="445">
        <v>73449.16</v>
      </c>
      <c r="K13" s="87" t="s">
        <v>254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2737-2716</f>
        <v>21</v>
      </c>
      <c r="I14" s="87">
        <v>22664</v>
      </c>
      <c r="J14" s="448">
        <v>23612.35</v>
      </c>
      <c r="K14" s="87" t="s">
        <v>256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3080-11751</f>
        <v>-8671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>
        <f>1232692-1261790</f>
        <v>-29098</v>
      </c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-41457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2.1</v>
      </c>
      <c r="C19" s="199">
        <f>+B19*B18</f>
        <v>-87059.7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1442416.9000000001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37287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37304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2.1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37287</v>
      </c>
      <c r="F38" s="591">
        <v>377700</v>
      </c>
      <c r="G38" s="443">
        <v>117857</v>
      </c>
      <c r="H38" s="591">
        <v>193435</v>
      </c>
      <c r="I38" s="14"/>
    </row>
    <row r="39" spans="1:9" x14ac:dyDescent="0.2">
      <c r="E39" s="49">
        <f>+A7</f>
        <v>37306</v>
      </c>
      <c r="F39" s="349">
        <f>+B18</f>
        <v>-41457</v>
      </c>
      <c r="G39" s="349">
        <f>+B31</f>
        <v>0</v>
      </c>
      <c r="H39" s="349">
        <f>+B46</f>
        <v>3275</v>
      </c>
      <c r="I39" s="14"/>
    </row>
    <row r="40" spans="1:9" x14ac:dyDescent="0.2">
      <c r="A40" s="49">
        <v>37287</v>
      </c>
      <c r="C40" s="602">
        <v>855876.1</v>
      </c>
      <c r="F40" s="14">
        <f>+F39+F38</f>
        <v>336243</v>
      </c>
      <c r="G40" s="14">
        <f>+G39+G38</f>
        <v>117857</v>
      </c>
      <c r="H40" s="14">
        <f>+H39+H38</f>
        <v>196710</v>
      </c>
      <c r="I40" s="14">
        <f>+H40+G40+F40</f>
        <v>650810</v>
      </c>
    </row>
    <row r="41" spans="1:9" x14ac:dyDescent="0.2">
      <c r="G41" s="32"/>
      <c r="H41" s="15"/>
      <c r="I41" s="32"/>
    </row>
    <row r="42" spans="1:9" x14ac:dyDescent="0.2">
      <c r="A42" s="245">
        <v>37310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1180</v>
      </c>
      <c r="G44" s="32"/>
      <c r="H44" s="380"/>
      <c r="I44" s="14"/>
    </row>
    <row r="45" spans="1:9" x14ac:dyDescent="0.2">
      <c r="A45" s="32">
        <v>500392</v>
      </c>
      <c r="B45" s="250">
        <v>2095</v>
      </c>
      <c r="G45" s="32"/>
      <c r="H45" s="380"/>
      <c r="I45" s="14"/>
    </row>
    <row r="46" spans="1:9" x14ac:dyDescent="0.2">
      <c r="B46" s="14">
        <f>SUM(B43:B45)</f>
        <v>3275</v>
      </c>
      <c r="G46" s="32"/>
      <c r="H46" s="380"/>
      <c r="I46" s="14"/>
    </row>
    <row r="47" spans="1:9" x14ac:dyDescent="0.2">
      <c r="B47" s="199">
        <f>+summary!G5</f>
        <v>2.1</v>
      </c>
      <c r="C47" s="199">
        <f>+B47*B46</f>
        <v>6877.5</v>
      </c>
      <c r="H47" s="380"/>
      <c r="I47" s="14"/>
    </row>
    <row r="48" spans="1:9" x14ac:dyDescent="0.2">
      <c r="C48" s="321">
        <f>+C47+C40</f>
        <v>862753.6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2677541.6500000004</v>
      </c>
      <c r="I57" s="14">
        <f>SUM(I40:I54)</f>
        <v>706143</v>
      </c>
    </row>
    <row r="61" spans="1:9" x14ac:dyDescent="0.2">
      <c r="C61" s="15">
        <f>+DEFS!F49</f>
        <v>-2852530.8600000003</v>
      </c>
    </row>
    <row r="62" spans="1:9" x14ac:dyDescent="0.2">
      <c r="C62" s="15">
        <f>+C61+C57</f>
        <v>-174989.20999999996</v>
      </c>
      <c r="I62" s="31">
        <f>+I57+DEFS!K49</f>
        <v>245448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1442416.9000000001</v>
      </c>
      <c r="C72" s="14">
        <f>+F40</f>
        <v>336243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862753.6</v>
      </c>
      <c r="C74" s="14">
        <f>+H40</f>
        <v>196710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-644774.72000000009</v>
      </c>
      <c r="C78" s="14">
        <f>+DEFS!J36</f>
        <v>-163526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-174989.20999999961</v>
      </c>
      <c r="C83" s="16">
        <f>SUM(C72:C82)</f>
        <v>245448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A46" sqref="A46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34268</v>
      </c>
      <c r="E15" s="11">
        <v>34133</v>
      </c>
      <c r="F15" s="11">
        <f t="shared" si="0"/>
        <v>-135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34544</v>
      </c>
      <c r="E16" s="11">
        <v>34133</v>
      </c>
      <c r="F16" s="11">
        <f t="shared" si="0"/>
        <v>-411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34736</v>
      </c>
      <c r="E17" s="11">
        <v>34133</v>
      </c>
      <c r="F17" s="11">
        <f t="shared" si="0"/>
        <v>-603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34466</v>
      </c>
      <c r="E18" s="11">
        <v>34133</v>
      </c>
      <c r="F18" s="11">
        <f t="shared" si="0"/>
        <v>-333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34378</v>
      </c>
      <c r="E19" s="11">
        <v>34133</v>
      </c>
      <c r="F19" s="11">
        <f t="shared" si="0"/>
        <v>-245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33610</v>
      </c>
      <c r="E20" s="11">
        <v>34133</v>
      </c>
      <c r="F20" s="11">
        <f t="shared" si="0"/>
        <v>523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34219</v>
      </c>
      <c r="E21" s="11">
        <v>34133</v>
      </c>
      <c r="F21" s="11">
        <f t="shared" si="0"/>
        <v>-86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35314</v>
      </c>
      <c r="E22" s="11">
        <v>34133</v>
      </c>
      <c r="F22" s="11">
        <f t="shared" si="0"/>
        <v>-1181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35347</v>
      </c>
      <c r="E23" s="11">
        <v>34133</v>
      </c>
      <c r="F23" s="11">
        <f t="shared" si="0"/>
        <v>-1214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35428</v>
      </c>
      <c r="E24" s="11">
        <v>34133</v>
      </c>
      <c r="F24" s="11">
        <f t="shared" si="0"/>
        <v>-1295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35215</v>
      </c>
      <c r="E25" s="11">
        <v>34133</v>
      </c>
      <c r="F25" s="11">
        <f t="shared" si="0"/>
        <v>-1082</v>
      </c>
      <c r="I25" s="11"/>
      <c r="J25" s="24"/>
    </row>
    <row r="26" spans="1:10" x14ac:dyDescent="0.2">
      <c r="A26" s="10">
        <v>23</v>
      </c>
      <c r="B26" s="11"/>
      <c r="C26" s="11"/>
      <c r="D26" s="11">
        <v>35358</v>
      </c>
      <c r="E26" s="11">
        <v>34133</v>
      </c>
      <c r="F26" s="11">
        <f t="shared" si="0"/>
        <v>-1225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67">
        <v>-183967</v>
      </c>
      <c r="J34" s="567">
        <v>-149923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798087</v>
      </c>
      <c r="E35" s="11">
        <f>SUM(E4:E34)</f>
        <v>784484</v>
      </c>
      <c r="F35" s="11">
        <f>SUM(F4:F34)</f>
        <v>-13603</v>
      </c>
      <c r="G35" s="11"/>
      <c r="H35" s="49">
        <f>+A40</f>
        <v>37310</v>
      </c>
      <c r="I35" s="349">
        <f>+C36</f>
        <v>0</v>
      </c>
      <c r="J35" s="349">
        <f>+E36</f>
        <v>-13603</v>
      </c>
      <c r="K35" s="206"/>
      <c r="L35" s="14"/>
    </row>
    <row r="36" spans="1:13" x14ac:dyDescent="0.2">
      <c r="C36" s="25">
        <f>+C35-B35</f>
        <v>0</v>
      </c>
      <c r="E36" s="25">
        <f>+E35-D35</f>
        <v>-13603</v>
      </c>
      <c r="F36" s="25">
        <f>+E36+C36</f>
        <v>-13603</v>
      </c>
      <c r="H36" s="32"/>
      <c r="I36" s="14">
        <f>+I35+I34</f>
        <v>-183967</v>
      </c>
      <c r="J36" s="14">
        <f>+J35+J34</f>
        <v>-163526</v>
      </c>
      <c r="K36" s="14">
        <f>+J36+I36</f>
        <v>-347493</v>
      </c>
      <c r="L36" s="14"/>
    </row>
    <row r="37" spans="1:13" x14ac:dyDescent="0.2">
      <c r="C37" s="313">
        <f>+summary!G5</f>
        <v>2.1</v>
      </c>
      <c r="E37" s="104">
        <f>+C37</f>
        <v>2.1</v>
      </c>
      <c r="F37" s="138">
        <f>+F36*E37</f>
        <v>-28566.300000000003</v>
      </c>
    </row>
    <row r="38" spans="1:13" x14ac:dyDescent="0.2">
      <c r="C38" s="138">
        <f>+C37*C36</f>
        <v>0</v>
      </c>
      <c r="E38" s="136">
        <f>+E37*E36</f>
        <v>-28566.300000000003</v>
      </c>
      <c r="F38" s="138">
        <f>+E38+C38</f>
        <v>-28566.300000000003</v>
      </c>
    </row>
    <row r="39" spans="1:13" x14ac:dyDescent="0.2">
      <c r="A39" s="57">
        <v>37287</v>
      </c>
      <c r="B39" s="2" t="s">
        <v>45</v>
      </c>
      <c r="C39" s="586">
        <v>-1035385.61</v>
      </c>
      <c r="D39" s="320"/>
      <c r="E39" s="573">
        <v>-616208.42000000004</v>
      </c>
      <c r="F39" s="319">
        <f>+E39+C39</f>
        <v>-1651594.03</v>
      </c>
    </row>
    <row r="40" spans="1:13" x14ac:dyDescent="0.2">
      <c r="A40" s="57">
        <v>37310</v>
      </c>
      <c r="B40" s="2" t="s">
        <v>45</v>
      </c>
      <c r="C40" s="314">
        <f>+C39+C38</f>
        <v>-1035385.61</v>
      </c>
      <c r="D40" s="252"/>
      <c r="E40" s="314">
        <f>+E39+E38</f>
        <v>-644774.72000000009</v>
      </c>
      <c r="F40" s="314">
        <f>+E40+C40</f>
        <v>-1680160.33</v>
      </c>
      <c r="H40" s="131"/>
    </row>
    <row r="41" spans="1:13" x14ac:dyDescent="0.2">
      <c r="C41" s="329"/>
      <c r="D41" s="246"/>
      <c r="E41" s="246"/>
      <c r="H41" s="31">
        <f>+C39+E39+F45+F46+F47+F48</f>
        <v>-2823964.5600000005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84"/>
    </row>
    <row r="44" spans="1:13" x14ac:dyDescent="0.2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">
      <c r="C49" s="246"/>
      <c r="D49" s="246"/>
      <c r="F49" s="330">
        <f>SUM(F40:F48)</f>
        <v>-2852530.8600000003</v>
      </c>
      <c r="G49" s="246"/>
      <c r="K49" s="14">
        <f>SUM(K36:K48)</f>
        <v>-460695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2677541.6500000004</v>
      </c>
      <c r="M51" s="14">
        <f>+Duke!I57</f>
        <v>706143</v>
      </c>
    </row>
    <row r="53" spans="3:13" x14ac:dyDescent="0.2">
      <c r="F53" s="104">
        <f>+F51+F49</f>
        <v>-174989.20999999996</v>
      </c>
      <c r="M53" s="16">
        <f>+M51+K49</f>
        <v>245448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-1035385.61</v>
      </c>
    </row>
    <row r="74" spans="1:3" x14ac:dyDescent="0.2">
      <c r="A74">
        <v>22051</v>
      </c>
      <c r="B74" s="31">
        <f>+J36</f>
        <v>-163526</v>
      </c>
      <c r="C74" s="247">
        <f>+E40</f>
        <v>-644774.72000000009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196710</v>
      </c>
      <c r="C77" s="259">
        <f>+Duke!C48</f>
        <v>862753.6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336243</v>
      </c>
      <c r="C79" s="259">
        <f>+Duke!C20</f>
        <v>1442416.9000000001</v>
      </c>
    </row>
    <row r="81" spans="2:3" x14ac:dyDescent="0.2">
      <c r="B81" s="31">
        <f>SUM(B68:B80)</f>
        <v>245448</v>
      </c>
      <c r="C81" s="259">
        <f>SUM(C68:C80)</f>
        <v>-174989.20999999996</v>
      </c>
    </row>
    <row r="82" spans="2:3" x14ac:dyDescent="0.2">
      <c r="C82">
        <f>+C81/B81</f>
        <v>-0.71293801538411383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F31" sqref="F31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5574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-462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5251</v>
      </c>
      <c r="C19" s="11">
        <v>6011</v>
      </c>
      <c r="D19" s="11"/>
      <c r="E19" s="11">
        <v>6</v>
      </c>
      <c r="F19" s="129">
        <v>942</v>
      </c>
      <c r="G19" s="11">
        <v>581</v>
      </c>
      <c r="H19" s="11">
        <v>1480</v>
      </c>
      <c r="I19" s="11">
        <v>895</v>
      </c>
      <c r="J19" s="25">
        <f t="shared" si="0"/>
        <v>-180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5369</v>
      </c>
      <c r="C20" s="11">
        <v>6011</v>
      </c>
      <c r="D20" s="11"/>
      <c r="E20" s="11">
        <v>6</v>
      </c>
      <c r="F20" s="129">
        <v>659</v>
      </c>
      <c r="G20" s="11">
        <v>581</v>
      </c>
      <c r="H20" s="11">
        <v>1401</v>
      </c>
      <c r="I20" s="11">
        <v>895</v>
      </c>
      <c r="J20" s="25">
        <f t="shared" si="0"/>
        <v>64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5384</v>
      </c>
      <c r="C21" s="11">
        <v>6011</v>
      </c>
      <c r="D21" s="11"/>
      <c r="E21" s="11">
        <v>6</v>
      </c>
      <c r="F21" s="129">
        <v>987</v>
      </c>
      <c r="G21" s="11">
        <v>581</v>
      </c>
      <c r="H21" s="11">
        <v>1701</v>
      </c>
      <c r="I21" s="11">
        <v>895</v>
      </c>
      <c r="J21" s="25">
        <f t="shared" si="0"/>
        <v>-579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5372</v>
      </c>
      <c r="C22" s="11">
        <v>6011</v>
      </c>
      <c r="D22" s="11"/>
      <c r="E22" s="11">
        <v>6</v>
      </c>
      <c r="F22" s="129">
        <v>850</v>
      </c>
      <c r="G22" s="11">
        <v>581</v>
      </c>
      <c r="H22" s="11">
        <v>1457</v>
      </c>
      <c r="I22" s="11">
        <v>895</v>
      </c>
      <c r="J22" s="25">
        <f t="shared" si="0"/>
        <v>-186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5268</v>
      </c>
      <c r="C23" s="11">
        <v>6011</v>
      </c>
      <c r="D23" s="11"/>
      <c r="E23" s="11">
        <v>6</v>
      </c>
      <c r="F23" s="129">
        <v>918</v>
      </c>
      <c r="G23" s="11">
        <v>581</v>
      </c>
      <c r="H23" s="11">
        <v>1341</v>
      </c>
      <c r="I23" s="11">
        <v>895</v>
      </c>
      <c r="J23" s="25">
        <f t="shared" si="0"/>
        <v>-34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5258</v>
      </c>
      <c r="C24" s="11">
        <v>6011</v>
      </c>
      <c r="D24" s="11"/>
      <c r="E24" s="11">
        <v>6</v>
      </c>
      <c r="F24" s="129">
        <v>420</v>
      </c>
      <c r="G24" s="11">
        <v>581</v>
      </c>
      <c r="H24" s="11">
        <v>1428</v>
      </c>
      <c r="I24" s="11">
        <v>895</v>
      </c>
      <c r="J24" s="25">
        <f t="shared" si="0"/>
        <v>387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5501</v>
      </c>
      <c r="C25" s="11">
        <v>6011</v>
      </c>
      <c r="D25" s="11"/>
      <c r="E25" s="11">
        <v>6</v>
      </c>
      <c r="F25" s="129">
        <v>988</v>
      </c>
      <c r="G25" s="11">
        <v>581</v>
      </c>
      <c r="H25" s="11">
        <v>1330</v>
      </c>
      <c r="I25" s="11">
        <v>895</v>
      </c>
      <c r="J25" s="25">
        <f t="shared" si="0"/>
        <v>-326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5670</v>
      </c>
      <c r="C26" s="11">
        <v>6011</v>
      </c>
      <c r="D26" s="11"/>
      <c r="E26" s="11">
        <v>6</v>
      </c>
      <c r="F26" s="129">
        <v>1026</v>
      </c>
      <c r="G26" s="11">
        <v>581</v>
      </c>
      <c r="H26" s="11">
        <v>1661</v>
      </c>
      <c r="I26" s="11">
        <v>895</v>
      </c>
      <c r="J26" s="25">
        <f t="shared" si="0"/>
        <v>-864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5708</v>
      </c>
      <c r="C27" s="11">
        <v>6011</v>
      </c>
      <c r="D27" s="11"/>
      <c r="E27" s="11">
        <v>6</v>
      </c>
      <c r="F27" s="129">
        <v>1020</v>
      </c>
      <c r="G27" s="11">
        <v>581</v>
      </c>
      <c r="H27" s="11">
        <v>1535</v>
      </c>
      <c r="I27" s="11">
        <v>895</v>
      </c>
      <c r="J27" s="25">
        <f t="shared" si="0"/>
        <v>-770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5756</v>
      </c>
      <c r="C28" s="11">
        <v>6011</v>
      </c>
      <c r="D28" s="11"/>
      <c r="E28" s="11">
        <v>6</v>
      </c>
      <c r="F28" s="129">
        <v>751</v>
      </c>
      <c r="G28" s="11">
        <v>581</v>
      </c>
      <c r="H28" s="11"/>
      <c r="I28" s="11">
        <v>895</v>
      </c>
      <c r="J28" s="25">
        <f t="shared" si="0"/>
        <v>986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5775</v>
      </c>
      <c r="C29" s="11">
        <v>6011</v>
      </c>
      <c r="D29" s="11"/>
      <c r="E29" s="11">
        <v>6</v>
      </c>
      <c r="F29" s="129">
        <v>416</v>
      </c>
      <c r="G29" s="11">
        <v>581</v>
      </c>
      <c r="H29" s="11">
        <v>747</v>
      </c>
      <c r="I29" s="11">
        <v>895</v>
      </c>
      <c r="J29" s="25">
        <f t="shared" si="0"/>
        <v>555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5726</v>
      </c>
      <c r="C30" s="11">
        <v>6011</v>
      </c>
      <c r="D30" s="11"/>
      <c r="E30" s="11">
        <v>6</v>
      </c>
      <c r="F30" s="129">
        <v>1054</v>
      </c>
      <c r="G30" s="11">
        <v>581</v>
      </c>
      <c r="H30" s="11">
        <v>1961</v>
      </c>
      <c r="I30" s="11">
        <v>895</v>
      </c>
      <c r="J30" s="25">
        <f t="shared" si="0"/>
        <v>-1248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125460</v>
      </c>
      <c r="C39" s="11">
        <f t="shared" si="1"/>
        <v>135753</v>
      </c>
      <c r="D39" s="11">
        <f t="shared" si="1"/>
        <v>252</v>
      </c>
      <c r="E39" s="11">
        <f t="shared" si="1"/>
        <v>138</v>
      </c>
      <c r="F39" s="129">
        <f t="shared" si="1"/>
        <v>19953</v>
      </c>
      <c r="G39" s="11">
        <f t="shared" si="1"/>
        <v>13363</v>
      </c>
      <c r="H39" s="11">
        <f t="shared" si="1"/>
        <v>32611</v>
      </c>
      <c r="I39" s="11">
        <f t="shared" si="1"/>
        <v>20585</v>
      </c>
      <c r="J39" s="25">
        <f t="shared" si="1"/>
        <v>-8437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-17717.7</v>
      </c>
      <c r="L41"/>
      <c r="R41" s="138"/>
      <c r="X41" s="138"/>
    </row>
    <row r="42" spans="1:24" x14ac:dyDescent="0.2">
      <c r="A42" s="57">
        <v>37287</v>
      </c>
      <c r="C42" s="15"/>
      <c r="J42" s="570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37310</v>
      </c>
      <c r="C43" s="48"/>
      <c r="J43" s="138">
        <f>+J42+J41</f>
        <v>323560.3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67">
        <v>135419</v>
      </c>
      <c r="L47"/>
    </row>
    <row r="48" spans="1:24" x14ac:dyDescent="0.2">
      <c r="A48" s="49">
        <f>+A43</f>
        <v>37310</v>
      </c>
      <c r="B48" s="32"/>
      <c r="C48" s="32"/>
      <c r="D48" s="349">
        <f>+J39</f>
        <v>-8437</v>
      </c>
      <c r="L48"/>
    </row>
    <row r="49" spans="1:12" x14ac:dyDescent="0.2">
      <c r="A49" s="32"/>
      <c r="B49" s="32"/>
      <c r="C49" s="32"/>
      <c r="D49" s="14">
        <f>+D48+D47</f>
        <v>126982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2" workbookViewId="0">
      <selection activeCell="D26" sqref="D26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>
        <v>-241</v>
      </c>
      <c r="E19" s="410"/>
      <c r="F19" s="307">
        <f t="shared" si="0"/>
        <v>241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>
        <v>-348</v>
      </c>
      <c r="E20" s="410"/>
      <c r="F20" s="307">
        <f t="shared" si="0"/>
        <v>348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>
        <v>-240</v>
      </c>
      <c r="E21" s="410"/>
      <c r="F21" s="307">
        <f t="shared" si="0"/>
        <v>240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>
        <v>-441</v>
      </c>
      <c r="E22" s="410"/>
      <c r="F22" s="307">
        <f t="shared" si="0"/>
        <v>441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>
        <v>-421</v>
      </c>
      <c r="E23" s="410"/>
      <c r="F23" s="307">
        <f t="shared" si="0"/>
        <v>421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>
        <v>-363</v>
      </c>
      <c r="E24" s="410"/>
      <c r="F24" s="307">
        <f t="shared" si="0"/>
        <v>363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>
        <v>-462</v>
      </c>
      <c r="E25" s="410"/>
      <c r="F25" s="307">
        <f t="shared" si="0"/>
        <v>462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>
        <v>-357</v>
      </c>
      <c r="E26" s="410"/>
      <c r="F26" s="307">
        <f t="shared" si="0"/>
        <v>357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>
        <v>-310</v>
      </c>
      <c r="E27" s="410"/>
      <c r="F27" s="307">
        <f t="shared" si="0"/>
        <v>310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>
        <v>-2008</v>
      </c>
      <c r="E28" s="410"/>
      <c r="F28" s="307">
        <f t="shared" si="0"/>
        <v>2008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>
        <v>-151</v>
      </c>
      <c r="E29" s="410"/>
      <c r="F29" s="307">
        <f t="shared" si="0"/>
        <v>151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>
        <v>-44</v>
      </c>
      <c r="E30" s="410"/>
      <c r="F30" s="307">
        <f t="shared" si="0"/>
        <v>44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0</v>
      </c>
      <c r="C39" s="410">
        <f>SUM(C8:C38)</f>
        <v>0</v>
      </c>
      <c r="D39" s="410">
        <f>SUM(D8:D38)</f>
        <v>-10259</v>
      </c>
      <c r="E39" s="410">
        <f>SUM(E8:E38)</f>
        <v>0</v>
      </c>
      <c r="F39" s="410">
        <f>SUM(F8:F38)</f>
        <v>10259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21543.9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4"/>
      <c r="D42" s="434"/>
      <c r="E42" s="434"/>
      <c r="F42" s="563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37310</v>
      </c>
      <c r="B43" s="285"/>
      <c r="C43" s="435"/>
      <c r="D43" s="435"/>
      <c r="E43" s="435"/>
      <c r="F43" s="416">
        <f>+F42+F41</f>
        <v>173778.53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485">
        <v>-368359</v>
      </c>
      <c r="E47" s="11"/>
    </row>
    <row r="48" spans="1:26" x14ac:dyDescent="0.2">
      <c r="A48" s="49">
        <f>+A43</f>
        <v>37310</v>
      </c>
      <c r="B48" s="32"/>
      <c r="C48" s="32"/>
      <c r="D48" s="349">
        <f>+F39</f>
        <v>10259</v>
      </c>
      <c r="E48" s="11"/>
    </row>
    <row r="49" spans="1:5" x14ac:dyDescent="0.2">
      <c r="A49" s="32"/>
      <c r="B49" s="32"/>
      <c r="C49" s="32"/>
      <c r="D49" s="14">
        <f>+D48+D47</f>
        <v>-358100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workbookViewId="0">
      <selection activeCell="B12" sqref="B12"/>
    </sheetView>
  </sheetViews>
  <sheetFormatPr defaultRowHeight="12.75" x14ac:dyDescent="0.2"/>
  <cols>
    <col min="1" max="1" width="25.85546875" style="285" customWidth="1"/>
    <col min="2" max="2" width="11.140625" style="543" bestFit="1" customWidth="1"/>
    <col min="3" max="3" width="9.7109375" style="544" customWidth="1"/>
    <col min="4" max="4" width="5.140625" style="545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7" bestFit="1" customWidth="1"/>
    <col min="15" max="15" width="9" style="548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46"/>
    </row>
    <row r="3" spans="1:33" ht="15" customHeight="1" x14ac:dyDescent="0.2">
      <c r="F3" s="549" t="s">
        <v>29</v>
      </c>
      <c r="G3" s="550">
        <f>+'[3]1001'!$K$39</f>
        <v>2.1</v>
      </c>
      <c r="J3" s="373">
        <f ca="1">NOW()</f>
        <v>37312.699731597226</v>
      </c>
    </row>
    <row r="4" spans="1:33" ht="15" customHeight="1" x14ac:dyDescent="0.2">
      <c r="A4" s="34" t="s">
        <v>144</v>
      </c>
      <c r="C4" s="34" t="s">
        <v>5</v>
      </c>
      <c r="F4" s="551" t="s">
        <v>30</v>
      </c>
      <c r="G4" s="552">
        <f>+'[3]1001'!$M$39</f>
        <v>2.1</v>
      </c>
    </row>
    <row r="5" spans="1:33" ht="15" customHeight="1" x14ac:dyDescent="0.2">
      <c r="B5" s="553"/>
      <c r="F5" s="549" t="s">
        <v>117</v>
      </c>
      <c r="G5" s="550">
        <f>+'[3]1001'!$H$39</f>
        <v>2.1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298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855794.04</v>
      </c>
      <c r="C8" s="275">
        <f>+B8/$G$4</f>
        <v>407520.97142857144</v>
      </c>
      <c r="D8" s="364">
        <f>+PNM!A23</f>
        <v>37310</v>
      </c>
      <c r="E8" s="32" t="s">
        <v>85</v>
      </c>
      <c r="F8" s="32" t="s">
        <v>299</v>
      </c>
      <c r="G8" s="32" t="s">
        <v>290</v>
      </c>
      <c r="H8" s="32" t="s">
        <v>312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614">
        <f>+Conoco!$F$41</f>
        <v>475187.14999999997</v>
      </c>
      <c r="C9" s="275">
        <f>+B9/$G$4</f>
        <v>226279.59523809521</v>
      </c>
      <c r="D9" s="363">
        <f>+Conoco!A41</f>
        <v>37310</v>
      </c>
      <c r="E9" s="32" t="s">
        <v>85</v>
      </c>
      <c r="F9" s="32" t="s">
        <v>300</v>
      </c>
      <c r="G9" s="32" t="s">
        <v>113</v>
      </c>
      <c r="H9" s="32" t="s">
        <v>313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94</v>
      </c>
      <c r="B10" s="345">
        <f>+C10*$G$4</f>
        <v>316541.40000000002</v>
      </c>
      <c r="C10" s="275">
        <f>+Mojave!D40</f>
        <v>150734</v>
      </c>
      <c r="D10" s="364">
        <f>+Mojave!A40</f>
        <v>37310</v>
      </c>
      <c r="E10" s="32" t="s">
        <v>84</v>
      </c>
      <c r="F10" s="32" t="s">
        <v>153</v>
      </c>
      <c r="G10" s="32" t="s">
        <v>100</v>
      </c>
      <c r="H10" s="609" t="s">
        <v>314</v>
      </c>
      <c r="I10" s="609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2</v>
      </c>
      <c r="B11" s="345">
        <f>+mewborne!$J$43</f>
        <v>323560.3</v>
      </c>
      <c r="C11" s="275">
        <f>+B11/$G$4</f>
        <v>154076.33333333331</v>
      </c>
      <c r="D11" s="364">
        <f>+mewborne!A43</f>
        <v>37310</v>
      </c>
      <c r="E11" s="32" t="s">
        <v>85</v>
      </c>
      <c r="F11" s="32" t="s">
        <v>299</v>
      </c>
      <c r="G11" s="32" t="s">
        <v>99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107</v>
      </c>
      <c r="B12" s="614">
        <f>+KN_Westar!F41</f>
        <v>322455.8</v>
      </c>
      <c r="C12" s="275">
        <f>+B12/$G$4</f>
        <v>153550.38095238095</v>
      </c>
      <c r="D12" s="364">
        <f>+KN_Westar!A41</f>
        <v>37306</v>
      </c>
      <c r="E12" s="32" t="s">
        <v>85</v>
      </c>
      <c r="F12" s="32" t="s">
        <v>153</v>
      </c>
      <c r="G12" s="32" t="s">
        <v>100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3</v>
      </c>
      <c r="B13" s="614">
        <f>+'Amoco Abo'!$F$43</f>
        <v>173778.53</v>
      </c>
      <c r="C13" s="275">
        <f>+B13/$G$4</f>
        <v>82751.68095238095</v>
      </c>
      <c r="D13" s="364">
        <f>+'Amoco Abo'!A43</f>
        <v>37310</v>
      </c>
      <c r="E13" s="32" t="s">
        <v>85</v>
      </c>
      <c r="F13" s="32" t="s">
        <v>152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+#REF!+#REF!+B41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206</v>
      </c>
      <c r="B14" s="345">
        <f>+Dominion!D41</f>
        <v>172724.14</v>
      </c>
      <c r="C14" s="275">
        <f>+B14/$G$5</f>
        <v>82249.590476190482</v>
      </c>
      <c r="D14" s="364">
        <f>+Dominion!A41</f>
        <v>37310</v>
      </c>
      <c r="E14" s="32" t="s">
        <v>85</v>
      </c>
      <c r="F14" s="32" t="s">
        <v>299</v>
      </c>
      <c r="G14" s="32" t="s">
        <v>99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129</v>
      </c>
      <c r="B15" s="345">
        <f>+EPFS!D41</f>
        <v>161681.60000000001</v>
      </c>
      <c r="C15" s="206">
        <f>+B15/$G$5</f>
        <v>76991.238095238092</v>
      </c>
      <c r="D15" s="363">
        <f>+EPFS!A41</f>
        <v>37310</v>
      </c>
      <c r="E15" s="32" t="s">
        <v>85</v>
      </c>
      <c r="F15" s="32" t="s">
        <v>153</v>
      </c>
      <c r="G15" s="32" t="s">
        <v>102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204" t="s">
        <v>32</v>
      </c>
      <c r="B16" s="345">
        <f>+C16*$G$4</f>
        <v>146500.20000000001</v>
      </c>
      <c r="C16" s="206">
        <f>+SoCal!F40</f>
        <v>69762</v>
      </c>
      <c r="D16" s="363">
        <f>+SoCal!A40</f>
        <v>37310</v>
      </c>
      <c r="E16" s="204" t="s">
        <v>84</v>
      </c>
      <c r="F16" s="204" t="s">
        <v>152</v>
      </c>
      <c r="G16" s="204" t="s">
        <v>102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88</v>
      </c>
      <c r="B17" s="345">
        <f>+C17*$G$5</f>
        <v>136065.30000000002</v>
      </c>
      <c r="C17" s="275">
        <f>+NGPL!H38</f>
        <v>64793</v>
      </c>
      <c r="D17" s="364">
        <f>+NGPL!A38</f>
        <v>37310</v>
      </c>
      <c r="E17" s="204" t="s">
        <v>84</v>
      </c>
      <c r="F17" s="32" t="s">
        <v>152</v>
      </c>
      <c r="G17" s="32" t="s">
        <v>115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23</v>
      </c>
      <c r="B18" s="345">
        <f>+C18*$G$3</f>
        <v>135954</v>
      </c>
      <c r="C18" s="347">
        <f>+'Red C'!$F$45</f>
        <v>64740</v>
      </c>
      <c r="D18" s="363">
        <f>+'Red C'!A45</f>
        <v>37310</v>
      </c>
      <c r="E18" s="204" t="s">
        <v>84</v>
      </c>
      <c r="F18" s="32" t="s">
        <v>152</v>
      </c>
      <c r="G18" s="32" t="s">
        <v>115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442" t="s">
        <v>79</v>
      </c>
      <c r="B19" s="501">
        <f>+Agave!$D$24</f>
        <v>117918.84</v>
      </c>
      <c r="C19" s="462">
        <f>+B19/$G$4</f>
        <v>56151.828571428567</v>
      </c>
      <c r="D19" s="461">
        <f>+Agave!A24</f>
        <v>37310</v>
      </c>
      <c r="E19" s="442" t="s">
        <v>85</v>
      </c>
      <c r="F19" s="442" t="s">
        <v>300</v>
      </c>
      <c r="G19" s="442" t="s">
        <v>102</v>
      </c>
      <c r="H19" s="44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217</v>
      </c>
      <c r="B20" s="345">
        <f>+Amarillo!P41</f>
        <v>113385.98</v>
      </c>
      <c r="C20" s="275">
        <f>+B20/$G$4</f>
        <v>53993.323809523805</v>
      </c>
      <c r="D20" s="364">
        <f>+Amarillo!A41</f>
        <v>37307</v>
      </c>
      <c r="E20" s="32" t="s">
        <v>85</v>
      </c>
      <c r="F20" s="32" t="s">
        <v>300</v>
      </c>
      <c r="G20" s="32" t="s">
        <v>113</v>
      </c>
      <c r="H20" s="32"/>
      <c r="I20" s="32"/>
      <c r="J20" s="32"/>
      <c r="K20" s="32"/>
      <c r="L20" s="32"/>
      <c r="M20" s="32" t="s">
        <v>243</v>
      </c>
      <c r="N20" s="379">
        <v>22864</v>
      </c>
      <c r="O20" s="70">
        <v>-58339.66</v>
      </c>
      <c r="P20" s="32" t="s">
        <v>246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32" t="s">
        <v>114</v>
      </c>
      <c r="B21" s="345">
        <f>+C21*$G$4</f>
        <v>94619.7</v>
      </c>
      <c r="C21" s="206">
        <f>+'PG&amp;E'!D40</f>
        <v>45057</v>
      </c>
      <c r="D21" s="364">
        <f>+'PG&amp;E'!A40</f>
        <v>37310</v>
      </c>
      <c r="E21" s="32" t="s">
        <v>84</v>
      </c>
      <c r="F21" s="32" t="s">
        <v>153</v>
      </c>
      <c r="G21" s="32" t="s">
        <v>102</v>
      </c>
      <c r="H21" s="32"/>
      <c r="I21" s="15"/>
      <c r="J21" s="32"/>
      <c r="K21" s="32"/>
      <c r="L21" s="32"/>
      <c r="M21" s="32" t="s">
        <v>243</v>
      </c>
      <c r="N21" s="379">
        <v>20379</v>
      </c>
      <c r="O21" s="70">
        <v>-51695.87</v>
      </c>
      <c r="P21" s="32" t="s">
        <v>246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31</v>
      </c>
      <c r="B22" s="345">
        <f>+C22*$G$5</f>
        <v>74520.600000000006</v>
      </c>
      <c r="C22" s="275">
        <f>+Lonestar!F43</f>
        <v>35486</v>
      </c>
      <c r="D22" s="363">
        <f>+Lonestar!A43</f>
        <v>37310</v>
      </c>
      <c r="E22" s="32" t="s">
        <v>84</v>
      </c>
      <c r="F22" s="32" t="s">
        <v>300</v>
      </c>
      <c r="G22" s="32" t="s">
        <v>102</v>
      </c>
      <c r="H22" s="32"/>
      <c r="I22" s="204"/>
      <c r="J22" s="32"/>
      <c r="K22" s="32"/>
      <c r="L22" s="32"/>
      <c r="M22" s="32" t="s">
        <v>243</v>
      </c>
      <c r="N22" s="379">
        <v>26357</v>
      </c>
      <c r="O22" s="70">
        <v>44144.84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28</v>
      </c>
      <c r="B23" s="345">
        <f>+C23*$G$3</f>
        <v>71236.2</v>
      </c>
      <c r="C23" s="275">
        <f>+williams!J40</f>
        <v>33922</v>
      </c>
      <c r="D23" s="363">
        <f>+williams!A40</f>
        <v>37310</v>
      </c>
      <c r="E23" s="204" t="s">
        <v>85</v>
      </c>
      <c r="F23" s="204" t="s">
        <v>153</v>
      </c>
      <c r="G23" s="204" t="s">
        <v>290</v>
      </c>
      <c r="H23" s="204"/>
      <c r="I23" s="32"/>
      <c r="J23" s="32"/>
      <c r="K23" s="32"/>
      <c r="L23" s="32"/>
      <c r="M23" s="32" t="s">
        <v>243</v>
      </c>
      <c r="N23" s="379">
        <v>21544</v>
      </c>
      <c r="O23" s="70">
        <v>61340.160000000003</v>
      </c>
      <c r="P23" s="32" t="s">
        <v>246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">
      <c r="A24" s="204" t="s">
        <v>306</v>
      </c>
      <c r="B24" s="345">
        <f>+Plains!$N$43</f>
        <v>63241.56</v>
      </c>
      <c r="C24" s="206">
        <f>+B24/$G$4</f>
        <v>30115.028571428567</v>
      </c>
      <c r="D24" s="363">
        <f>+Plains!A43</f>
        <v>37287</v>
      </c>
      <c r="E24" s="204" t="s">
        <v>85</v>
      </c>
      <c r="F24" s="204"/>
      <c r="G24" s="204" t="s">
        <v>100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">
      <c r="A25" s="204" t="s">
        <v>139</v>
      </c>
      <c r="B25" s="345">
        <f>+'Citizens-Griffith'!D41</f>
        <v>52311.7</v>
      </c>
      <c r="C25" s="275">
        <f>+B25/$G$4</f>
        <v>24910.333333333332</v>
      </c>
      <c r="D25" s="363">
        <f>+'Citizens-Griffith'!A41</f>
        <v>37310</v>
      </c>
      <c r="E25" s="204" t="s">
        <v>85</v>
      </c>
      <c r="F25" s="204" t="s">
        <v>300</v>
      </c>
      <c r="G25" s="204" t="s">
        <v>99</v>
      </c>
      <c r="H25" s="204"/>
      <c r="I25" s="204"/>
      <c r="J25" s="204"/>
      <c r="K25" s="204"/>
      <c r="L25" s="204"/>
      <c r="M25" s="204" t="s">
        <v>244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4" customFormat="1" ht="13.5" customHeight="1" x14ac:dyDescent="0.2">
      <c r="A26" s="32" t="s">
        <v>297</v>
      </c>
      <c r="B26" s="345">
        <f>+Stratland!$D$41</f>
        <v>48490.31</v>
      </c>
      <c r="C26" s="275">
        <f>+B26/$G$4</f>
        <v>23090.623809523808</v>
      </c>
      <c r="D26" s="363">
        <f>+Stratland!A41</f>
        <v>37287</v>
      </c>
      <c r="E26" s="32" t="s">
        <v>85</v>
      </c>
      <c r="F26" s="32" t="s">
        <v>299</v>
      </c>
      <c r="G26" s="32" t="s">
        <v>102</v>
      </c>
      <c r="H26" s="32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">
      <c r="A27" s="204" t="s">
        <v>109</v>
      </c>
      <c r="B27" s="345">
        <f>+Continental!F43</f>
        <v>48225.240000000005</v>
      </c>
      <c r="C27" s="206">
        <f>+B27/$G$4</f>
        <v>22964.400000000001</v>
      </c>
      <c r="D27" s="363">
        <f>+Continental!A43</f>
        <v>37310</v>
      </c>
      <c r="E27" s="204" t="s">
        <v>85</v>
      </c>
      <c r="F27" s="204" t="s">
        <v>153</v>
      </c>
      <c r="G27" s="204" t="s">
        <v>115</v>
      </c>
      <c r="H27" s="204"/>
      <c r="I27" s="204"/>
      <c r="J27" s="32"/>
      <c r="K27" s="32"/>
      <c r="L27" s="32"/>
      <c r="M27" s="32" t="s">
        <v>243</v>
      </c>
      <c r="N27" s="379">
        <v>26357</v>
      </c>
      <c r="O27" s="70">
        <v>44144.84</v>
      </c>
      <c r="P27" s="32" t="s">
        <v>246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4" customFormat="1" ht="13.5" customHeight="1" x14ac:dyDescent="0.2">
      <c r="A28" s="204" t="s">
        <v>127</v>
      </c>
      <c r="B28" s="345">
        <f>+Calpine!D41</f>
        <v>41046.300000000003</v>
      </c>
      <c r="C28" s="206">
        <f>+B28/$G$4</f>
        <v>19545.857142857145</v>
      </c>
      <c r="D28" s="363">
        <f>+Calpine!A41</f>
        <v>37310</v>
      </c>
      <c r="E28" s="204" t="s">
        <v>85</v>
      </c>
      <c r="F28" s="204" t="s">
        <v>152</v>
      </c>
      <c r="G28" s="204" t="s">
        <v>99</v>
      </c>
      <c r="H28" s="204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32" t="s">
        <v>110</v>
      </c>
      <c r="B29" s="345">
        <f>+C29*$G$4</f>
        <v>36932.700000000004</v>
      </c>
      <c r="C29" s="275">
        <f>+CIG!D42</f>
        <v>17587</v>
      </c>
      <c r="D29" s="364">
        <f>+CIG!A42</f>
        <v>37310</v>
      </c>
      <c r="E29" s="204" t="s">
        <v>84</v>
      </c>
      <c r="F29" s="32" t="s">
        <v>153</v>
      </c>
      <c r="G29" s="32" t="s">
        <v>113</v>
      </c>
      <c r="H29" s="609" t="s">
        <v>314</v>
      </c>
      <c r="I29" s="613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204" t="s">
        <v>146</v>
      </c>
      <c r="B30" s="345">
        <f>+PGETX!$H$39</f>
        <v>25570.800000000003</v>
      </c>
      <c r="C30" s="275">
        <f>+B30/$G$4</f>
        <v>12176.571428571429</v>
      </c>
      <c r="D30" s="363">
        <f>+PGETX!E39</f>
        <v>37310</v>
      </c>
      <c r="E30" s="204" t="s">
        <v>85</v>
      </c>
      <c r="F30" s="204" t="s">
        <v>153</v>
      </c>
      <c r="G30" s="204" t="s">
        <v>102</v>
      </c>
      <c r="H30" s="204"/>
      <c r="I30" s="249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">
      <c r="A31" s="204" t="s">
        <v>142</v>
      </c>
      <c r="B31" s="346">
        <f>+C31*$G$4</f>
        <v>24326.400000000001</v>
      </c>
      <c r="C31" s="347">
        <f>+PEPL!D41</f>
        <v>11584</v>
      </c>
      <c r="D31" s="363">
        <f>+PEPL!A41</f>
        <v>37310</v>
      </c>
      <c r="E31" s="204" t="s">
        <v>84</v>
      </c>
      <c r="F31" s="204" t="s">
        <v>300</v>
      </c>
      <c r="G31" s="204" t="s">
        <v>100</v>
      </c>
      <c r="H31" s="32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204" t="s">
        <v>71</v>
      </c>
      <c r="B32" s="346">
        <f>+transcol!$D$43</f>
        <v>22181.8</v>
      </c>
      <c r="C32" s="347">
        <f>+B32/$G$4</f>
        <v>10562.761904761905</v>
      </c>
      <c r="D32" s="363">
        <f>+transcol!A43</f>
        <v>37310</v>
      </c>
      <c r="E32" s="204" t="s">
        <v>85</v>
      </c>
      <c r="F32" s="204" t="s">
        <v>152</v>
      </c>
      <c r="G32" s="204" t="s">
        <v>115</v>
      </c>
      <c r="H32" s="204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32" t="s">
        <v>280</v>
      </c>
      <c r="B33" s="345">
        <f>+'WTG inc'!N43</f>
        <v>21368.61</v>
      </c>
      <c r="C33" s="275">
        <f>+B33/$G$4</f>
        <v>10175.528571428571</v>
      </c>
      <c r="D33" s="364">
        <f>+'WTG inc'!A43</f>
        <v>37307</v>
      </c>
      <c r="E33" s="32" t="s">
        <v>85</v>
      </c>
      <c r="F33" s="32" t="s">
        <v>152</v>
      </c>
      <c r="G33" s="32" t="s">
        <v>115</v>
      </c>
      <c r="H33" s="204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32" t="s">
        <v>6</v>
      </c>
      <c r="B34" s="614">
        <f>+Oasis!$D$40</f>
        <v>17956.329999999998</v>
      </c>
      <c r="C34" s="206">
        <f>+B34/$G$5</f>
        <v>8550.6333333333314</v>
      </c>
      <c r="D34" s="364">
        <f>+Oasis!A40</f>
        <v>37310</v>
      </c>
      <c r="E34" s="32" t="s">
        <v>85</v>
      </c>
      <c r="F34" s="32" t="s">
        <v>153</v>
      </c>
      <c r="G34" s="32" t="s">
        <v>102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54" customFormat="1" ht="13.5" customHeight="1" x14ac:dyDescent="0.2">
      <c r="A35" s="204" t="s">
        <v>87</v>
      </c>
      <c r="B35" s="614">
        <f>+NNG!$D$24</f>
        <v>13280.67</v>
      </c>
      <c r="C35" s="275">
        <f>+B35/$G$4</f>
        <v>6324.1285714285714</v>
      </c>
      <c r="D35" s="363">
        <f>+NNG!A24</f>
        <v>37310</v>
      </c>
      <c r="E35" s="204" t="s">
        <v>85</v>
      </c>
      <c r="F35" s="204" t="s">
        <v>299</v>
      </c>
      <c r="G35" s="204" t="s">
        <v>100</v>
      </c>
      <c r="H35" s="204"/>
      <c r="I35" s="204"/>
      <c r="J35" s="204"/>
      <c r="K35" s="204"/>
      <c r="L35" s="204"/>
      <c r="M35" s="204"/>
      <c r="N35" s="469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s="554" customFormat="1" ht="13.5" customHeight="1" x14ac:dyDescent="0.2">
      <c r="A36" s="32" t="s">
        <v>131</v>
      </c>
      <c r="B36" s="614">
        <f>+SidR!D41</f>
        <v>8153.64</v>
      </c>
      <c r="C36" s="275">
        <f>+B36/$G$5</f>
        <v>3882.6857142857143</v>
      </c>
      <c r="D36" s="364">
        <f>+SidR!A41</f>
        <v>37310</v>
      </c>
      <c r="E36" s="32" t="s">
        <v>85</v>
      </c>
      <c r="F36" s="32" t="s">
        <v>151</v>
      </c>
      <c r="G36" s="32" t="s">
        <v>102</v>
      </c>
      <c r="H36" s="32"/>
      <c r="I36" s="204"/>
      <c r="J36" s="204"/>
      <c r="K36" s="204"/>
      <c r="L36" s="204"/>
      <c r="M36" s="204"/>
      <c r="N36" s="469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3.5" customHeight="1" x14ac:dyDescent="0.2">
      <c r="A37" s="32" t="s">
        <v>103</v>
      </c>
      <c r="B37" s="615">
        <f>+EOG!$J$41</f>
        <v>3470.41</v>
      </c>
      <c r="C37" s="71">
        <f>+B37/$G$4</f>
        <v>1652.5761904761903</v>
      </c>
      <c r="D37" s="363">
        <f>+EOG!A41</f>
        <v>37310</v>
      </c>
      <c r="E37" s="32" t="s">
        <v>85</v>
      </c>
      <c r="F37" s="32" t="s">
        <v>299</v>
      </c>
      <c r="G37" s="32" t="s">
        <v>102</v>
      </c>
      <c r="H37" s="32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8" customHeight="1" x14ac:dyDescent="0.2">
      <c r="A38" s="32" t="s">
        <v>96</v>
      </c>
      <c r="B38" s="47">
        <f>SUM(B8:B37)</f>
        <v>4118480.2500000005</v>
      </c>
      <c r="C38" s="69">
        <f>SUM(C8:C37)</f>
        <v>1961181.0714285711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2"/>
      <c r="B39" s="47"/>
      <c r="C39" s="69"/>
      <c r="D39" s="203"/>
      <c r="E39" s="32"/>
      <c r="F39" s="350"/>
      <c r="G39" s="350"/>
      <c r="H39" s="32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34" t="s">
        <v>89</v>
      </c>
      <c r="B40" s="335" t="s">
        <v>16</v>
      </c>
      <c r="C40" s="336" t="s">
        <v>0</v>
      </c>
      <c r="D40" s="343" t="s">
        <v>145</v>
      </c>
      <c r="E40" s="334" t="s">
        <v>90</v>
      </c>
      <c r="F40" s="337" t="s">
        <v>101</v>
      </c>
      <c r="G40" s="337" t="s">
        <v>101</v>
      </c>
      <c r="H40" s="334" t="s">
        <v>98</v>
      </c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204" t="s">
        <v>135</v>
      </c>
      <c r="B41" s="345">
        <f>+Citizens!D18</f>
        <v>-574798.09000000008</v>
      </c>
      <c r="C41" s="206">
        <f>+B41/$G$4</f>
        <v>-273713.37619047624</v>
      </c>
      <c r="D41" s="363">
        <f>+Citizens!A18</f>
        <v>37310</v>
      </c>
      <c r="E41" s="204" t="s">
        <v>85</v>
      </c>
      <c r="F41" s="204" t="s">
        <v>300</v>
      </c>
      <c r="G41" s="204" t="s">
        <v>99</v>
      </c>
      <c r="H41" s="351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32" t="s">
        <v>133</v>
      </c>
      <c r="B42" s="345">
        <f>+'NS Steel'!D41</f>
        <v>-265829.3</v>
      </c>
      <c r="C42" s="206">
        <f>+B42/$G$4</f>
        <v>-126585.38095238095</v>
      </c>
      <c r="D42" s="364">
        <f>+'NS Steel'!A41</f>
        <v>37310</v>
      </c>
      <c r="E42" s="32" t="s">
        <v>85</v>
      </c>
      <c r="F42" s="32" t="s">
        <v>153</v>
      </c>
      <c r="G42" s="32" t="s">
        <v>100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04" t="s">
        <v>257</v>
      </c>
      <c r="B43" s="345">
        <f>+MiVida_Rich!D41</f>
        <v>-192285.66</v>
      </c>
      <c r="C43" s="206">
        <f>+B43/$G$5</f>
        <v>-91564.599999999991</v>
      </c>
      <c r="D43" s="363">
        <f>+MiVida_Rich!A41</f>
        <v>37287</v>
      </c>
      <c r="E43" s="204" t="s">
        <v>85</v>
      </c>
      <c r="F43" s="204" t="s">
        <v>151</v>
      </c>
      <c r="G43" s="204" t="s">
        <v>102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204" t="s">
        <v>310</v>
      </c>
      <c r="B44" s="346">
        <f>+Duke!B83</f>
        <v>-174989.20999999961</v>
      </c>
      <c r="C44" s="347">
        <f>+B44/$G$5</f>
        <v>-83328.195238095053</v>
      </c>
      <c r="D44" s="363">
        <f>+DEFS!A40</f>
        <v>37310</v>
      </c>
      <c r="E44" s="204" t="s">
        <v>85</v>
      </c>
      <c r="F44" s="32" t="s">
        <v>152</v>
      </c>
      <c r="G44" s="32" t="s">
        <v>100</v>
      </c>
      <c r="H44" s="32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55" customFormat="1" ht="13.5" customHeight="1" x14ac:dyDescent="0.2">
      <c r="A45" s="32" t="s">
        <v>215</v>
      </c>
      <c r="B45" s="345">
        <f>+crosstex!F41</f>
        <v>-125350.09000000001</v>
      </c>
      <c r="C45" s="206">
        <f>+B45/$G$4</f>
        <v>-59690.519047619047</v>
      </c>
      <c r="D45" s="364">
        <f>+crosstex!A41</f>
        <v>37310</v>
      </c>
      <c r="E45" s="32" t="s">
        <v>85</v>
      </c>
      <c r="F45" s="32" t="s">
        <v>151</v>
      </c>
      <c r="G45" s="32" t="s">
        <v>100</v>
      </c>
      <c r="H45" s="351"/>
      <c r="I45" s="249"/>
      <c r="J45" s="249"/>
      <c r="K45" s="249"/>
      <c r="L45" s="249"/>
      <c r="M45" s="32"/>
      <c r="N45" s="469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ht="13.5" customHeight="1" x14ac:dyDescent="0.2">
      <c r="A46" s="204" t="s">
        <v>95</v>
      </c>
      <c r="B46" s="345">
        <f>+burlington!D42</f>
        <v>-66359.86</v>
      </c>
      <c r="C46" s="275">
        <f>+B46/$G$3</f>
        <v>-31599.933333333331</v>
      </c>
      <c r="D46" s="363">
        <f>+burlington!A42</f>
        <v>37310</v>
      </c>
      <c r="E46" s="204" t="s">
        <v>85</v>
      </c>
      <c r="F46" s="32" t="s">
        <v>153</v>
      </c>
      <c r="G46" s="32" t="s">
        <v>113</v>
      </c>
      <c r="H46" s="32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54" customFormat="1" ht="13.5" customHeight="1" x14ac:dyDescent="0.2">
      <c r="A47" s="32" t="s">
        <v>1</v>
      </c>
      <c r="B47" s="345">
        <f>+C47*$G$3</f>
        <v>-38031</v>
      </c>
      <c r="C47" s="206">
        <f>+NW!$F$41</f>
        <v>-18110</v>
      </c>
      <c r="D47" s="363">
        <f>+NW!B41</f>
        <v>37310</v>
      </c>
      <c r="E47" s="32" t="s">
        <v>84</v>
      </c>
      <c r="F47" s="32" t="s">
        <v>152</v>
      </c>
      <c r="G47" s="32" t="s">
        <v>115</v>
      </c>
      <c r="H47" s="351"/>
      <c r="I47" s="204"/>
      <c r="J47" s="204"/>
      <c r="K47" s="204"/>
      <c r="L47" s="204"/>
      <c r="M47" s="204"/>
      <c r="N47" s="469"/>
      <c r="O47" s="273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">
      <c r="A48" s="204" t="s">
        <v>203</v>
      </c>
      <c r="B48" s="346">
        <f>+WTGmktg!J43</f>
        <v>-27185.369999999995</v>
      </c>
      <c r="C48" s="206">
        <f>+B48/$G$4</f>
        <v>-12945.414285714283</v>
      </c>
      <c r="D48" s="363">
        <f>+WTGmktg!A43</f>
        <v>37310</v>
      </c>
      <c r="E48" s="32" t="s">
        <v>85</v>
      </c>
      <c r="F48" s="204" t="s">
        <v>152</v>
      </c>
      <c r="G48" s="204" t="s">
        <v>115</v>
      </c>
      <c r="H48" s="204"/>
      <c r="I48" s="32"/>
      <c r="J48" s="32"/>
      <c r="K48" s="32"/>
      <c r="L48" s="32"/>
      <c r="M48" s="32" t="s">
        <v>243</v>
      </c>
      <c r="N48" s="379">
        <v>23995</v>
      </c>
      <c r="O48" s="70">
        <v>-1023166</v>
      </c>
      <c r="P48" s="32" t="s">
        <v>245</v>
      </c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">
      <c r="A49" s="32" t="s">
        <v>277</v>
      </c>
      <c r="B49" s="345">
        <f>+SWGasTrans!$D$41</f>
        <v>-22389.07</v>
      </c>
      <c r="C49" s="275">
        <f>+B49/$G$4</f>
        <v>-10661.461904761903</v>
      </c>
      <c r="D49" s="363">
        <f>+SWGasTrans!A41</f>
        <v>37310</v>
      </c>
      <c r="E49" s="32" t="s">
        <v>85</v>
      </c>
      <c r="F49" s="32" t="s">
        <v>152</v>
      </c>
      <c r="G49" s="32" t="s">
        <v>99</v>
      </c>
      <c r="H49" s="32"/>
      <c r="I49" s="32"/>
      <c r="J49" s="32"/>
      <c r="K49" s="32"/>
      <c r="L49" s="32"/>
      <c r="M49" s="32"/>
      <c r="N49" s="379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554" customFormat="1" ht="13.5" customHeight="1" x14ac:dyDescent="0.2">
      <c r="A50" s="204" t="s">
        <v>33</v>
      </c>
      <c r="B50" s="345">
        <f>+'El Paso'!C39*summary!G4+'El Paso'!E39*summary!G3</f>
        <v>-7851.9000000000233</v>
      </c>
      <c r="C50" s="275">
        <f>+'El Paso'!H39</f>
        <v>-3739</v>
      </c>
      <c r="D50" s="363">
        <f>+'El Paso'!A39</f>
        <v>37310</v>
      </c>
      <c r="E50" s="204" t="s">
        <v>84</v>
      </c>
      <c r="F50" s="204" t="s">
        <v>153</v>
      </c>
      <c r="G50" s="204" t="s">
        <v>100</v>
      </c>
      <c r="H50" s="32"/>
      <c r="I50" s="204"/>
      <c r="J50" s="204"/>
      <c r="K50" s="204"/>
      <c r="L50" s="204"/>
      <c r="M50" s="204" t="s">
        <v>242</v>
      </c>
      <c r="N50" s="469">
        <v>24268</v>
      </c>
      <c r="O50" s="273">
        <v>1481856.66</v>
      </c>
      <c r="P50" s="273">
        <f>+O50</f>
        <v>1481856.66</v>
      </c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54" customFormat="1" ht="13.5" customHeight="1" x14ac:dyDescent="0.2">
      <c r="A51" s="32" t="s">
        <v>209</v>
      </c>
      <c r="B51" s="345">
        <f>+Devon!D41</f>
        <v>-3966.9</v>
      </c>
      <c r="C51" s="275">
        <f>+B51/$G$5</f>
        <v>-1889</v>
      </c>
      <c r="D51" s="364">
        <f>+Devon!A41</f>
        <v>37310</v>
      </c>
      <c r="E51" s="32" t="s">
        <v>85</v>
      </c>
      <c r="F51" s="32" t="s">
        <v>300</v>
      </c>
      <c r="G51" s="32" t="s">
        <v>99</v>
      </c>
      <c r="H51" s="32" t="s">
        <v>311</v>
      </c>
      <c r="I51" s="204"/>
      <c r="J51" s="204"/>
      <c r="K51" s="204"/>
      <c r="L51" s="204"/>
      <c r="M51" s="204"/>
      <c r="N51" s="469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54" customFormat="1" ht="13.5" customHeight="1" x14ac:dyDescent="0.2">
      <c r="A52" s="32" t="s">
        <v>288</v>
      </c>
      <c r="B52" s="348">
        <f>+C52*$G$3</f>
        <v>-2436</v>
      </c>
      <c r="C52" s="71">
        <f>+Amoco!D40</f>
        <v>-1160</v>
      </c>
      <c r="D52" s="364">
        <f>+Amoco!A40</f>
        <v>37310</v>
      </c>
      <c r="E52" s="32" t="s">
        <v>84</v>
      </c>
      <c r="F52" s="32" t="s">
        <v>152</v>
      </c>
      <c r="G52" s="32" t="s">
        <v>115</v>
      </c>
      <c r="H52" s="249"/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">
      <c r="A53" s="32" t="s">
        <v>97</v>
      </c>
      <c r="B53" s="345">
        <f>SUM(B41:B52)</f>
        <v>-1501472.4500000002</v>
      </c>
      <c r="C53" s="206">
        <f>SUM(C41:C52)</f>
        <v>-714986.88095238071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+B53+B38</f>
        <v>2617007.8000000003</v>
      </c>
      <c r="C55" s="354">
        <f>+C53+C38</f>
        <v>1246194.1904761903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260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258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259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261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262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264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265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266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267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268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270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272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273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274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271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271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271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292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278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263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269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293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294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4" workbookViewId="0">
      <selection activeCell="B6" sqref="B6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-38190</v>
      </c>
      <c r="C6" s="80"/>
      <c r="D6" s="80">
        <f t="shared" ref="D6:D14" si="0">+C6-B6</f>
        <v>38190</v>
      </c>
    </row>
    <row r="7" spans="1:4" x14ac:dyDescent="0.2">
      <c r="A7" s="32">
        <v>3531</v>
      </c>
      <c r="B7" s="309">
        <v>-695422</v>
      </c>
      <c r="C7" s="80">
        <v>-276683</v>
      </c>
      <c r="D7" s="80">
        <f t="shared" si="0"/>
        <v>418739</v>
      </c>
    </row>
    <row r="8" spans="1:4" x14ac:dyDescent="0.2">
      <c r="A8" s="32">
        <v>60667</v>
      </c>
      <c r="B8" s="309">
        <v>-18</v>
      </c>
      <c r="C8" s="80">
        <v>-782731</v>
      </c>
      <c r="D8" s="80">
        <f t="shared" si="0"/>
        <v>-782713</v>
      </c>
    </row>
    <row r="9" spans="1:4" x14ac:dyDescent="0.2">
      <c r="A9" s="32">
        <v>60749</v>
      </c>
      <c r="B9" s="309">
        <v>74665</v>
      </c>
      <c r="C9" s="80">
        <v>-111900</v>
      </c>
      <c r="D9" s="80">
        <f t="shared" si="0"/>
        <v>-186565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-513675</v>
      </c>
      <c r="C11" s="80"/>
      <c r="D11" s="80">
        <f t="shared" si="0"/>
        <v>513675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1326</v>
      </c>
    </row>
    <row r="19" spans="1:5" x14ac:dyDescent="0.2">
      <c r="A19" s="32" t="s">
        <v>81</v>
      </c>
      <c r="B19" s="69"/>
      <c r="C19" s="69"/>
      <c r="D19" s="73">
        <f>+summary!G4</f>
        <v>2.1</v>
      </c>
    </row>
    <row r="20" spans="1:5" x14ac:dyDescent="0.2">
      <c r="B20" s="69"/>
      <c r="C20" s="69"/>
      <c r="D20" s="75">
        <f>+D19*D18</f>
        <v>2784.6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98">
        <v>10496.07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37310</v>
      </c>
      <c r="B24" s="69"/>
      <c r="C24" s="69"/>
      <c r="D24" s="331">
        <f>+D22+D20</f>
        <v>13280.67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v>37256</v>
      </c>
      <c r="D32" s="585">
        <v>4346</v>
      </c>
    </row>
    <row r="33" spans="1:4" x14ac:dyDescent="0.2">
      <c r="A33" s="49">
        <f>+A24</f>
        <v>37310</v>
      </c>
      <c r="D33" s="349">
        <f>+D18</f>
        <v>1326</v>
      </c>
    </row>
    <row r="34" spans="1:4" x14ac:dyDescent="0.2">
      <c r="D34" s="14">
        <f>+D33+D32</f>
        <v>5672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2" workbookViewId="0">
      <selection activeCell="C9" sqref="C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v>-84061</v>
      </c>
      <c r="C5" s="90">
        <v>-46494</v>
      </c>
      <c r="D5" s="90">
        <f t="shared" ref="D5:D13" si="0">+C5-B5</f>
        <v>37567</v>
      </c>
      <c r="E5" s="69"/>
      <c r="F5" s="201"/>
    </row>
    <row r="6" spans="1:11" x14ac:dyDescent="0.2">
      <c r="A6" s="87">
        <v>9238</v>
      </c>
      <c r="B6" s="90">
        <v>-17519</v>
      </c>
      <c r="C6" s="90">
        <v>-23000</v>
      </c>
      <c r="D6" s="90">
        <f t="shared" si="0"/>
        <v>-5481</v>
      </c>
      <c r="E6" s="275"/>
      <c r="F6" s="201"/>
      <c r="K6" s="65"/>
    </row>
    <row r="7" spans="1:11" x14ac:dyDescent="0.2">
      <c r="A7" s="87">
        <v>56422</v>
      </c>
      <c r="B7" s="90">
        <v>-1812066</v>
      </c>
      <c r="C7" s="90">
        <v>-1687727</v>
      </c>
      <c r="D7" s="90">
        <f t="shared" si="0"/>
        <v>124339</v>
      </c>
      <c r="E7" s="275"/>
      <c r="F7" s="201"/>
    </row>
    <row r="8" spans="1:11" x14ac:dyDescent="0.2">
      <c r="A8" s="87">
        <v>58710</v>
      </c>
      <c r="B8" s="90">
        <v>-4947</v>
      </c>
      <c r="C8" s="90">
        <v>-32120</v>
      </c>
      <c r="D8" s="90">
        <f t="shared" si="0"/>
        <v>-27173</v>
      </c>
      <c r="E8" s="275"/>
      <c r="F8" s="201"/>
    </row>
    <row r="9" spans="1:11" x14ac:dyDescent="0.2">
      <c r="A9" s="87">
        <v>60921</v>
      </c>
      <c r="B9" s="90">
        <v>-1335757</v>
      </c>
      <c r="C9" s="90">
        <v>-1419620</v>
      </c>
      <c r="D9" s="90">
        <f t="shared" si="0"/>
        <v>-83863</v>
      </c>
      <c r="E9" s="275"/>
      <c r="F9" s="201"/>
    </row>
    <row r="10" spans="1:11" x14ac:dyDescent="0.2">
      <c r="A10" s="87">
        <v>78026</v>
      </c>
      <c r="B10" s="90"/>
      <c r="C10" s="90">
        <v>12650</v>
      </c>
      <c r="D10" s="90">
        <f t="shared" si="0"/>
        <v>12650</v>
      </c>
      <c r="E10" s="275"/>
      <c r="F10" s="465"/>
    </row>
    <row r="11" spans="1:11" x14ac:dyDescent="0.2">
      <c r="A11" s="87">
        <v>500084</v>
      </c>
      <c r="B11" s="90">
        <v>-49389</v>
      </c>
      <c r="C11" s="90">
        <v>-69000</v>
      </c>
      <c r="D11" s="90">
        <f t="shared" si="0"/>
        <v>-19611</v>
      </c>
      <c r="E11" s="276"/>
      <c r="F11" s="465"/>
    </row>
    <row r="12" spans="1:11" x14ac:dyDescent="0.2">
      <c r="A12" s="317">
        <v>500085</v>
      </c>
      <c r="B12" s="90">
        <v>-3597</v>
      </c>
      <c r="C12" s="90"/>
      <c r="D12" s="90">
        <f t="shared" si="0"/>
        <v>3597</v>
      </c>
      <c r="E12" s="275"/>
      <c r="F12" s="465"/>
    </row>
    <row r="13" spans="1:11" x14ac:dyDescent="0.2">
      <c r="A13" s="87">
        <v>500097</v>
      </c>
      <c r="B13" s="90">
        <v>-62674</v>
      </c>
      <c r="C13" s="90">
        <v>-94961</v>
      </c>
      <c r="D13" s="90">
        <f t="shared" si="0"/>
        <v>-32287</v>
      </c>
      <c r="E13" s="275"/>
      <c r="F13" s="465"/>
    </row>
    <row r="14" spans="1:11" x14ac:dyDescent="0.2">
      <c r="A14" s="87"/>
      <c r="B14" s="90"/>
      <c r="C14" s="90"/>
      <c r="D14" s="90"/>
      <c r="E14" s="275"/>
      <c r="F14" s="465"/>
    </row>
    <row r="15" spans="1:11" x14ac:dyDescent="0.2">
      <c r="A15" s="87"/>
      <c r="B15" s="90"/>
      <c r="C15" s="90"/>
      <c r="D15" s="90"/>
      <c r="E15" s="275"/>
      <c r="F15" s="465"/>
    </row>
    <row r="16" spans="1:11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9738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2.1</v>
      </c>
      <c r="E18" s="277"/>
      <c r="F18" s="465"/>
    </row>
    <row r="19" spans="1:7" x14ac:dyDescent="0.2">
      <c r="A19" s="87"/>
      <c r="B19" s="88"/>
      <c r="C19" s="88"/>
      <c r="D19" s="96">
        <f>+D18*D17</f>
        <v>20449.8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62">
        <v>835344.24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37310</v>
      </c>
      <c r="B23" s="88"/>
      <c r="C23" s="88"/>
      <c r="D23" s="318">
        <f>+D21+D19</f>
        <v>855794.04</v>
      </c>
      <c r="E23" s="207"/>
      <c r="F23" s="466"/>
    </row>
    <row r="24" spans="1:7" ht="13.5" thickTop="1" x14ac:dyDescent="0.2">
      <c r="E24" s="278"/>
    </row>
    <row r="25" spans="1:7" x14ac:dyDescent="0.2">
      <c r="E25" s="498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485">
        <v>340221</v>
      </c>
    </row>
    <row r="29" spans="1:7" x14ac:dyDescent="0.2">
      <c r="A29" s="49">
        <f>+A23</f>
        <v>37310</v>
      </c>
      <c r="B29" s="32"/>
      <c r="C29" s="32"/>
      <c r="D29" s="349">
        <f>+D17</f>
        <v>9738</v>
      </c>
    </row>
    <row r="30" spans="1:7" x14ac:dyDescent="0.2">
      <c r="A30" s="32"/>
      <c r="B30" s="32"/>
      <c r="C30" s="32"/>
      <c r="D30" s="14">
        <f>+D29+D28</f>
        <v>349959</v>
      </c>
      <c r="E30" s="344"/>
    </row>
    <row r="31" spans="1:7" x14ac:dyDescent="0.2">
      <c r="A31" s="139"/>
      <c r="B31" s="119"/>
      <c r="C31" s="140"/>
      <c r="D31" s="518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3" workbookViewId="0">
      <selection activeCell="D25" sqref="D25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">
      <c r="A6">
        <v>4</v>
      </c>
      <c r="B6" s="90">
        <v>40650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-2575</v>
      </c>
      <c r="K6" t="s">
        <v>234</v>
      </c>
      <c r="R6" t="s">
        <v>235</v>
      </c>
    </row>
    <row r="7" spans="1:26" x14ac:dyDescent="0.2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>
        <v>45768</v>
      </c>
      <c r="C14" s="90">
        <v>37497</v>
      </c>
      <c r="D14" s="88"/>
      <c r="E14" s="88"/>
      <c r="F14" s="88">
        <v>14699</v>
      </c>
      <c r="G14" s="88">
        <v>23449</v>
      </c>
      <c r="H14" s="90">
        <f t="shared" si="0"/>
        <v>479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>
        <v>33659</v>
      </c>
      <c r="C15" s="88">
        <v>33643</v>
      </c>
      <c r="D15" s="88"/>
      <c r="E15" s="88"/>
      <c r="F15" s="88">
        <v>29075</v>
      </c>
      <c r="G15" s="88">
        <v>28943</v>
      </c>
      <c r="H15" s="90">
        <f t="shared" si="0"/>
        <v>-148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>
        <v>33891</v>
      </c>
      <c r="C16" s="88">
        <v>33684</v>
      </c>
      <c r="D16" s="88"/>
      <c r="E16" s="88"/>
      <c r="F16" s="88">
        <v>28918</v>
      </c>
      <c r="G16" s="88">
        <v>28943</v>
      </c>
      <c r="H16" s="90">
        <f t="shared" si="0"/>
        <v>-182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>
        <v>33682</v>
      </c>
      <c r="C17" s="88">
        <v>33684</v>
      </c>
      <c r="D17" s="327">
        <v>-3456</v>
      </c>
      <c r="E17" s="327">
        <v>-10000</v>
      </c>
      <c r="F17" s="327">
        <v>28439</v>
      </c>
      <c r="G17" s="327">
        <v>28452</v>
      </c>
      <c r="H17" s="90">
        <f t="shared" si="0"/>
        <v>-6529</v>
      </c>
    </row>
    <row r="18" spans="1:23" x14ac:dyDescent="0.2">
      <c r="A18">
        <v>16</v>
      </c>
      <c r="B18" s="88">
        <v>33687</v>
      </c>
      <c r="C18" s="88">
        <v>33684</v>
      </c>
      <c r="D18" s="327"/>
      <c r="E18" s="327">
        <v>-4795</v>
      </c>
      <c r="F18" s="327">
        <v>28439</v>
      </c>
      <c r="G18" s="327">
        <v>28452</v>
      </c>
      <c r="H18" s="90">
        <f t="shared" si="0"/>
        <v>-4785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>
        <v>33681</v>
      </c>
      <c r="C19" s="88">
        <v>33684</v>
      </c>
      <c r="D19" s="327"/>
      <c r="E19" s="327">
        <v>-5000</v>
      </c>
      <c r="F19" s="327">
        <v>28436</v>
      </c>
      <c r="G19" s="327">
        <v>28452</v>
      </c>
      <c r="H19" s="90">
        <f t="shared" si="0"/>
        <v>-4981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>
        <v>33667</v>
      </c>
      <c r="C20" s="327">
        <v>33684</v>
      </c>
      <c r="D20" s="327"/>
      <c r="E20" s="327">
        <v>-4813</v>
      </c>
      <c r="F20" s="327">
        <v>28416</v>
      </c>
      <c r="G20" s="327">
        <v>28452</v>
      </c>
      <c r="H20" s="90">
        <f t="shared" si="0"/>
        <v>-4760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>
        <v>33680</v>
      </c>
      <c r="C21" s="327">
        <v>33684</v>
      </c>
      <c r="D21" s="327"/>
      <c r="E21" s="327">
        <v>-5000</v>
      </c>
      <c r="F21" s="327">
        <v>28419</v>
      </c>
      <c r="G21" s="327">
        <v>28452</v>
      </c>
      <c r="H21" s="90">
        <f t="shared" si="0"/>
        <v>-4963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>
        <v>50293</v>
      </c>
      <c r="C22" s="327">
        <v>50450</v>
      </c>
      <c r="D22" s="327"/>
      <c r="E22" s="327">
        <v>-5000</v>
      </c>
      <c r="F22" s="327">
        <v>28415</v>
      </c>
      <c r="G22" s="327">
        <v>28452</v>
      </c>
      <c r="H22" s="90">
        <f t="shared" si="0"/>
        <v>-4806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>
        <v>52677</v>
      </c>
      <c r="C23" s="327">
        <v>52684</v>
      </c>
      <c r="D23" s="327">
        <v>-284</v>
      </c>
      <c r="E23" s="327"/>
      <c r="F23" s="327">
        <v>28432</v>
      </c>
      <c r="G23" s="327">
        <v>28452</v>
      </c>
      <c r="H23" s="90">
        <f t="shared" si="0"/>
        <v>311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>
        <v>48733</v>
      </c>
      <c r="C24" s="327">
        <v>48684</v>
      </c>
      <c r="D24" s="327">
        <v>-66783</v>
      </c>
      <c r="E24" s="327">
        <v>-78600</v>
      </c>
      <c r="F24" s="327">
        <v>28393</v>
      </c>
      <c r="G24" s="327">
        <v>28452</v>
      </c>
      <c r="H24" s="90">
        <f t="shared" si="0"/>
        <v>-11807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>
        <v>45700</v>
      </c>
      <c r="C25" s="327">
        <v>45653</v>
      </c>
      <c r="D25" s="327">
        <v>-35089</v>
      </c>
      <c r="E25" s="327">
        <v>-43800</v>
      </c>
      <c r="F25" s="327">
        <v>28192</v>
      </c>
      <c r="G25" s="327">
        <v>28452</v>
      </c>
      <c r="H25" s="90">
        <f t="shared" si="0"/>
        <v>-8498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928641</v>
      </c>
      <c r="C34" s="287">
        <f t="shared" si="2"/>
        <v>920668</v>
      </c>
      <c r="D34" s="14">
        <f t="shared" si="2"/>
        <v>-105612</v>
      </c>
      <c r="E34" s="14">
        <f t="shared" si="2"/>
        <v>-158760</v>
      </c>
      <c r="F34" s="14">
        <f t="shared" si="2"/>
        <v>613361</v>
      </c>
      <c r="G34" s="14">
        <f t="shared" si="2"/>
        <v>603809</v>
      </c>
      <c r="H34" s="14">
        <f t="shared" si="2"/>
        <v>-70673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81"/>
      <c r="O36" s="259"/>
      <c r="P36" s="259"/>
      <c r="Q36" s="259"/>
      <c r="V36" s="259"/>
      <c r="W36" s="259"/>
    </row>
    <row r="37" spans="1:23" x14ac:dyDescent="0.2">
      <c r="A37" s="256">
        <v>37287</v>
      </c>
      <c r="B37" s="14"/>
      <c r="C37" s="14"/>
      <c r="D37" s="14"/>
      <c r="E37" s="14"/>
      <c r="F37" s="14"/>
      <c r="G37" s="14"/>
      <c r="H37" s="576">
        <f>8222+127244</f>
        <v>135466</v>
      </c>
      <c r="O37" s="259"/>
      <c r="P37" s="259"/>
      <c r="Q37" s="259"/>
      <c r="V37" s="259"/>
      <c r="W37" s="259"/>
    </row>
    <row r="38" spans="1:23" x14ac:dyDescent="0.2">
      <c r="A38" s="542">
        <v>37310</v>
      </c>
      <c r="B38" s="14"/>
      <c r="C38" s="14"/>
      <c r="D38" s="14"/>
      <c r="E38" s="14"/>
      <c r="F38" s="14"/>
      <c r="G38" s="14"/>
      <c r="H38" s="150">
        <f>+H37+H34</f>
        <v>64793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37287</v>
      </c>
      <c r="B43" s="32"/>
      <c r="C43" s="32"/>
      <c r="D43" s="573">
        <f>139025.55+196742</f>
        <v>335767.55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37310</v>
      </c>
      <c r="B44" s="32"/>
      <c r="C44" s="32"/>
      <c r="D44" s="374">
        <f>+H34*'by type_area'!G4</f>
        <v>-148413.30000000002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187354.24999999997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31" workbookViewId="0">
      <selection activeCell="C50" sqref="C50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">
      <c r="A15" s="10">
        <v>12</v>
      </c>
      <c r="B15" s="11">
        <v>-13793</v>
      </c>
      <c r="C15" s="11">
        <v>-19793</v>
      </c>
      <c r="D15" s="25">
        <f t="shared" si="0"/>
        <v>-6000</v>
      </c>
    </row>
    <row r="16" spans="1:4" x14ac:dyDescent="0.2">
      <c r="A16" s="10">
        <v>13</v>
      </c>
      <c r="B16" s="11">
        <v>-26751</v>
      </c>
      <c r="C16" s="11">
        <v>-19960</v>
      </c>
      <c r="D16" s="25">
        <f t="shared" si="0"/>
        <v>6791</v>
      </c>
    </row>
    <row r="17" spans="1:8" x14ac:dyDescent="0.2">
      <c r="A17" s="10">
        <v>14</v>
      </c>
      <c r="B17" s="11">
        <v>-20012</v>
      </c>
      <c r="C17" s="11">
        <v>-19960</v>
      </c>
      <c r="D17" s="25">
        <f t="shared" si="0"/>
        <v>52</v>
      </c>
    </row>
    <row r="18" spans="1:8" x14ac:dyDescent="0.2">
      <c r="A18" s="10">
        <v>15</v>
      </c>
      <c r="B18" s="11">
        <v>-20003</v>
      </c>
      <c r="C18" s="11">
        <v>-19960</v>
      </c>
      <c r="D18" s="25">
        <f t="shared" si="0"/>
        <v>43</v>
      </c>
    </row>
    <row r="19" spans="1:8" x14ac:dyDescent="0.2">
      <c r="A19" s="10">
        <v>16</v>
      </c>
      <c r="B19" s="11">
        <v>-19996</v>
      </c>
      <c r="C19" s="11">
        <v>-19960</v>
      </c>
      <c r="D19" s="25">
        <f t="shared" si="0"/>
        <v>36</v>
      </c>
    </row>
    <row r="20" spans="1:8" x14ac:dyDescent="0.2">
      <c r="A20" s="10">
        <v>17</v>
      </c>
      <c r="B20" s="11">
        <v>-10606</v>
      </c>
      <c r="C20" s="11">
        <v>-19960</v>
      </c>
      <c r="D20" s="25">
        <f t="shared" si="0"/>
        <v>-9354</v>
      </c>
    </row>
    <row r="21" spans="1:8" x14ac:dyDescent="0.2">
      <c r="A21" s="10">
        <v>18</v>
      </c>
      <c r="B21" s="11">
        <v>-19912</v>
      </c>
      <c r="C21" s="11">
        <v>-19960</v>
      </c>
      <c r="D21" s="25">
        <f t="shared" si="0"/>
        <v>-48</v>
      </c>
    </row>
    <row r="22" spans="1:8" x14ac:dyDescent="0.2">
      <c r="A22" s="10">
        <v>19</v>
      </c>
      <c r="B22" s="11">
        <v>-18547</v>
      </c>
      <c r="C22" s="11">
        <v>-19960</v>
      </c>
      <c r="D22" s="25">
        <f t="shared" si="0"/>
        <v>-1413</v>
      </c>
    </row>
    <row r="23" spans="1:8" x14ac:dyDescent="0.2">
      <c r="A23" s="10">
        <v>20</v>
      </c>
      <c r="B23" s="129">
        <v>-18011</v>
      </c>
      <c r="C23" s="11">
        <v>-19960</v>
      </c>
      <c r="D23" s="25">
        <f t="shared" si="0"/>
        <v>-1949</v>
      </c>
      <c r="F23" s="25"/>
      <c r="H23" s="34"/>
    </row>
    <row r="24" spans="1:8" x14ac:dyDescent="0.2">
      <c r="A24" s="10">
        <v>21</v>
      </c>
      <c r="B24" s="11">
        <v>-17995</v>
      </c>
      <c r="C24" s="11">
        <v>-19960</v>
      </c>
      <c r="D24" s="25">
        <f t="shared" si="0"/>
        <v>-1965</v>
      </c>
      <c r="F24" s="25"/>
    </row>
    <row r="25" spans="1:8" x14ac:dyDescent="0.2">
      <c r="A25" s="10">
        <v>22</v>
      </c>
      <c r="B25" s="11">
        <v>-1134</v>
      </c>
      <c r="C25" s="11">
        <v>-19960</v>
      </c>
      <c r="D25" s="25">
        <f t="shared" si="0"/>
        <v>-18826</v>
      </c>
      <c r="F25" s="25"/>
    </row>
    <row r="26" spans="1:8" x14ac:dyDescent="0.2">
      <c r="A26" s="10">
        <v>23</v>
      </c>
      <c r="B26" s="11">
        <v>-20002</v>
      </c>
      <c r="C26" s="11">
        <v>-19960</v>
      </c>
      <c r="D26" s="25">
        <f t="shared" si="0"/>
        <v>42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-431132</v>
      </c>
      <c r="C35" s="11">
        <f>SUM(C4:C34)</f>
        <v>-458357</v>
      </c>
      <c r="D35" s="11">
        <f>SUM(D4:D34)</f>
        <v>-27225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88">
        <v>177959</v>
      </c>
    </row>
    <row r="39" spans="1:4" x14ac:dyDescent="0.2">
      <c r="A39" s="2"/>
      <c r="D39" s="24"/>
    </row>
    <row r="40" spans="1:4" x14ac:dyDescent="0.2">
      <c r="A40" s="57">
        <v>37310</v>
      </c>
      <c r="D40" s="51">
        <f>+D38+D35</f>
        <v>150734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87">
        <v>181376</v>
      </c>
    </row>
    <row r="46" spans="1:4" x14ac:dyDescent="0.2">
      <c r="A46" s="49">
        <f>+A40</f>
        <v>37310</v>
      </c>
      <c r="B46" s="32"/>
      <c r="C46" s="32"/>
      <c r="D46" s="374">
        <f>+D35*'by type_area'!G4</f>
        <v>-57172.5</v>
      </c>
    </row>
    <row r="47" spans="1:4" x14ac:dyDescent="0.2">
      <c r="A47" s="32"/>
      <c r="B47" s="32"/>
      <c r="C47" s="32"/>
      <c r="D47" s="200">
        <f>+D46+D45</f>
        <v>124203.5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1" workbookViewId="0">
      <selection activeCell="C27" sqref="C2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>
        <v>1</v>
      </c>
      <c r="G8" s="11"/>
      <c r="H8" s="11">
        <v>6285</v>
      </c>
      <c r="I8" s="11">
        <v>7000</v>
      </c>
      <c r="J8" s="11">
        <f t="shared" si="0"/>
        <v>786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7673</v>
      </c>
      <c r="C14" s="11">
        <v>7700</v>
      </c>
      <c r="D14" s="11">
        <v>8800</v>
      </c>
      <c r="E14" s="11">
        <v>8000</v>
      </c>
      <c r="F14" s="11"/>
      <c r="G14" s="11"/>
      <c r="H14" s="11">
        <v>265</v>
      </c>
      <c r="I14" s="11"/>
      <c r="J14" s="11">
        <f t="shared" si="0"/>
        <v>-1038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7457</v>
      </c>
      <c r="C15" s="11">
        <v>7700</v>
      </c>
      <c r="D15" s="11">
        <v>9083</v>
      </c>
      <c r="E15" s="11">
        <v>8000</v>
      </c>
      <c r="F15" s="11"/>
      <c r="G15" s="11"/>
      <c r="H15" s="11">
        <v>913</v>
      </c>
      <c r="I15" s="11"/>
      <c r="J15" s="11">
        <f t="shared" si="0"/>
        <v>-1753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7123</v>
      </c>
      <c r="C16" s="11">
        <v>7700</v>
      </c>
      <c r="D16" s="11">
        <v>8979</v>
      </c>
      <c r="E16" s="11">
        <v>8000</v>
      </c>
      <c r="F16" s="11"/>
      <c r="G16" s="11"/>
      <c r="H16" s="11"/>
      <c r="I16" s="11"/>
      <c r="J16" s="11">
        <f t="shared" si="0"/>
        <v>-402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12291</v>
      </c>
      <c r="C17" s="11">
        <v>7700</v>
      </c>
      <c r="D17" s="11">
        <v>9160</v>
      </c>
      <c r="E17" s="11">
        <v>8000</v>
      </c>
      <c r="F17" s="11"/>
      <c r="G17" s="11"/>
      <c r="H17" s="11">
        <v>1482</v>
      </c>
      <c r="I17" s="11"/>
      <c r="J17" s="11">
        <f t="shared" si="0"/>
        <v>-7233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11610</v>
      </c>
      <c r="C18" s="11">
        <v>8000</v>
      </c>
      <c r="D18" s="11">
        <v>9275</v>
      </c>
      <c r="E18" s="11">
        <v>8700</v>
      </c>
      <c r="F18" s="11"/>
      <c r="G18" s="11"/>
      <c r="H18" s="11">
        <v>23</v>
      </c>
      <c r="I18" s="11"/>
      <c r="J18" s="11">
        <f t="shared" si="0"/>
        <v>-4208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13054</v>
      </c>
      <c r="C19" s="11">
        <v>11000</v>
      </c>
      <c r="D19" s="11">
        <v>9247</v>
      </c>
      <c r="E19" s="11">
        <v>8700</v>
      </c>
      <c r="F19" s="11"/>
      <c r="G19" s="11"/>
      <c r="H19" s="11"/>
      <c r="I19" s="11"/>
      <c r="J19" s="11">
        <f t="shared" si="0"/>
        <v>-2601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10833</v>
      </c>
      <c r="C20" s="11">
        <v>11000</v>
      </c>
      <c r="D20" s="11">
        <v>9133</v>
      </c>
      <c r="E20" s="11">
        <v>8700</v>
      </c>
      <c r="F20" s="11"/>
      <c r="G20" s="11"/>
      <c r="H20" s="11">
        <v>101</v>
      </c>
      <c r="I20" s="11"/>
      <c r="J20" s="11">
        <f t="shared" si="0"/>
        <v>-367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12772</v>
      </c>
      <c r="C21" s="11">
        <v>11000</v>
      </c>
      <c r="D21" s="11">
        <v>9577</v>
      </c>
      <c r="E21" s="11">
        <v>8700</v>
      </c>
      <c r="F21" s="11"/>
      <c r="G21" s="11"/>
      <c r="H21" s="11">
        <v>499</v>
      </c>
      <c r="I21" s="11"/>
      <c r="J21" s="11">
        <f t="shared" si="0"/>
        <v>-3148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12875</v>
      </c>
      <c r="C22" s="11">
        <v>11000</v>
      </c>
      <c r="D22" s="11">
        <v>9582</v>
      </c>
      <c r="E22" s="11">
        <v>8700</v>
      </c>
      <c r="F22" s="11"/>
      <c r="G22" s="11"/>
      <c r="H22" s="11"/>
      <c r="I22" s="11"/>
      <c r="J22" s="11">
        <f t="shared" si="0"/>
        <v>-2757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12760</v>
      </c>
      <c r="C23" s="11">
        <v>11000</v>
      </c>
      <c r="D23" s="11">
        <v>8908</v>
      </c>
      <c r="E23" s="11">
        <v>8700</v>
      </c>
      <c r="F23" s="11"/>
      <c r="G23" s="11"/>
      <c r="H23" s="11"/>
      <c r="I23" s="11"/>
      <c r="J23" s="11">
        <f t="shared" si="0"/>
        <v>-1968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10963</v>
      </c>
      <c r="C24" s="11">
        <v>14000</v>
      </c>
      <c r="D24" s="11">
        <v>9111</v>
      </c>
      <c r="E24" s="11">
        <v>9700</v>
      </c>
      <c r="F24" s="11"/>
      <c r="G24" s="11"/>
      <c r="H24" s="11"/>
      <c r="I24" s="11"/>
      <c r="J24" s="11">
        <f t="shared" si="0"/>
        <v>3626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12406</v>
      </c>
      <c r="C25" s="11">
        <v>14000</v>
      </c>
      <c r="D25" s="11">
        <v>9057</v>
      </c>
      <c r="E25" s="11">
        <v>10186</v>
      </c>
      <c r="F25" s="11"/>
      <c r="G25" s="11"/>
      <c r="H25" s="11"/>
      <c r="I25" s="11"/>
      <c r="J25" s="11">
        <f t="shared" si="0"/>
        <v>2723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10756</v>
      </c>
      <c r="C26" s="11">
        <v>14500</v>
      </c>
      <c r="D26" s="11">
        <v>8551</v>
      </c>
      <c r="E26" s="11">
        <v>10686</v>
      </c>
      <c r="F26" s="11"/>
      <c r="G26" s="11"/>
      <c r="H26" s="11"/>
      <c r="I26" s="11"/>
      <c r="J26" s="11">
        <f t="shared" si="0"/>
        <v>5879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221445</v>
      </c>
      <c r="C35" s="11">
        <f t="shared" ref="C35:I35" si="1">SUM(C4:C34)</f>
        <v>213300</v>
      </c>
      <c r="D35" s="11">
        <f t="shared" si="1"/>
        <v>196056</v>
      </c>
      <c r="E35" s="11">
        <f t="shared" si="1"/>
        <v>194772</v>
      </c>
      <c r="F35" s="11">
        <f t="shared" si="1"/>
        <v>1</v>
      </c>
      <c r="G35" s="11">
        <f t="shared" si="1"/>
        <v>3500</v>
      </c>
      <c r="H35" s="11">
        <f t="shared" si="1"/>
        <v>39892</v>
      </c>
      <c r="I35" s="11">
        <f t="shared" si="1"/>
        <v>38500</v>
      </c>
      <c r="J35" s="11">
        <f>SUM(J4:J34)</f>
        <v>-7322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2.1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-15376.2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484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37310</v>
      </c>
      <c r="J41" s="319">
        <f>+J39+J37</f>
        <v>3470.41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485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37310</v>
      </c>
      <c r="B47" s="32"/>
      <c r="C47" s="32"/>
      <c r="D47" s="349">
        <f>+J35</f>
        <v>-7322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-125980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8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304</v>
      </c>
      <c r="H4" s="14" t="s">
        <v>303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302</v>
      </c>
      <c r="I5" s="14" t="s">
        <v>305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-38899</v>
      </c>
      <c r="E6" s="24">
        <v>-39350</v>
      </c>
      <c r="F6" s="24">
        <f>+C6+E6-B6-D6</f>
        <v>-451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-3677</v>
      </c>
      <c r="E7" s="24">
        <v>-1850</v>
      </c>
      <c r="F7" s="24">
        <f t="shared" ref="F7:F36" si="0">+C7+E7-B7-D7</f>
        <v>1827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>
        <v>-3350</v>
      </c>
      <c r="F8" s="24">
        <f t="shared" si="0"/>
        <v>-3350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>
        <v>-350</v>
      </c>
      <c r="F9" s="24">
        <f t="shared" si="0"/>
        <v>-350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>
        <v>-850</v>
      </c>
      <c r="F10" s="24">
        <f t="shared" si="0"/>
        <v>-850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>
        <v>-850</v>
      </c>
      <c r="F11" s="24">
        <f t="shared" si="0"/>
        <v>-850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>
        <v>-850</v>
      </c>
      <c r="F12" s="24">
        <f t="shared" si="0"/>
        <v>-850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-13262</v>
      </c>
      <c r="E13" s="24">
        <v>-12350</v>
      </c>
      <c r="F13" s="24">
        <f t="shared" si="0"/>
        <v>912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-33942</v>
      </c>
      <c r="E14" s="24">
        <v>-32042</v>
      </c>
      <c r="F14" s="24">
        <f t="shared" si="0"/>
        <v>1900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-33351</v>
      </c>
      <c r="E15" s="24">
        <v>-32042</v>
      </c>
      <c r="F15" s="24">
        <f t="shared" si="0"/>
        <v>1309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-33738</v>
      </c>
      <c r="E16" s="24">
        <v>-32042</v>
      </c>
      <c r="F16" s="24">
        <f t="shared" si="0"/>
        <v>1696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-33590</v>
      </c>
      <c r="E17" s="24">
        <v>-33350</v>
      </c>
      <c r="F17" s="24">
        <f t="shared" si="0"/>
        <v>240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-5050</v>
      </c>
      <c r="E18" s="24">
        <v>-850</v>
      </c>
      <c r="F18" s="24">
        <f t="shared" si="0"/>
        <v>4200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-18827</v>
      </c>
      <c r="E19" s="24">
        <v>-23049</v>
      </c>
      <c r="F19" s="24">
        <f t="shared" si="0"/>
        <v>-4222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-29265</v>
      </c>
      <c r="E20" s="24">
        <v>-30349</v>
      </c>
      <c r="F20" s="24">
        <f t="shared" si="0"/>
        <v>-1084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-19595</v>
      </c>
      <c r="E21" s="24">
        <v>-19850</v>
      </c>
      <c r="F21" s="24">
        <f t="shared" si="0"/>
        <v>-255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-19651</v>
      </c>
      <c r="E22" s="24">
        <v>-19850</v>
      </c>
      <c r="F22" s="24">
        <f t="shared" si="0"/>
        <v>-199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-19767</v>
      </c>
      <c r="E23" s="24">
        <v>-19850</v>
      </c>
      <c r="F23" s="24">
        <f t="shared" si="0"/>
        <v>-83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-16946</v>
      </c>
      <c r="E24" s="24">
        <v>-19850</v>
      </c>
      <c r="F24" s="24">
        <f t="shared" si="0"/>
        <v>-2904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-319560</v>
      </c>
      <c r="E37" s="24">
        <f>SUM(E6:E36)</f>
        <v>-322924</v>
      </c>
      <c r="F37" s="24">
        <f>SUM(F6:F36)</f>
        <v>-3364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-7064.4000000000005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68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37306</v>
      </c>
      <c r="E41" s="14"/>
      <c r="F41" s="104">
        <f>+F40+F39</f>
        <v>322455.8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37306</v>
      </c>
      <c r="B47" s="32"/>
      <c r="C47" s="32"/>
      <c r="D47" s="349">
        <f>+F37</f>
        <v>-3364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-40346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3" workbookViewId="0">
      <selection activeCell="E51" sqref="E51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">
      <c r="A18" s="10">
        <v>11</v>
      </c>
      <c r="B18" s="11"/>
      <c r="C18" s="11"/>
      <c r="D18" s="11"/>
      <c r="E18" s="11">
        <v>135</v>
      </c>
      <c r="F18" s="25">
        <f t="shared" si="0"/>
        <v>135</v>
      </c>
      <c r="J18" s="32"/>
    </row>
    <row r="19" spans="1:10" x14ac:dyDescent="0.2">
      <c r="A19" s="10">
        <v>12</v>
      </c>
      <c r="B19" s="11"/>
      <c r="C19" s="11"/>
      <c r="D19" s="11"/>
      <c r="E19" s="11">
        <v>135</v>
      </c>
      <c r="F19" s="25">
        <f t="shared" si="0"/>
        <v>135</v>
      </c>
      <c r="J19" s="136"/>
    </row>
    <row r="20" spans="1:10" x14ac:dyDescent="0.2">
      <c r="A20" s="10">
        <v>13</v>
      </c>
      <c r="B20" s="11"/>
      <c r="C20" s="11"/>
      <c r="D20" s="11"/>
      <c r="E20" s="11">
        <v>135</v>
      </c>
      <c r="F20" s="25">
        <f t="shared" si="0"/>
        <v>135</v>
      </c>
    </row>
    <row r="21" spans="1:10" x14ac:dyDescent="0.2">
      <c r="A21" s="10">
        <v>14</v>
      </c>
      <c r="B21" s="11"/>
      <c r="C21" s="11"/>
      <c r="D21" s="11"/>
      <c r="E21" s="11">
        <v>135</v>
      </c>
      <c r="F21" s="25">
        <f t="shared" si="0"/>
        <v>135</v>
      </c>
    </row>
    <row r="22" spans="1:10" x14ac:dyDescent="0.2">
      <c r="A22" s="10">
        <v>15</v>
      </c>
      <c r="B22" s="11"/>
      <c r="C22" s="11"/>
      <c r="D22" s="11"/>
      <c r="E22" s="11">
        <v>135</v>
      </c>
      <c r="F22" s="25">
        <f t="shared" si="0"/>
        <v>135</v>
      </c>
    </row>
    <row r="23" spans="1:10" x14ac:dyDescent="0.2">
      <c r="A23" s="10">
        <v>16</v>
      </c>
      <c r="B23" s="11"/>
      <c r="C23" s="11"/>
      <c r="D23" s="11"/>
      <c r="E23" s="11">
        <v>135</v>
      </c>
      <c r="F23" s="25">
        <f t="shared" si="0"/>
        <v>135</v>
      </c>
    </row>
    <row r="24" spans="1:10" x14ac:dyDescent="0.2">
      <c r="A24" s="10">
        <v>17</v>
      </c>
      <c r="B24" s="11"/>
      <c r="C24" s="11"/>
      <c r="D24" s="11"/>
      <c r="E24" s="11">
        <v>135</v>
      </c>
      <c r="F24" s="25">
        <f t="shared" si="0"/>
        <v>135</v>
      </c>
    </row>
    <row r="25" spans="1:10" x14ac:dyDescent="0.2">
      <c r="A25" s="10">
        <v>18</v>
      </c>
      <c r="B25" s="11"/>
      <c r="C25" s="11"/>
      <c r="D25" s="11"/>
      <c r="E25" s="11">
        <v>135</v>
      </c>
      <c r="F25" s="25">
        <f t="shared" si="0"/>
        <v>135</v>
      </c>
    </row>
    <row r="26" spans="1:10" x14ac:dyDescent="0.2">
      <c r="A26" s="10">
        <v>19</v>
      </c>
      <c r="B26" s="11"/>
      <c r="C26" s="11"/>
      <c r="D26" s="11"/>
      <c r="E26" s="11">
        <v>135</v>
      </c>
      <c r="F26" s="25">
        <f t="shared" si="0"/>
        <v>135</v>
      </c>
    </row>
    <row r="27" spans="1:10" x14ac:dyDescent="0.2">
      <c r="A27" s="10">
        <v>20</v>
      </c>
      <c r="B27" s="11"/>
      <c r="C27" s="11"/>
      <c r="D27" s="11"/>
      <c r="E27" s="11">
        <v>135</v>
      </c>
      <c r="F27" s="25">
        <f t="shared" si="0"/>
        <v>135</v>
      </c>
    </row>
    <row r="28" spans="1:10" x14ac:dyDescent="0.2">
      <c r="A28" s="10">
        <v>21</v>
      </c>
      <c r="B28" s="11"/>
      <c r="C28" s="11"/>
      <c r="D28" s="11"/>
      <c r="E28" s="11">
        <v>135</v>
      </c>
      <c r="F28" s="25">
        <f t="shared" si="0"/>
        <v>135</v>
      </c>
    </row>
    <row r="29" spans="1:10" x14ac:dyDescent="0.2">
      <c r="A29" s="10">
        <v>22</v>
      </c>
      <c r="B29" s="11"/>
      <c r="C29" s="11"/>
      <c r="D29" s="11"/>
      <c r="E29" s="11">
        <v>135</v>
      </c>
      <c r="F29" s="25">
        <f t="shared" si="0"/>
        <v>135</v>
      </c>
    </row>
    <row r="30" spans="1:10" x14ac:dyDescent="0.2">
      <c r="A30" s="10">
        <v>23</v>
      </c>
      <c r="B30" s="11"/>
      <c r="C30" s="11"/>
      <c r="D30" s="11"/>
      <c r="E30" s="11">
        <v>135</v>
      </c>
      <c r="F30" s="25">
        <f t="shared" si="0"/>
        <v>135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2588</v>
      </c>
      <c r="F39" s="25">
        <f>SUM(F8:F38)</f>
        <v>2588</v>
      </c>
    </row>
    <row r="40" spans="1:6" x14ac:dyDescent="0.2">
      <c r="A40" s="26"/>
      <c r="C40" s="14"/>
      <c r="F40" s="253">
        <f>+summary!G4</f>
        <v>2.1</v>
      </c>
    </row>
    <row r="41" spans="1:6" x14ac:dyDescent="0.2">
      <c r="F41" s="138">
        <f>+F40*F39</f>
        <v>5434.8</v>
      </c>
    </row>
    <row r="42" spans="1:6" x14ac:dyDescent="0.2">
      <c r="A42" s="57">
        <v>37287</v>
      </c>
      <c r="C42" s="15"/>
      <c r="F42" s="570">
        <v>42790.44</v>
      </c>
    </row>
    <row r="43" spans="1:6" x14ac:dyDescent="0.2">
      <c r="A43" s="57">
        <v>37310</v>
      </c>
      <c r="C43" s="48"/>
      <c r="F43" s="138">
        <f>+F42+F41</f>
        <v>48225.240000000005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85">
        <v>4581</v>
      </c>
    </row>
    <row r="49" spans="1:4" x14ac:dyDescent="0.2">
      <c r="A49" s="49">
        <f>+A43</f>
        <v>37310</v>
      </c>
      <c r="B49" s="32"/>
      <c r="C49" s="32"/>
      <c r="D49" s="349">
        <f>+F39</f>
        <v>2588</v>
      </c>
    </row>
    <row r="50" spans="1:4" x14ac:dyDescent="0.2">
      <c r="A50" s="32"/>
      <c r="B50" s="32"/>
      <c r="C50" s="32"/>
      <c r="D50" s="14">
        <f>+D49+D48</f>
        <v>7169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37287</v>
      </c>
      <c r="C41" s="15"/>
      <c r="D41" s="456">
        <v>17587</v>
      </c>
    </row>
    <row r="42" spans="1:4" x14ac:dyDescent="0.2">
      <c r="A42" s="57">
        <v>37310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59">
        <v>385897</v>
      </c>
    </row>
    <row r="48" spans="1:4" x14ac:dyDescent="0.2">
      <c r="A48" s="49">
        <f>+A42</f>
        <v>37310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3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-42173</v>
      </c>
      <c r="C11" s="11">
        <v>-42972</v>
      </c>
      <c r="D11" s="25">
        <f t="shared" si="0"/>
        <v>-799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>
        <v>-84205</v>
      </c>
      <c r="C17" s="11">
        <v>-80299</v>
      </c>
      <c r="D17" s="25">
        <f t="shared" si="0"/>
        <v>3906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-80842</v>
      </c>
      <c r="C18" s="11">
        <v>-80300</v>
      </c>
      <c r="D18" s="25">
        <f t="shared" si="0"/>
        <v>542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>
        <v>-82060</v>
      </c>
      <c r="C19" s="11">
        <v>-85300</v>
      </c>
      <c r="D19" s="25">
        <f t="shared" si="0"/>
        <v>-3240</v>
      </c>
      <c r="G19" s="118" t="s">
        <v>183</v>
      </c>
      <c r="H19" s="119">
        <f>+B37</f>
        <v>-1630759</v>
      </c>
      <c r="I19" s="119">
        <f>+C37</f>
        <v>-1610156</v>
      </c>
      <c r="J19" s="119">
        <f>+I19-H19</f>
        <v>20603</v>
      </c>
      <c r="K19" s="411">
        <f>+D38</f>
        <v>2.1</v>
      </c>
      <c r="L19" s="416">
        <f>+K19*J19</f>
        <v>43266.3</v>
      </c>
      <c r="M19" s="2"/>
      <c r="N19" s="34"/>
    </row>
    <row r="20" spans="1:14" x14ac:dyDescent="0.2">
      <c r="A20" s="10">
        <v>15</v>
      </c>
      <c r="B20" s="11">
        <v>-84337</v>
      </c>
      <c r="C20" s="11">
        <v>-80300</v>
      </c>
      <c r="D20" s="25">
        <f t="shared" si="0"/>
        <v>4037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>
        <v>-84089</v>
      </c>
      <c r="C21" s="11">
        <v>-85300</v>
      </c>
      <c r="D21" s="25">
        <f t="shared" si="0"/>
        <v>-1211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-83899</v>
      </c>
      <c r="C22" s="11">
        <v>-85300</v>
      </c>
      <c r="D22" s="25">
        <f t="shared" si="0"/>
        <v>-1401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-83874</v>
      </c>
      <c r="C23" s="11">
        <v>-85300</v>
      </c>
      <c r="D23" s="25">
        <f t="shared" si="0"/>
        <v>-1426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>
        <v>-84508</v>
      </c>
      <c r="C24" s="11">
        <v>-85300</v>
      </c>
      <c r="D24" s="25">
        <f t="shared" si="0"/>
        <v>-792</v>
      </c>
      <c r="G24" s="2" t="s">
        <v>184</v>
      </c>
      <c r="H24" s="24"/>
      <c r="I24" s="24"/>
      <c r="J24" s="24">
        <f>+J19+J17</f>
        <v>151095</v>
      </c>
      <c r="K24" s="407"/>
      <c r="L24" s="110">
        <f>+L19+L17</f>
        <v>124951.39999999983</v>
      </c>
      <c r="M24" s="2"/>
      <c r="N24" s="34"/>
    </row>
    <row r="25" spans="1:14" x14ac:dyDescent="0.2">
      <c r="A25" s="10">
        <v>20</v>
      </c>
      <c r="B25" s="129">
        <v>-84869</v>
      </c>
      <c r="C25" s="11">
        <v>-85300</v>
      </c>
      <c r="D25" s="25">
        <f t="shared" si="0"/>
        <v>-431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>
        <v>-83828</v>
      </c>
      <c r="C26" s="11">
        <v>-84261</v>
      </c>
      <c r="D26" s="25">
        <f t="shared" si="0"/>
        <v>-433</v>
      </c>
      <c r="G26" s="2" t="s">
        <v>185</v>
      </c>
      <c r="H26" s="24"/>
      <c r="I26" s="24"/>
      <c r="J26" s="110"/>
      <c r="K26" s="407"/>
      <c r="L26" s="24">
        <f>+L24/K19</f>
        <v>59500.666666666584</v>
      </c>
    </row>
    <row r="27" spans="1:14" x14ac:dyDescent="0.2">
      <c r="A27" s="10">
        <v>22</v>
      </c>
      <c r="B27" s="129">
        <v>-84074</v>
      </c>
      <c r="C27" s="11">
        <v>-86272</v>
      </c>
      <c r="D27" s="25">
        <f t="shared" si="0"/>
        <v>-2198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>
        <v>-83123</v>
      </c>
      <c r="C28" s="11">
        <v>-84052</v>
      </c>
      <c r="D28" s="25">
        <f t="shared" si="0"/>
        <v>-929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-1630759</v>
      </c>
      <c r="C37" s="11">
        <f>SUM(C6:C36)</f>
        <v>-1610156</v>
      </c>
      <c r="D37" s="25">
        <f>SUM(D6:D36)</f>
        <v>20603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43266.3</v>
      </c>
    </row>
    <row r="40" spans="1:4" x14ac:dyDescent="0.2">
      <c r="A40" s="57">
        <v>37287</v>
      </c>
      <c r="C40" s="15"/>
      <c r="D40" s="590">
        <v>-2220</v>
      </c>
    </row>
    <row r="41" spans="1:4" x14ac:dyDescent="0.2">
      <c r="A41" s="57">
        <v>37310</v>
      </c>
      <c r="C41" s="48"/>
      <c r="D41" s="138">
        <f>+D40+D39</f>
        <v>41046.300000000003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1">
        <v>86032</v>
      </c>
    </row>
    <row r="46" spans="1:4" x14ac:dyDescent="0.2">
      <c r="A46" s="49">
        <f>+A41</f>
        <v>37310</v>
      </c>
      <c r="B46" s="32"/>
      <c r="C46" s="32"/>
      <c r="D46" s="349">
        <f>+D37</f>
        <v>20603</v>
      </c>
    </row>
    <row r="47" spans="1:4" x14ac:dyDescent="0.2">
      <c r="A47" s="32"/>
      <c r="B47" s="32"/>
      <c r="C47" s="32"/>
      <c r="D47" s="14">
        <f>+D46+D45</f>
        <v>106635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A41" sqref="A41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">
      <c r="A17" s="10">
        <v>12</v>
      </c>
      <c r="B17" s="129">
        <v>35353</v>
      </c>
      <c r="C17" s="11">
        <v>39956</v>
      </c>
      <c r="D17" s="25">
        <f t="shared" si="0"/>
        <v>4603</v>
      </c>
    </row>
    <row r="18" spans="1:4" x14ac:dyDescent="0.2">
      <c r="A18" s="10">
        <v>13</v>
      </c>
      <c r="B18" s="129">
        <v>38142</v>
      </c>
      <c r="C18" s="11">
        <v>39956</v>
      </c>
      <c r="D18" s="25">
        <f t="shared" si="0"/>
        <v>1814</v>
      </c>
    </row>
    <row r="19" spans="1:4" x14ac:dyDescent="0.2">
      <c r="A19" s="10">
        <v>14</v>
      </c>
      <c r="B19" s="129">
        <v>34878</v>
      </c>
      <c r="C19" s="11">
        <v>37956</v>
      </c>
      <c r="D19" s="25">
        <f t="shared" si="0"/>
        <v>3078</v>
      </c>
    </row>
    <row r="20" spans="1:4" x14ac:dyDescent="0.2">
      <c r="A20" s="10">
        <v>15</v>
      </c>
      <c r="B20" s="129">
        <v>40870</v>
      </c>
      <c r="C20" s="11">
        <v>37956</v>
      </c>
      <c r="D20" s="25">
        <f t="shared" si="0"/>
        <v>-2914</v>
      </c>
    </row>
    <row r="21" spans="1:4" x14ac:dyDescent="0.2">
      <c r="A21" s="10">
        <v>16</v>
      </c>
      <c r="B21" s="11">
        <v>40485</v>
      </c>
      <c r="C21" s="11">
        <v>39956</v>
      </c>
      <c r="D21" s="25">
        <f t="shared" si="0"/>
        <v>-529</v>
      </c>
    </row>
    <row r="22" spans="1:4" x14ac:dyDescent="0.2">
      <c r="A22" s="10">
        <v>17</v>
      </c>
      <c r="B22" s="11">
        <v>40144</v>
      </c>
      <c r="C22" s="11">
        <v>39956</v>
      </c>
      <c r="D22" s="25">
        <f t="shared" si="0"/>
        <v>-188</v>
      </c>
    </row>
    <row r="23" spans="1:4" x14ac:dyDescent="0.2">
      <c r="A23" s="10">
        <v>18</v>
      </c>
      <c r="B23" s="11">
        <v>41271</v>
      </c>
      <c r="C23" s="11">
        <v>40108</v>
      </c>
      <c r="D23" s="25">
        <f t="shared" si="0"/>
        <v>-1163</v>
      </c>
    </row>
    <row r="24" spans="1:4" x14ac:dyDescent="0.2">
      <c r="A24" s="10">
        <v>19</v>
      </c>
      <c r="B24" s="11">
        <v>41202</v>
      </c>
      <c r="C24" s="11">
        <v>40108</v>
      </c>
      <c r="D24" s="25">
        <f t="shared" si="0"/>
        <v>-1094</v>
      </c>
    </row>
    <row r="25" spans="1:4" x14ac:dyDescent="0.2">
      <c r="A25" s="10">
        <v>20</v>
      </c>
      <c r="B25" s="11">
        <v>37059</v>
      </c>
      <c r="C25" s="11">
        <v>40108</v>
      </c>
      <c r="D25" s="25">
        <f t="shared" si="0"/>
        <v>3049</v>
      </c>
    </row>
    <row r="26" spans="1:4" x14ac:dyDescent="0.2">
      <c r="A26" s="10">
        <v>21</v>
      </c>
      <c r="B26" s="11">
        <v>37880</v>
      </c>
      <c r="C26" s="11">
        <v>40108</v>
      </c>
      <c r="D26" s="25">
        <f t="shared" si="0"/>
        <v>2228</v>
      </c>
    </row>
    <row r="27" spans="1:4" x14ac:dyDescent="0.2">
      <c r="A27" s="10">
        <v>22</v>
      </c>
      <c r="B27" s="11">
        <v>37247</v>
      </c>
      <c r="C27" s="11">
        <v>40108</v>
      </c>
      <c r="D27" s="25">
        <f t="shared" si="0"/>
        <v>2861</v>
      </c>
    </row>
    <row r="28" spans="1:4" x14ac:dyDescent="0.2">
      <c r="A28" s="10">
        <v>23</v>
      </c>
      <c r="B28" s="11">
        <v>37136</v>
      </c>
      <c r="C28" s="11">
        <v>37702</v>
      </c>
      <c r="D28" s="25">
        <f t="shared" si="0"/>
        <v>566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834417</v>
      </c>
      <c r="C37" s="11">
        <f>SUM(C6:C36)</f>
        <v>863353</v>
      </c>
      <c r="D37" s="25">
        <f>SUM(D6:D36)</f>
        <v>28936</v>
      </c>
    </row>
    <row r="38" spans="1:4" x14ac:dyDescent="0.2">
      <c r="A38" s="26"/>
      <c r="B38" s="31"/>
      <c r="C38" s="14"/>
      <c r="D38" s="326">
        <f>+summary!G5</f>
        <v>2.1</v>
      </c>
    </row>
    <row r="39" spans="1:4" x14ac:dyDescent="0.2">
      <c r="D39" s="138">
        <f>+D38*D37</f>
        <v>60765.600000000006</v>
      </c>
    </row>
    <row r="40" spans="1:4" x14ac:dyDescent="0.2">
      <c r="A40" s="57">
        <v>37287</v>
      </c>
      <c r="C40" s="15"/>
      <c r="D40" s="590">
        <v>100916</v>
      </c>
    </row>
    <row r="41" spans="1:4" x14ac:dyDescent="0.2">
      <c r="A41" s="57">
        <v>37310</v>
      </c>
      <c r="C41" s="48"/>
      <c r="D41" s="138">
        <f>+D40+D39</f>
        <v>161681.60000000001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1">
        <v>62232</v>
      </c>
    </row>
    <row r="46" spans="1:4" x14ac:dyDescent="0.2">
      <c r="A46" s="49">
        <f>+A41</f>
        <v>37310</v>
      </c>
      <c r="B46" s="32"/>
      <c r="C46" s="32"/>
      <c r="D46" s="349">
        <f>+D37</f>
        <v>28936</v>
      </c>
    </row>
    <row r="47" spans="1:4" x14ac:dyDescent="0.2">
      <c r="A47" s="32"/>
      <c r="B47" s="32"/>
      <c r="C47" s="32"/>
      <c r="D47" s="14">
        <f>+D46+D45</f>
        <v>91168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8" workbookViewId="0">
      <selection activeCell="C50" sqref="C50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248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308297</v>
      </c>
      <c r="C14" s="11">
        <v>314941</v>
      </c>
      <c r="D14" s="11">
        <v>23014</v>
      </c>
      <c r="E14" s="11">
        <v>21854</v>
      </c>
      <c r="F14" s="11">
        <v>38296</v>
      </c>
      <c r="G14" s="11">
        <v>34629</v>
      </c>
      <c r="H14" s="11">
        <v>136518</v>
      </c>
      <c r="I14" s="11">
        <v>133999</v>
      </c>
      <c r="J14" s="11">
        <f t="shared" si="0"/>
        <v>-702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323009</v>
      </c>
      <c r="C15" s="11">
        <v>340013</v>
      </c>
      <c r="D15" s="11">
        <v>23025</v>
      </c>
      <c r="E15" s="11">
        <v>21500</v>
      </c>
      <c r="F15" s="11">
        <v>48171</v>
      </c>
      <c r="G15" s="11">
        <v>28668</v>
      </c>
      <c r="H15" s="11">
        <v>119665</v>
      </c>
      <c r="I15" s="11">
        <v>121497</v>
      </c>
      <c r="J15" s="11">
        <f t="shared" si="0"/>
        <v>-2192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251547</v>
      </c>
      <c r="C16" s="11">
        <v>255068</v>
      </c>
      <c r="D16" s="11">
        <v>22924</v>
      </c>
      <c r="E16" s="11">
        <v>11153</v>
      </c>
      <c r="F16" s="11">
        <v>34346</v>
      </c>
      <c r="G16" s="11">
        <v>29840</v>
      </c>
      <c r="H16" s="11">
        <v>120632</v>
      </c>
      <c r="I16" s="11">
        <v>119766</v>
      </c>
      <c r="J16" s="11">
        <f t="shared" si="0"/>
        <v>-13622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302986</v>
      </c>
      <c r="C17" s="11">
        <v>300798</v>
      </c>
      <c r="D17" s="11">
        <v>23089</v>
      </c>
      <c r="E17" s="11">
        <v>12065</v>
      </c>
      <c r="F17" s="11">
        <v>30114</v>
      </c>
      <c r="G17" s="11">
        <v>36168</v>
      </c>
      <c r="H17" s="11">
        <v>118174</v>
      </c>
      <c r="I17" s="11">
        <v>128285</v>
      </c>
      <c r="J17" s="11">
        <f t="shared" si="0"/>
        <v>2953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320781</v>
      </c>
      <c r="C18" s="11">
        <v>321683</v>
      </c>
      <c r="D18" s="11">
        <v>7129</v>
      </c>
      <c r="E18" s="11">
        <v>11514</v>
      </c>
      <c r="F18" s="11">
        <v>33386</v>
      </c>
      <c r="G18" s="11">
        <v>33898</v>
      </c>
      <c r="H18" s="11">
        <v>132774</v>
      </c>
      <c r="I18" s="11">
        <v>133680</v>
      </c>
      <c r="J18" s="11">
        <f t="shared" si="0"/>
        <v>6705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294339</v>
      </c>
      <c r="C19" s="11">
        <v>291714</v>
      </c>
      <c r="D19" s="11"/>
      <c r="E19" s="11">
        <v>4943</v>
      </c>
      <c r="F19" s="11">
        <v>38975</v>
      </c>
      <c r="G19" s="11">
        <v>35013</v>
      </c>
      <c r="H19" s="11">
        <v>131155</v>
      </c>
      <c r="I19" s="11">
        <v>131546</v>
      </c>
      <c r="J19" s="11">
        <f t="shared" si="0"/>
        <v>-1253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290904</v>
      </c>
      <c r="C20" s="11">
        <v>293264</v>
      </c>
      <c r="D20" s="11"/>
      <c r="E20" s="11">
        <v>4862</v>
      </c>
      <c r="F20" s="11">
        <v>36131</v>
      </c>
      <c r="G20" s="11">
        <v>36168</v>
      </c>
      <c r="H20" s="11">
        <v>126129</v>
      </c>
      <c r="I20" s="11">
        <v>119066</v>
      </c>
      <c r="J20" s="11">
        <f t="shared" si="0"/>
        <v>196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305922</v>
      </c>
      <c r="C21" s="11">
        <v>303311</v>
      </c>
      <c r="D21" s="11"/>
      <c r="E21" s="11">
        <v>4930</v>
      </c>
      <c r="F21" s="11">
        <v>35067</v>
      </c>
      <c r="G21" s="11">
        <v>35103</v>
      </c>
      <c r="H21" s="11">
        <v>117947</v>
      </c>
      <c r="I21" s="11">
        <v>116578</v>
      </c>
      <c r="J21" s="11">
        <f t="shared" si="0"/>
        <v>986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301503</v>
      </c>
      <c r="C22" s="11">
        <v>302180</v>
      </c>
      <c r="D22" s="11"/>
      <c r="E22" s="11">
        <v>4734</v>
      </c>
      <c r="F22" s="11">
        <v>35148</v>
      </c>
      <c r="G22" s="11">
        <v>35103</v>
      </c>
      <c r="H22" s="11">
        <v>120094</v>
      </c>
      <c r="I22" s="11">
        <v>125238</v>
      </c>
      <c r="J22" s="11">
        <f t="shared" si="0"/>
        <v>10510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265715</v>
      </c>
      <c r="C23" s="11">
        <v>289822</v>
      </c>
      <c r="D23" s="129"/>
      <c r="E23" s="11">
        <v>5170</v>
      </c>
      <c r="F23" s="11">
        <v>59179</v>
      </c>
      <c r="G23" s="11">
        <v>62347</v>
      </c>
      <c r="H23" s="129">
        <v>132402</v>
      </c>
      <c r="I23" s="11">
        <v>145053</v>
      </c>
      <c r="J23" s="11">
        <f t="shared" si="0"/>
        <v>45096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303431</v>
      </c>
      <c r="C24" s="11">
        <v>284670</v>
      </c>
      <c r="D24" s="11"/>
      <c r="E24" s="11">
        <v>2659</v>
      </c>
      <c r="F24" s="11">
        <v>66982</v>
      </c>
      <c r="G24" s="11">
        <v>79878</v>
      </c>
      <c r="H24" s="11">
        <v>136456</v>
      </c>
      <c r="I24" s="11">
        <v>140810</v>
      </c>
      <c r="J24" s="11">
        <f t="shared" si="0"/>
        <v>1148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310222</v>
      </c>
      <c r="C25" s="11">
        <v>298119</v>
      </c>
      <c r="D25" s="11"/>
      <c r="E25" s="11">
        <v>6484</v>
      </c>
      <c r="F25" s="11">
        <v>37553</v>
      </c>
      <c r="G25" s="11">
        <v>41168</v>
      </c>
      <c r="H25" s="11">
        <v>113554</v>
      </c>
      <c r="I25" s="11">
        <v>115219</v>
      </c>
      <c r="J25" s="11">
        <f t="shared" si="0"/>
        <v>-339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301877</v>
      </c>
      <c r="C26" s="11">
        <v>297710</v>
      </c>
      <c r="D26" s="11"/>
      <c r="E26" s="11">
        <v>4609</v>
      </c>
      <c r="F26" s="11">
        <v>38106</v>
      </c>
      <c r="G26" s="11">
        <v>41168</v>
      </c>
      <c r="H26" s="11">
        <v>108993</v>
      </c>
      <c r="I26" s="11">
        <v>102575</v>
      </c>
      <c r="J26" s="11">
        <f t="shared" si="0"/>
        <v>-2914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7047246</v>
      </c>
      <c r="C35" s="11">
        <f t="shared" ref="C35:I35" si="3">SUM(C4:C34)</f>
        <v>7073896</v>
      </c>
      <c r="D35" s="11">
        <f t="shared" si="3"/>
        <v>421386</v>
      </c>
      <c r="E35" s="11">
        <f t="shared" si="3"/>
        <v>438434</v>
      </c>
      <c r="F35" s="11">
        <f t="shared" si="3"/>
        <v>927362</v>
      </c>
      <c r="G35" s="11">
        <f t="shared" si="3"/>
        <v>921923</v>
      </c>
      <c r="H35" s="11">
        <f t="shared" si="3"/>
        <v>2857541</v>
      </c>
      <c r="I35" s="11">
        <f t="shared" si="3"/>
        <v>2853204</v>
      </c>
      <c r="J35" s="11">
        <f>SUM(J4:J34)</f>
        <v>33922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571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37310</v>
      </c>
      <c r="J40" s="51">
        <f>+J38+J35</f>
        <v>33922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574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37310</v>
      </c>
      <c r="B47" s="32"/>
      <c r="C47" s="32"/>
      <c r="D47" s="374">
        <f>+J35*'by type_area'!G3</f>
        <v>71236.2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71236.2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C29" sqref="C29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58"/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58"/>
    </row>
    <row r="10" spans="1:6" x14ac:dyDescent="0.2">
      <c r="A10" s="10">
        <v>5</v>
      </c>
      <c r="B10" s="11">
        <v>29956</v>
      </c>
      <c r="C10" s="11">
        <v>32422</v>
      </c>
      <c r="D10" s="25">
        <f t="shared" si="0"/>
        <v>2466</v>
      </c>
      <c r="F10" s="559"/>
    </row>
    <row r="11" spans="1:6" x14ac:dyDescent="0.2">
      <c r="A11" s="10">
        <v>6</v>
      </c>
      <c r="B11" s="11">
        <v>44104</v>
      </c>
      <c r="C11" s="11">
        <v>43943</v>
      </c>
      <c r="D11" s="25">
        <f t="shared" si="0"/>
        <v>-161</v>
      </c>
      <c r="F11" s="559"/>
    </row>
    <row r="12" spans="1:6" x14ac:dyDescent="0.2">
      <c r="A12" s="10">
        <v>7</v>
      </c>
      <c r="B12" s="11">
        <v>28135</v>
      </c>
      <c r="C12" s="11">
        <v>28260</v>
      </c>
      <c r="D12" s="25">
        <f t="shared" si="0"/>
        <v>125</v>
      </c>
      <c r="F12" s="559"/>
    </row>
    <row r="13" spans="1:6" x14ac:dyDescent="0.2">
      <c r="A13" s="10">
        <v>8</v>
      </c>
      <c r="B13" s="11">
        <v>40218</v>
      </c>
      <c r="C13" s="11">
        <v>40777</v>
      </c>
      <c r="D13" s="25">
        <f t="shared" si="0"/>
        <v>559</v>
      </c>
      <c r="F13" s="559"/>
    </row>
    <row r="14" spans="1:6" x14ac:dyDescent="0.2">
      <c r="A14" s="10">
        <v>9</v>
      </c>
      <c r="B14" s="11">
        <v>54635</v>
      </c>
      <c r="C14" s="11">
        <v>54792</v>
      </c>
      <c r="D14" s="25">
        <f t="shared" si="0"/>
        <v>157</v>
      </c>
    </row>
    <row r="15" spans="1:6" x14ac:dyDescent="0.2">
      <c r="A15" s="10">
        <v>10</v>
      </c>
      <c r="B15" s="11">
        <v>55177</v>
      </c>
      <c r="C15" s="11">
        <v>54792</v>
      </c>
      <c r="D15" s="25">
        <f t="shared" si="0"/>
        <v>-385</v>
      </c>
    </row>
    <row r="16" spans="1:6" x14ac:dyDescent="0.2">
      <c r="A16" s="10">
        <v>11</v>
      </c>
      <c r="B16" s="11">
        <v>54989</v>
      </c>
      <c r="C16" s="11">
        <v>54792</v>
      </c>
      <c r="D16" s="25">
        <f t="shared" si="0"/>
        <v>-197</v>
      </c>
    </row>
    <row r="17" spans="1:4" x14ac:dyDescent="0.2">
      <c r="A17" s="10">
        <v>12</v>
      </c>
      <c r="B17" s="11">
        <v>26436</v>
      </c>
      <c r="C17" s="11">
        <v>25267</v>
      </c>
      <c r="D17" s="25">
        <f t="shared" si="0"/>
        <v>-1169</v>
      </c>
    </row>
    <row r="18" spans="1:4" x14ac:dyDescent="0.2">
      <c r="A18" s="10">
        <v>13</v>
      </c>
      <c r="B18" s="11">
        <v>43593</v>
      </c>
      <c r="C18" s="11">
        <v>42531</v>
      </c>
      <c r="D18" s="25">
        <f t="shared" si="0"/>
        <v>-1062</v>
      </c>
    </row>
    <row r="19" spans="1:4" x14ac:dyDescent="0.2">
      <c r="A19" s="10">
        <v>14</v>
      </c>
      <c r="B19" s="11">
        <v>46670</v>
      </c>
      <c r="C19" s="11">
        <v>45534</v>
      </c>
      <c r="D19" s="25">
        <f t="shared" si="0"/>
        <v>-1136</v>
      </c>
    </row>
    <row r="20" spans="1:4" x14ac:dyDescent="0.2">
      <c r="A20" s="10">
        <v>15</v>
      </c>
      <c r="B20" s="11">
        <v>36529</v>
      </c>
      <c r="C20" s="11">
        <v>35569</v>
      </c>
      <c r="D20" s="25">
        <f t="shared" si="0"/>
        <v>-960</v>
      </c>
    </row>
    <row r="21" spans="1:4" x14ac:dyDescent="0.2">
      <c r="A21" s="10">
        <v>16</v>
      </c>
      <c r="B21" s="11">
        <v>38425</v>
      </c>
      <c r="C21" s="11">
        <v>40811</v>
      </c>
      <c r="D21" s="25">
        <f t="shared" si="0"/>
        <v>2386</v>
      </c>
    </row>
    <row r="22" spans="1:4" x14ac:dyDescent="0.2">
      <c r="A22" s="10">
        <v>17</v>
      </c>
      <c r="B22" s="11">
        <v>39068</v>
      </c>
      <c r="C22" s="11">
        <v>40811</v>
      </c>
      <c r="D22" s="25">
        <f t="shared" si="0"/>
        <v>1743</v>
      </c>
    </row>
    <row r="23" spans="1:4" x14ac:dyDescent="0.2">
      <c r="A23" s="10">
        <v>18</v>
      </c>
      <c r="B23" s="11">
        <v>38120</v>
      </c>
      <c r="C23" s="11">
        <v>40811</v>
      </c>
      <c r="D23" s="25">
        <f t="shared" si="0"/>
        <v>2691</v>
      </c>
    </row>
    <row r="24" spans="1:4" x14ac:dyDescent="0.2">
      <c r="A24" s="10">
        <v>19</v>
      </c>
      <c r="B24" s="11">
        <v>41152</v>
      </c>
      <c r="C24" s="11">
        <v>40811</v>
      </c>
      <c r="D24" s="25">
        <f t="shared" si="0"/>
        <v>-341</v>
      </c>
    </row>
    <row r="25" spans="1:4" x14ac:dyDescent="0.2">
      <c r="A25" s="10">
        <v>20</v>
      </c>
      <c r="B25" s="129">
        <v>27084</v>
      </c>
      <c r="C25" s="11">
        <v>25132</v>
      </c>
      <c r="D25" s="25">
        <f t="shared" si="0"/>
        <v>-1952</v>
      </c>
    </row>
    <row r="26" spans="1:4" x14ac:dyDescent="0.2">
      <c r="A26" s="10">
        <v>21</v>
      </c>
      <c r="B26" s="11">
        <v>45127</v>
      </c>
      <c r="C26" s="11">
        <v>45397</v>
      </c>
      <c r="D26" s="25">
        <f t="shared" si="0"/>
        <v>270</v>
      </c>
    </row>
    <row r="27" spans="1:4" x14ac:dyDescent="0.2">
      <c r="A27" s="10">
        <v>22</v>
      </c>
      <c r="B27" s="11">
        <v>36224</v>
      </c>
      <c r="C27" s="11">
        <v>35937</v>
      </c>
      <c r="D27" s="25">
        <f t="shared" si="0"/>
        <v>-287</v>
      </c>
    </row>
    <row r="28" spans="1:4" x14ac:dyDescent="0.2">
      <c r="A28" s="10">
        <v>23</v>
      </c>
      <c r="B28" s="11">
        <v>42838</v>
      </c>
      <c r="C28" s="11">
        <v>42872</v>
      </c>
      <c r="D28" s="25">
        <f t="shared" si="0"/>
        <v>34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950625</v>
      </c>
      <c r="C37" s="11">
        <f>SUM(C6:C36)</f>
        <v>953781</v>
      </c>
      <c r="D37" s="25">
        <f>SUM(D6:D36)</f>
        <v>3156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6627.6</v>
      </c>
    </row>
    <row r="40" spans="1:4" x14ac:dyDescent="0.2">
      <c r="A40" s="57">
        <v>37287</v>
      </c>
      <c r="C40" s="15"/>
      <c r="D40" s="599">
        <v>1526.04</v>
      </c>
    </row>
    <row r="41" spans="1:4" x14ac:dyDescent="0.2">
      <c r="A41" s="57">
        <v>37310</v>
      </c>
      <c r="C41" s="48"/>
      <c r="D41" s="138">
        <f>+D40+D39</f>
        <v>8153.64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549</v>
      </c>
    </row>
    <row r="47" spans="1:4" x14ac:dyDescent="0.2">
      <c r="A47" s="49">
        <f>+A41</f>
        <v>37310</v>
      </c>
      <c r="B47" s="32"/>
      <c r="C47" s="32"/>
      <c r="D47" s="349">
        <f>+D37</f>
        <v>3156</v>
      </c>
    </row>
    <row r="48" spans="1:4" x14ac:dyDescent="0.2">
      <c r="A48" s="32"/>
      <c r="B48" s="32"/>
      <c r="C48" s="32"/>
      <c r="D48" s="14">
        <f>+D47+D46</f>
        <v>3705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0" workbookViewId="0">
      <selection activeCell="C49" sqref="C49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173</v>
      </c>
      <c r="M13" s="189"/>
    </row>
    <row r="14" spans="1:13" x14ac:dyDescent="0.2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>
        <v>-1374</v>
      </c>
      <c r="C17" s="11">
        <v>-657</v>
      </c>
      <c r="D17" s="25">
        <f t="shared" si="0"/>
        <v>717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>
        <v>-1653</v>
      </c>
      <c r="C18" s="11">
        <v>-657</v>
      </c>
      <c r="D18" s="25">
        <f t="shared" si="0"/>
        <v>996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>
        <v>-582</v>
      </c>
      <c r="C19" s="11">
        <v>-657</v>
      </c>
      <c r="D19" s="25">
        <f t="shared" si="0"/>
        <v>-75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>
        <v>-670</v>
      </c>
      <c r="C20" s="11">
        <v>-657</v>
      </c>
      <c r="D20" s="25">
        <f t="shared" si="0"/>
        <v>13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>
        <v>-888</v>
      </c>
      <c r="C21" s="11">
        <v>-657</v>
      </c>
      <c r="D21" s="25">
        <f t="shared" si="0"/>
        <v>231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>
        <v>-2001</v>
      </c>
      <c r="C22" s="11">
        <v>-657</v>
      </c>
      <c r="D22" s="25">
        <f t="shared" si="0"/>
        <v>1344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>
        <v>-1889</v>
      </c>
      <c r="C23" s="11">
        <v>-657</v>
      </c>
      <c r="D23" s="25">
        <f t="shared" si="0"/>
        <v>1232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-1758</v>
      </c>
      <c r="C24" s="11">
        <v>-657</v>
      </c>
      <c r="D24" s="25">
        <f t="shared" si="0"/>
        <v>1101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-1859</v>
      </c>
      <c r="C25" s="11">
        <v>-657</v>
      </c>
      <c r="D25" s="25">
        <f t="shared" si="0"/>
        <v>1202</v>
      </c>
    </row>
    <row r="26" spans="1:15" x14ac:dyDescent="0.2">
      <c r="A26" s="10">
        <v>21</v>
      </c>
      <c r="B26" s="11">
        <v>-347</v>
      </c>
      <c r="C26" s="11">
        <v>-657</v>
      </c>
      <c r="D26" s="25">
        <f t="shared" si="0"/>
        <v>-310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-485</v>
      </c>
      <c r="C27" s="11">
        <v>-657</v>
      </c>
      <c r="D27" s="25">
        <f t="shared" si="0"/>
        <v>-172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-613</v>
      </c>
      <c r="C28" s="11">
        <v>-657</v>
      </c>
      <c r="D28" s="25">
        <f t="shared" si="0"/>
        <v>-44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-27303</v>
      </c>
      <c r="C37" s="11">
        <f>SUM(C6:C36)</f>
        <v>-14446</v>
      </c>
      <c r="D37" s="25">
        <f>SUM(D6:D36)</f>
        <v>12857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26999.7</v>
      </c>
    </row>
    <row r="40" spans="1:4" x14ac:dyDescent="0.2">
      <c r="A40" s="57">
        <v>37287</v>
      </c>
      <c r="C40" s="15"/>
      <c r="D40" s="570">
        <v>-292829</v>
      </c>
    </row>
    <row r="41" spans="1:4" x14ac:dyDescent="0.2">
      <c r="A41" s="57">
        <v>37310</v>
      </c>
      <c r="C41" s="48"/>
      <c r="D41" s="138">
        <f>+D40+D39</f>
        <v>-265829.3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67">
        <v>-14344</v>
      </c>
    </row>
    <row r="49" spans="1:4" x14ac:dyDescent="0.2">
      <c r="A49" s="49">
        <f>+A41</f>
        <v>37310</v>
      </c>
      <c r="B49" s="32"/>
      <c r="C49" s="32"/>
      <c r="D49" s="349">
        <f>+D37</f>
        <v>12857</v>
      </c>
    </row>
    <row r="50" spans="1:4" x14ac:dyDescent="0.2">
      <c r="A50" s="32"/>
      <c r="B50" s="32"/>
      <c r="C50" s="32"/>
      <c r="D50" s="14">
        <f>+D49+D48</f>
        <v>-1487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1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">
      <c r="A17" s="10">
        <v>12</v>
      </c>
      <c r="B17" s="11">
        <v>-58527</v>
      </c>
      <c r="C17" s="11">
        <v>-67499</v>
      </c>
      <c r="D17" s="25">
        <f t="shared" si="0"/>
        <v>-8972</v>
      </c>
    </row>
    <row r="18" spans="1:4" x14ac:dyDescent="0.2">
      <c r="A18" s="10">
        <v>13</v>
      </c>
      <c r="B18" s="11">
        <v>-41171</v>
      </c>
      <c r="C18" s="11">
        <v>-51000</v>
      </c>
      <c r="D18" s="25">
        <f t="shared" si="0"/>
        <v>-9829</v>
      </c>
    </row>
    <row r="19" spans="1:4" x14ac:dyDescent="0.2">
      <c r="A19" s="10">
        <v>14</v>
      </c>
      <c r="B19" s="11">
        <v>-49898</v>
      </c>
      <c r="C19" s="11">
        <v>-52000</v>
      </c>
      <c r="D19" s="25">
        <f t="shared" si="0"/>
        <v>-2102</v>
      </c>
    </row>
    <row r="20" spans="1:4" x14ac:dyDescent="0.2">
      <c r="A20" s="10">
        <v>15</v>
      </c>
      <c r="B20" s="11">
        <v>-52161</v>
      </c>
      <c r="C20" s="11">
        <v>-60000</v>
      </c>
      <c r="D20" s="25">
        <f t="shared" si="0"/>
        <v>-7839</v>
      </c>
    </row>
    <row r="21" spans="1:4" x14ac:dyDescent="0.2">
      <c r="A21" s="10">
        <v>16</v>
      </c>
      <c r="B21" s="11">
        <v>-36534</v>
      </c>
      <c r="C21" s="11">
        <v>-33000</v>
      </c>
      <c r="D21" s="25">
        <f t="shared" si="0"/>
        <v>3534</v>
      </c>
    </row>
    <row r="22" spans="1:4" x14ac:dyDescent="0.2">
      <c r="A22" s="10">
        <v>17</v>
      </c>
      <c r="B22" s="11">
        <v>-40628</v>
      </c>
      <c r="C22" s="11">
        <v>-29000</v>
      </c>
      <c r="D22" s="25">
        <f t="shared" si="0"/>
        <v>11628</v>
      </c>
    </row>
    <row r="23" spans="1:4" x14ac:dyDescent="0.2">
      <c r="A23" s="10">
        <v>18</v>
      </c>
      <c r="B23" s="11">
        <v>-65332</v>
      </c>
      <c r="C23" s="11">
        <v>-54999</v>
      </c>
      <c r="D23" s="25">
        <f t="shared" si="0"/>
        <v>10333</v>
      </c>
    </row>
    <row r="24" spans="1:4" x14ac:dyDescent="0.2">
      <c r="A24" s="10">
        <v>19</v>
      </c>
      <c r="B24" s="11">
        <v>-69179</v>
      </c>
      <c r="C24" s="11">
        <v>-54999</v>
      </c>
      <c r="D24" s="25">
        <f t="shared" si="0"/>
        <v>14180</v>
      </c>
    </row>
    <row r="25" spans="1:4" x14ac:dyDescent="0.2">
      <c r="A25" s="10">
        <v>20</v>
      </c>
      <c r="B25" s="11">
        <v>-50061</v>
      </c>
      <c r="C25" s="11">
        <v>-69999</v>
      </c>
      <c r="D25" s="25">
        <f t="shared" si="0"/>
        <v>-19938</v>
      </c>
    </row>
    <row r="26" spans="1:4" x14ac:dyDescent="0.2">
      <c r="A26" s="10">
        <v>21</v>
      </c>
      <c r="B26" s="11">
        <v>-36526</v>
      </c>
      <c r="C26" s="11">
        <v>-50000</v>
      </c>
      <c r="D26" s="25">
        <f t="shared" si="0"/>
        <v>-13474</v>
      </c>
    </row>
    <row r="27" spans="1:4" x14ac:dyDescent="0.2">
      <c r="A27" s="10">
        <v>22</v>
      </c>
      <c r="B27" s="11">
        <v>-39318</v>
      </c>
      <c r="C27" s="11">
        <v>-35000</v>
      </c>
      <c r="D27" s="25">
        <f t="shared" si="0"/>
        <v>4318</v>
      </c>
    </row>
    <row r="28" spans="1:4" x14ac:dyDescent="0.2">
      <c r="A28" s="10">
        <v>23</v>
      </c>
      <c r="B28" s="11">
        <v>-23799</v>
      </c>
      <c r="C28" s="11">
        <v>-16000</v>
      </c>
      <c r="D28" s="25">
        <f t="shared" si="0"/>
        <v>7799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-1048826</v>
      </c>
      <c r="C37" s="11">
        <f>SUM(C6:C36)</f>
        <v>-1035167</v>
      </c>
      <c r="D37" s="25">
        <f>SUM(D6:D36)</f>
        <v>13659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28683.9</v>
      </c>
    </row>
    <row r="40" spans="1:4" x14ac:dyDescent="0.2">
      <c r="A40" s="57">
        <v>37287</v>
      </c>
      <c r="C40" s="15"/>
      <c r="D40" s="570">
        <v>23627.8</v>
      </c>
    </row>
    <row r="41" spans="1:4" x14ac:dyDescent="0.2">
      <c r="A41" s="57">
        <v>37310</v>
      </c>
      <c r="C41" s="48"/>
      <c r="D41" s="138">
        <f>+D40+D39</f>
        <v>52311.7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67">
        <v>14942</v>
      </c>
    </row>
    <row r="47" spans="1:4" x14ac:dyDescent="0.2">
      <c r="A47" s="49">
        <f>+A41</f>
        <v>37310</v>
      </c>
      <c r="B47" s="32"/>
      <c r="C47" s="32"/>
      <c r="D47" s="349">
        <f>+D37</f>
        <v>13659</v>
      </c>
    </row>
    <row r="48" spans="1:4" x14ac:dyDescent="0.2">
      <c r="A48" s="32"/>
      <c r="B48" s="32"/>
      <c r="C48" s="32"/>
      <c r="D48" s="14">
        <f>+D47+D46</f>
        <v>28601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-3</v>
      </c>
      <c r="C5" s="90">
        <v>-2898</v>
      </c>
      <c r="D5" s="90">
        <f>+C5-B5</f>
        <v>-2895</v>
      </c>
      <c r="E5" s="275"/>
      <c r="F5" s="273"/>
    </row>
    <row r="6" spans="1:13" x14ac:dyDescent="0.2">
      <c r="A6" s="87">
        <v>500046</v>
      </c>
      <c r="B6" s="90">
        <v>-9479</v>
      </c>
      <c r="C6" s="90"/>
      <c r="D6" s="90">
        <f t="shared" ref="D6:D11" si="0">+C6-B6</f>
        <v>9479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-19679</v>
      </c>
      <c r="C8" s="90">
        <v>-39376</v>
      </c>
      <c r="D8" s="90">
        <f t="shared" si="0"/>
        <v>-19697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-13113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2.1</v>
      </c>
      <c r="E13" s="277"/>
      <c r="F13" s="273"/>
    </row>
    <row r="14" spans="1:13" x14ac:dyDescent="0.2">
      <c r="A14" s="87"/>
      <c r="B14" s="88"/>
      <c r="C14" s="88"/>
      <c r="D14" s="96">
        <f>+D13*D12</f>
        <v>-27537.300000000003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17">
        <v>-547260.79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37310</v>
      </c>
      <c r="B18" s="88"/>
      <c r="C18" s="88"/>
      <c r="D18" s="318">
        <f>+D16+D14</f>
        <v>-574798.09000000008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67">
        <v>-41423</v>
      </c>
    </row>
    <row r="23" spans="1:7" x14ac:dyDescent="0.2">
      <c r="A23" s="49"/>
      <c r="B23" s="32"/>
      <c r="C23" s="32"/>
      <c r="D23" s="349">
        <f>+D12</f>
        <v>-13113</v>
      </c>
    </row>
    <row r="24" spans="1:7" x14ac:dyDescent="0.2">
      <c r="A24" s="49">
        <f>+A18</f>
        <v>37310</v>
      </c>
      <c r="B24" s="32"/>
      <c r="C24" s="32"/>
      <c r="D24" s="14">
        <f>+D23+D22</f>
        <v>-54536</v>
      </c>
      <c r="E24" s="344">
        <f>+D18/D24</f>
        <v>10.539791880592638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30" workbookViewId="0">
      <selection activeCell="A43" sqref="A43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">
      <c r="A17" s="10">
        <v>12</v>
      </c>
      <c r="B17" s="129">
        <v>-36674</v>
      </c>
      <c r="C17" s="11">
        <v>-36088</v>
      </c>
      <c r="D17" s="25">
        <f t="shared" si="0"/>
        <v>586</v>
      </c>
    </row>
    <row r="18" spans="1:4" x14ac:dyDescent="0.2">
      <c r="A18" s="10">
        <v>13</v>
      </c>
      <c r="B18" s="11">
        <v>-47122</v>
      </c>
      <c r="C18" s="11">
        <v>-47000</v>
      </c>
      <c r="D18" s="25">
        <f t="shared" si="0"/>
        <v>122</v>
      </c>
    </row>
    <row r="19" spans="1:4" x14ac:dyDescent="0.2">
      <c r="A19" s="10">
        <v>14</v>
      </c>
      <c r="B19" s="11">
        <v>-45072</v>
      </c>
      <c r="C19" s="11">
        <v>-45048</v>
      </c>
      <c r="D19" s="25">
        <f t="shared" si="0"/>
        <v>24</v>
      </c>
    </row>
    <row r="20" spans="1:4" x14ac:dyDescent="0.2">
      <c r="A20" s="10">
        <v>15</v>
      </c>
      <c r="B20" s="11">
        <v>-33797</v>
      </c>
      <c r="C20" s="11">
        <v>-32900</v>
      </c>
      <c r="D20" s="25">
        <f t="shared" si="0"/>
        <v>897</v>
      </c>
    </row>
    <row r="21" spans="1:4" x14ac:dyDescent="0.2">
      <c r="A21" s="10">
        <v>16</v>
      </c>
      <c r="B21" s="11">
        <v>-57765</v>
      </c>
      <c r="C21" s="11">
        <v>-57276</v>
      </c>
      <c r="D21" s="25">
        <f t="shared" si="0"/>
        <v>489</v>
      </c>
    </row>
    <row r="22" spans="1:4" x14ac:dyDescent="0.2">
      <c r="A22" s="10">
        <v>17</v>
      </c>
      <c r="B22" s="11">
        <v>-57995</v>
      </c>
      <c r="C22" s="11">
        <v>-57276</v>
      </c>
      <c r="D22" s="25">
        <f t="shared" si="0"/>
        <v>719</v>
      </c>
    </row>
    <row r="23" spans="1:4" x14ac:dyDescent="0.2">
      <c r="A23" s="10">
        <v>18</v>
      </c>
      <c r="B23" s="11">
        <v>-57788</v>
      </c>
      <c r="C23" s="11">
        <v>-57276</v>
      </c>
      <c r="D23" s="25">
        <f t="shared" si="0"/>
        <v>512</v>
      </c>
    </row>
    <row r="24" spans="1:4" x14ac:dyDescent="0.2">
      <c r="A24" s="10">
        <v>19</v>
      </c>
      <c r="B24" s="11">
        <v>-57778</v>
      </c>
      <c r="C24" s="11">
        <v>-57276</v>
      </c>
      <c r="D24" s="25">
        <f t="shared" si="0"/>
        <v>502</v>
      </c>
    </row>
    <row r="25" spans="1:4" x14ac:dyDescent="0.2">
      <c r="A25" s="10">
        <v>20</v>
      </c>
      <c r="B25" s="11">
        <v>-67624</v>
      </c>
      <c r="C25" s="11">
        <v>-78500</v>
      </c>
      <c r="D25" s="25">
        <f t="shared" si="0"/>
        <v>-10876</v>
      </c>
    </row>
    <row r="26" spans="1:4" x14ac:dyDescent="0.2">
      <c r="A26" s="10">
        <v>21</v>
      </c>
      <c r="B26" s="11">
        <v>-69502</v>
      </c>
      <c r="C26" s="11">
        <v>-65394</v>
      </c>
      <c r="D26" s="25">
        <f t="shared" si="0"/>
        <v>4108</v>
      </c>
    </row>
    <row r="27" spans="1:4" x14ac:dyDescent="0.2">
      <c r="A27" s="10">
        <v>22</v>
      </c>
      <c r="B27" s="11">
        <v>-74831</v>
      </c>
      <c r="C27" s="11">
        <v>-79942</v>
      </c>
      <c r="D27" s="25">
        <f t="shared" si="0"/>
        <v>-5111</v>
      </c>
    </row>
    <row r="28" spans="1:4" x14ac:dyDescent="0.2">
      <c r="A28" s="10">
        <v>23</v>
      </c>
      <c r="B28" s="11">
        <v>-70809</v>
      </c>
      <c r="C28" s="11">
        <v>-71599</v>
      </c>
      <c r="D28" s="25">
        <f t="shared" si="0"/>
        <v>-790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-1190984</v>
      </c>
      <c r="C37" s="11">
        <f>SUM(C6:C36)</f>
        <v>-1198992</v>
      </c>
      <c r="D37" s="25">
        <f>SUM(D6:D36)</f>
        <v>-8008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37287</v>
      </c>
      <c r="C40" s="15"/>
      <c r="D40" s="571">
        <v>19592</v>
      </c>
    </row>
    <row r="41" spans="1:4" x14ac:dyDescent="0.2">
      <c r="A41" s="57">
        <v>37310</v>
      </c>
      <c r="C41" s="48"/>
      <c r="D41" s="25">
        <f>+D40+D37</f>
        <v>11584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3">
        <v>186633</v>
      </c>
    </row>
    <row r="46" spans="1:4" x14ac:dyDescent="0.2">
      <c r="A46" s="49">
        <f>+A41</f>
        <v>37310</v>
      </c>
      <c r="B46" s="32"/>
      <c r="C46" s="32"/>
      <c r="D46" s="374">
        <f>+D37*'by type_area'!G4</f>
        <v>-16816.8</v>
      </c>
    </row>
    <row r="47" spans="1:4" x14ac:dyDescent="0.2">
      <c r="A47" s="32"/>
      <c r="B47" s="32"/>
      <c r="C47" s="32"/>
      <c r="D47" s="200">
        <f>+D46+D45</f>
        <v>169816.2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C48" sqref="C4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90">
        <v>-192285.66</v>
      </c>
    </row>
    <row r="41" spans="1:4" x14ac:dyDescent="0.2">
      <c r="A41" s="57">
        <v>37287</v>
      </c>
      <c r="C41" s="48"/>
      <c r="D41" s="138">
        <f>+D40+D39</f>
        <v>-192285.66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-45949</v>
      </c>
    </row>
    <row r="47" spans="1:4" x14ac:dyDescent="0.2">
      <c r="A47" s="49">
        <f>+A41</f>
        <v>37287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-45949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A21" sqref="A2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-162</v>
      </c>
      <c r="C9" s="11">
        <v>-143</v>
      </c>
      <c r="D9" s="11"/>
      <c r="E9" s="11"/>
      <c r="F9" s="11">
        <v>-1329</v>
      </c>
      <c r="G9" s="11">
        <v>-786</v>
      </c>
      <c r="H9" s="11"/>
      <c r="I9" s="11"/>
      <c r="J9" s="11">
        <f t="shared" si="0"/>
        <v>562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-175</v>
      </c>
      <c r="C10" s="11">
        <v>-143</v>
      </c>
      <c r="D10" s="129"/>
      <c r="E10" s="11"/>
      <c r="F10" s="11">
        <v>-1492</v>
      </c>
      <c r="G10" s="11">
        <v>-786</v>
      </c>
      <c r="H10" s="11"/>
      <c r="I10" s="11"/>
      <c r="J10" s="11">
        <f t="shared" si="0"/>
        <v>738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-165</v>
      </c>
      <c r="C11" s="11">
        <v>-143</v>
      </c>
      <c r="D11" s="11"/>
      <c r="E11" s="11"/>
      <c r="F11" s="11">
        <v>-1260</v>
      </c>
      <c r="G11" s="11">
        <v>-786</v>
      </c>
      <c r="H11" s="11"/>
      <c r="I11" s="11"/>
      <c r="J11" s="11">
        <f t="shared" si="0"/>
        <v>496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-135</v>
      </c>
      <c r="C12" s="11">
        <v>-143</v>
      </c>
      <c r="D12" s="129"/>
      <c r="E12" s="11"/>
      <c r="F12" s="11">
        <v>-1019</v>
      </c>
      <c r="G12" s="11">
        <v>-786</v>
      </c>
      <c r="H12" s="11"/>
      <c r="I12" s="11"/>
      <c r="J12" s="11">
        <f t="shared" si="0"/>
        <v>225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-115</v>
      </c>
      <c r="C13" s="11">
        <v>-143</v>
      </c>
      <c r="D13" s="11"/>
      <c r="E13" s="11"/>
      <c r="F13" s="11">
        <v>-838</v>
      </c>
      <c r="G13" s="11">
        <v>-786</v>
      </c>
      <c r="H13" s="11"/>
      <c r="I13" s="11"/>
      <c r="J13" s="11">
        <f t="shared" si="0"/>
        <v>24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-233</v>
      </c>
      <c r="C14" s="11">
        <v>-143</v>
      </c>
      <c r="D14" s="11"/>
      <c r="E14" s="11"/>
      <c r="F14" s="11">
        <v>-1113</v>
      </c>
      <c r="G14" s="11">
        <v>-786</v>
      </c>
      <c r="H14" s="11"/>
      <c r="I14" s="11"/>
      <c r="J14" s="11">
        <f t="shared" si="0"/>
        <v>417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-202</v>
      </c>
      <c r="C15" s="11">
        <v>-143</v>
      </c>
      <c r="D15" s="11"/>
      <c r="E15" s="11"/>
      <c r="F15" s="11">
        <v>-1390</v>
      </c>
      <c r="G15" s="11">
        <v>-786</v>
      </c>
      <c r="H15" s="11"/>
      <c r="I15" s="11"/>
      <c r="J15" s="11">
        <f t="shared" si="0"/>
        <v>663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-154</v>
      </c>
      <c r="C16" s="11">
        <v>-143</v>
      </c>
      <c r="D16" s="11"/>
      <c r="E16" s="11"/>
      <c r="F16" s="11">
        <v>-1253</v>
      </c>
      <c r="G16" s="11">
        <v>-786</v>
      </c>
      <c r="H16" s="11"/>
      <c r="I16" s="11"/>
      <c r="J16" s="11">
        <f t="shared" si="0"/>
        <v>478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-160</v>
      </c>
      <c r="C17" s="11">
        <v>-143</v>
      </c>
      <c r="D17" s="11"/>
      <c r="E17" s="11"/>
      <c r="F17" s="11">
        <v>-1211</v>
      </c>
      <c r="G17" s="11">
        <v>-786</v>
      </c>
      <c r="H17" s="11"/>
      <c r="I17" s="11"/>
      <c r="J17" s="11">
        <f t="shared" si="0"/>
        <v>442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-143</v>
      </c>
      <c r="C18" s="11">
        <v>-143</v>
      </c>
      <c r="D18" s="11"/>
      <c r="E18" s="11"/>
      <c r="F18" s="11">
        <v>-1225</v>
      </c>
      <c r="G18" s="11">
        <v>-786</v>
      </c>
      <c r="H18" s="11"/>
      <c r="I18" s="11"/>
      <c r="J18" s="11">
        <f t="shared" si="0"/>
        <v>439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-133</v>
      </c>
      <c r="C19" s="11">
        <v>-143</v>
      </c>
      <c r="D19" s="11"/>
      <c r="E19" s="11"/>
      <c r="F19" s="11">
        <v>-933</v>
      </c>
      <c r="G19" s="11">
        <v>-786</v>
      </c>
      <c r="H19" s="11"/>
      <c r="I19" s="11"/>
      <c r="J19" s="11">
        <f t="shared" si="0"/>
        <v>137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-128</v>
      </c>
      <c r="C20" s="11">
        <v>-143</v>
      </c>
      <c r="D20" s="11"/>
      <c r="E20" s="11"/>
      <c r="F20" s="11">
        <v>-981</v>
      </c>
      <c r="G20" s="11">
        <v>-786</v>
      </c>
      <c r="H20" s="11"/>
      <c r="I20" s="11"/>
      <c r="J20" s="11">
        <f t="shared" si="0"/>
        <v>180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-104</v>
      </c>
      <c r="C21" s="11">
        <v>-143</v>
      </c>
      <c r="D21" s="11"/>
      <c r="E21" s="11"/>
      <c r="F21" s="11">
        <v>-840</v>
      </c>
      <c r="G21" s="11">
        <v>-786</v>
      </c>
      <c r="H21" s="11"/>
      <c r="I21" s="11"/>
      <c r="J21" s="11">
        <f t="shared" si="0"/>
        <v>15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-98</v>
      </c>
      <c r="C22" s="11">
        <v>-143</v>
      </c>
      <c r="D22" s="11"/>
      <c r="E22" s="11"/>
      <c r="F22" s="11">
        <v>-951</v>
      </c>
      <c r="G22" s="11">
        <v>-786</v>
      </c>
      <c r="H22" s="11"/>
      <c r="I22" s="11"/>
      <c r="J22" s="11">
        <f t="shared" si="0"/>
        <v>120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-94</v>
      </c>
      <c r="C23" s="11">
        <v>-143</v>
      </c>
      <c r="D23" s="11"/>
      <c r="E23" s="11"/>
      <c r="F23" s="11">
        <v>-565</v>
      </c>
      <c r="G23" s="11">
        <v>-786</v>
      </c>
      <c r="H23" s="11"/>
      <c r="I23" s="11"/>
      <c r="J23" s="11">
        <f t="shared" si="0"/>
        <v>-270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-111</v>
      </c>
      <c r="C24" s="11">
        <v>-143</v>
      </c>
      <c r="D24" s="11"/>
      <c r="E24" s="11"/>
      <c r="F24" s="11">
        <v>-808</v>
      </c>
      <c r="G24" s="11">
        <v>-786</v>
      </c>
      <c r="H24" s="11"/>
      <c r="I24" s="11"/>
      <c r="J24" s="11">
        <f t="shared" si="0"/>
        <v>-10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-90</v>
      </c>
      <c r="C25" s="11">
        <v>-143</v>
      </c>
      <c r="D25" s="11"/>
      <c r="E25" s="11"/>
      <c r="F25" s="11">
        <v>-700</v>
      </c>
      <c r="G25" s="11">
        <v>-786</v>
      </c>
      <c r="H25" s="11"/>
      <c r="I25" s="11"/>
      <c r="J25" s="11">
        <f t="shared" si="0"/>
        <v>-139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>
        <v>-125</v>
      </c>
      <c r="C26" s="11">
        <v>-143</v>
      </c>
      <c r="D26" s="11"/>
      <c r="E26" s="11"/>
      <c r="F26" s="11">
        <v>-1086</v>
      </c>
      <c r="G26" s="11">
        <v>-786</v>
      </c>
      <c r="H26" s="11"/>
      <c r="I26" s="11"/>
      <c r="J26" s="11">
        <f t="shared" si="0"/>
        <v>282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>
        <v>-94</v>
      </c>
      <c r="C27" s="11">
        <v>-143</v>
      </c>
      <c r="D27" s="11"/>
      <c r="E27" s="11"/>
      <c r="F27" s="11">
        <v>-850</v>
      </c>
      <c r="G27" s="11">
        <v>-1278</v>
      </c>
      <c r="H27" s="11"/>
      <c r="I27" s="11"/>
      <c r="J27" s="11">
        <f t="shared" si="0"/>
        <v>-477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>
        <v>-64</v>
      </c>
      <c r="C28" s="11">
        <v>-143</v>
      </c>
      <c r="D28" s="11"/>
      <c r="E28" s="11"/>
      <c r="F28" s="11">
        <v>-552</v>
      </c>
      <c r="G28" s="11">
        <v>-1278</v>
      </c>
      <c r="H28" s="11"/>
      <c r="I28" s="11"/>
      <c r="J28" s="11">
        <f t="shared" si="0"/>
        <v>-805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-3226</v>
      </c>
      <c r="C37" s="11">
        <f t="shared" ref="C37:I37" si="1">SUM(C6:C36)</f>
        <v>-3289</v>
      </c>
      <c r="D37" s="11">
        <f t="shared" si="1"/>
        <v>0</v>
      </c>
      <c r="E37" s="11">
        <f t="shared" si="1"/>
        <v>0</v>
      </c>
      <c r="F37" s="11">
        <f t="shared" si="1"/>
        <v>-23889</v>
      </c>
      <c r="G37" s="11">
        <f t="shared" si="1"/>
        <v>-19062</v>
      </c>
      <c r="H37" s="11">
        <f t="shared" si="1"/>
        <v>0</v>
      </c>
      <c r="I37" s="11">
        <f t="shared" si="1"/>
        <v>0</v>
      </c>
      <c r="J37" s="11">
        <f>SUM(J6:J36)</f>
        <v>4764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2.1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10004.4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73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37310</v>
      </c>
      <c r="J43" s="319">
        <f>+J41+J39</f>
        <v>-27185.369999999995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67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37310</v>
      </c>
      <c r="B49" s="32"/>
      <c r="C49" s="32"/>
      <c r="D49" s="349">
        <f>+J37</f>
        <v>4764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537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L21" workbookViewId="0">
      <selection activeCell="M29" sqref="M29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279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281</v>
      </c>
      <c r="C4" s="4"/>
      <c r="D4" s="38" t="s">
        <v>282</v>
      </c>
      <c r="E4" s="4"/>
      <c r="F4" s="38" t="s">
        <v>283</v>
      </c>
      <c r="G4" s="4"/>
      <c r="H4" s="38" t="s">
        <v>284</v>
      </c>
      <c r="I4" s="4"/>
      <c r="J4" s="38" t="s">
        <v>285</v>
      </c>
      <c r="K4" s="4"/>
      <c r="L4" s="38" t="s">
        <v>286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>
        <v>-1017</v>
      </c>
      <c r="M15" s="11">
        <v>-824</v>
      </c>
      <c r="N15" s="11">
        <f t="shared" si="0"/>
        <v>193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>
        <v>-720</v>
      </c>
      <c r="M16" s="11">
        <v>-824</v>
      </c>
      <c r="N16" s="11">
        <f>+M16+K16+I16+G16+E16+C16-L16-J16-H16-F16-D16-B16</f>
        <v>-104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>
        <v>-827</v>
      </c>
      <c r="M17" s="11">
        <v>-824</v>
      </c>
      <c r="N17" s="11">
        <f>+M17+K17+I17+G17+E17+C17-L17-J17-H17-F17-D17-B17</f>
        <v>3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>
        <v>-701</v>
      </c>
      <c r="M18" s="11">
        <v>-824</v>
      </c>
      <c r="N18" s="11">
        <f>+M18+K18+I18+G18+E18+C18-L18-J18-H18-F18-D18-B18</f>
        <v>-123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>
        <v>-674</v>
      </c>
      <c r="M19" s="11">
        <v>-824</v>
      </c>
      <c r="N19" s="11">
        <f>+M19+K19+I19+G19+E19+C19-L19-J19-H19-F19-D19-B19</f>
        <v>-150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>
        <v>-736</v>
      </c>
      <c r="M20" s="11">
        <v>-824</v>
      </c>
      <c r="N20" s="11">
        <f>+M20+K20+I20+G20+E20+C20-L20-J20-H20-F20-D20-B20</f>
        <v>-88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>
        <v>-630</v>
      </c>
      <c r="M21" s="11">
        <v>-824</v>
      </c>
      <c r="N21" s="11">
        <f t="shared" si="0"/>
        <v>-194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>
        <v>-689</v>
      </c>
      <c r="M22" s="11">
        <v>-824</v>
      </c>
      <c r="N22" s="11">
        <f t="shared" si="0"/>
        <v>-135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>
        <v>-656</v>
      </c>
      <c r="M23" s="11">
        <v>-824</v>
      </c>
      <c r="N23" s="11">
        <f t="shared" si="0"/>
        <v>-168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>
        <v>-792</v>
      </c>
      <c r="M24" s="11">
        <v>-824</v>
      </c>
      <c r="N24" s="11">
        <f t="shared" si="0"/>
        <v>-32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>
        <v>-689</v>
      </c>
      <c r="M25" s="11">
        <v>-824</v>
      </c>
      <c r="N25" s="11">
        <f t="shared" si="0"/>
        <v>-135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>
        <v>-725</v>
      </c>
      <c r="M26" s="11">
        <v>-824</v>
      </c>
      <c r="N26" s="11">
        <f t="shared" si="0"/>
        <v>-99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>
        <v>-743</v>
      </c>
      <c r="M27" s="11">
        <v>-824</v>
      </c>
      <c r="N27" s="11">
        <f t="shared" si="0"/>
        <v>-81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>
        <v>-708</v>
      </c>
      <c r="M28" s="11">
        <v>-824</v>
      </c>
      <c r="N28" s="11">
        <f t="shared" si="0"/>
        <v>-116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-17134</v>
      </c>
      <c r="M37" s="11">
        <f>SUM(M6:M36)</f>
        <v>-18952</v>
      </c>
      <c r="N37" s="11">
        <f t="shared" si="1"/>
        <v>-1818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2.1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-3817.8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484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37307</v>
      </c>
      <c r="N43" s="319">
        <f>+N41+N39</f>
        <v>21368.61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485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37307</v>
      </c>
      <c r="B49" s="32"/>
      <c r="C49" s="32"/>
      <c r="D49" s="349">
        <f>+N37</f>
        <v>-1818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6737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19" sqref="A1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">
      <c r="A17" s="10">
        <v>12</v>
      </c>
      <c r="B17" s="11">
        <v>315</v>
      </c>
      <c r="C17" s="11">
        <v>150</v>
      </c>
      <c r="D17" s="25">
        <f t="shared" si="0"/>
        <v>-165</v>
      </c>
    </row>
    <row r="18" spans="1:4" x14ac:dyDescent="0.2">
      <c r="A18" s="10">
        <v>13</v>
      </c>
      <c r="B18" s="11">
        <v>201</v>
      </c>
      <c r="C18" s="11">
        <v>150</v>
      </c>
      <c r="D18" s="25">
        <f t="shared" si="0"/>
        <v>-51</v>
      </c>
    </row>
    <row r="19" spans="1:4" x14ac:dyDescent="0.2">
      <c r="A19" s="10">
        <v>14</v>
      </c>
      <c r="B19" s="11">
        <v>186</v>
      </c>
      <c r="C19" s="11">
        <v>150</v>
      </c>
      <c r="D19" s="25">
        <f t="shared" si="0"/>
        <v>-36</v>
      </c>
    </row>
    <row r="20" spans="1:4" x14ac:dyDescent="0.2">
      <c r="A20" s="10">
        <v>15</v>
      </c>
      <c r="B20" s="11">
        <v>164</v>
      </c>
      <c r="C20" s="11">
        <v>150</v>
      </c>
      <c r="D20" s="25">
        <f t="shared" si="0"/>
        <v>-14</v>
      </c>
    </row>
    <row r="21" spans="1:4" x14ac:dyDescent="0.2">
      <c r="A21" s="10">
        <v>16</v>
      </c>
      <c r="B21" s="11">
        <v>142</v>
      </c>
      <c r="C21" s="11">
        <v>150</v>
      </c>
      <c r="D21" s="25">
        <f t="shared" si="0"/>
        <v>8</v>
      </c>
    </row>
    <row r="22" spans="1:4" x14ac:dyDescent="0.2">
      <c r="A22" s="10">
        <v>17</v>
      </c>
      <c r="B22" s="11">
        <v>227</v>
      </c>
      <c r="C22" s="11">
        <v>150</v>
      </c>
      <c r="D22" s="25">
        <f t="shared" si="0"/>
        <v>-77</v>
      </c>
    </row>
    <row r="23" spans="1:4" x14ac:dyDescent="0.2">
      <c r="A23" s="10">
        <v>18</v>
      </c>
      <c r="B23" s="11">
        <v>197</v>
      </c>
      <c r="C23" s="11">
        <v>150</v>
      </c>
      <c r="D23" s="25">
        <f t="shared" si="0"/>
        <v>-47</v>
      </c>
    </row>
    <row r="24" spans="1:4" x14ac:dyDescent="0.2">
      <c r="A24" s="10">
        <v>19</v>
      </c>
      <c r="B24" s="11">
        <v>226</v>
      </c>
      <c r="C24" s="11">
        <v>150</v>
      </c>
      <c r="D24" s="25">
        <f t="shared" si="0"/>
        <v>-76</v>
      </c>
    </row>
    <row r="25" spans="1:4" x14ac:dyDescent="0.2">
      <c r="A25" s="10">
        <v>20</v>
      </c>
      <c r="B25" s="11">
        <v>242</v>
      </c>
      <c r="C25" s="11">
        <v>150</v>
      </c>
      <c r="D25" s="25">
        <f t="shared" si="0"/>
        <v>-92</v>
      </c>
    </row>
    <row r="26" spans="1:4" x14ac:dyDescent="0.2">
      <c r="A26" s="10">
        <v>21</v>
      </c>
      <c r="B26" s="11">
        <v>264</v>
      </c>
      <c r="C26" s="11">
        <v>150</v>
      </c>
      <c r="D26" s="25">
        <f t="shared" si="0"/>
        <v>-114</v>
      </c>
    </row>
    <row r="27" spans="1:4" x14ac:dyDescent="0.2">
      <c r="A27" s="10">
        <v>22</v>
      </c>
      <c r="B27" s="11">
        <v>25</v>
      </c>
      <c r="C27" s="11">
        <v>150</v>
      </c>
      <c r="D27" s="25">
        <f t="shared" si="0"/>
        <v>125</v>
      </c>
    </row>
    <row r="28" spans="1:4" x14ac:dyDescent="0.2">
      <c r="A28" s="10">
        <v>23</v>
      </c>
      <c r="B28" s="11">
        <v>180</v>
      </c>
      <c r="C28" s="11">
        <v>150</v>
      </c>
      <c r="D28" s="25">
        <f t="shared" si="0"/>
        <v>-30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4340</v>
      </c>
      <c r="C37" s="11">
        <f>SUM(C6:C36)</f>
        <v>3450</v>
      </c>
      <c r="D37" s="25">
        <f>SUM(D6:D36)</f>
        <v>-890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-1869</v>
      </c>
    </row>
    <row r="40" spans="1:4" x14ac:dyDescent="0.2">
      <c r="A40" s="57">
        <v>37287</v>
      </c>
      <c r="C40" s="15"/>
      <c r="D40" s="590">
        <v>174593.14</v>
      </c>
    </row>
    <row r="41" spans="1:4" x14ac:dyDescent="0.2">
      <c r="A41" s="57">
        <v>37310</v>
      </c>
      <c r="C41" s="48"/>
      <c r="D41" s="138">
        <f>+D40+D39</f>
        <v>172724.14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76390</v>
      </c>
    </row>
    <row r="47" spans="1:4" x14ac:dyDescent="0.2">
      <c r="A47" s="49">
        <f>+A41</f>
        <v>37310</v>
      </c>
      <c r="B47" s="32"/>
      <c r="C47" s="32"/>
      <c r="D47" s="349">
        <f>+D37</f>
        <v>-890</v>
      </c>
    </row>
    <row r="48" spans="1:4" x14ac:dyDescent="0.2">
      <c r="A48" s="32"/>
      <c r="B48" s="32"/>
      <c r="C48" s="32"/>
      <c r="D48" s="14">
        <f>+D47+D46</f>
        <v>75500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">
      <c r="A16" s="10">
        <v>11</v>
      </c>
      <c r="B16" s="11"/>
      <c r="C16" s="11">
        <v>180</v>
      </c>
      <c r="D16" s="25">
        <f t="shared" si="0"/>
        <v>180</v>
      </c>
    </row>
    <row r="17" spans="1:4" x14ac:dyDescent="0.2">
      <c r="A17" s="10">
        <v>12</v>
      </c>
      <c r="B17" s="11">
        <v>56</v>
      </c>
      <c r="C17" s="11">
        <v>180</v>
      </c>
      <c r="D17" s="25">
        <f t="shared" si="0"/>
        <v>124</v>
      </c>
    </row>
    <row r="18" spans="1:4" x14ac:dyDescent="0.2">
      <c r="A18" s="10">
        <v>13</v>
      </c>
      <c r="B18" s="11">
        <v>2</v>
      </c>
      <c r="C18" s="11">
        <v>180</v>
      </c>
      <c r="D18" s="25">
        <f t="shared" si="0"/>
        <v>178</v>
      </c>
    </row>
    <row r="19" spans="1:4" x14ac:dyDescent="0.2">
      <c r="A19" s="10">
        <v>14</v>
      </c>
      <c r="B19" s="11"/>
      <c r="C19" s="11">
        <v>180</v>
      </c>
      <c r="D19" s="25">
        <f t="shared" si="0"/>
        <v>180</v>
      </c>
    </row>
    <row r="20" spans="1:4" x14ac:dyDescent="0.2">
      <c r="A20" s="10">
        <v>15</v>
      </c>
      <c r="B20" s="11">
        <v>47</v>
      </c>
      <c r="C20" s="11">
        <v>482</v>
      </c>
      <c r="D20" s="25">
        <f t="shared" si="0"/>
        <v>435</v>
      </c>
    </row>
    <row r="21" spans="1:4" x14ac:dyDescent="0.2">
      <c r="A21" s="10">
        <v>16</v>
      </c>
      <c r="B21" s="11"/>
      <c r="C21" s="11">
        <v>482</v>
      </c>
      <c r="D21" s="25">
        <f t="shared" si="0"/>
        <v>482</v>
      </c>
    </row>
    <row r="22" spans="1:4" x14ac:dyDescent="0.2">
      <c r="A22" s="10">
        <v>17</v>
      </c>
      <c r="B22" s="11"/>
      <c r="C22" s="11">
        <v>482</v>
      </c>
      <c r="D22" s="25">
        <f t="shared" si="0"/>
        <v>482</v>
      </c>
    </row>
    <row r="23" spans="1:4" x14ac:dyDescent="0.2">
      <c r="A23" s="10">
        <v>18</v>
      </c>
      <c r="B23" s="11"/>
      <c r="C23" s="11">
        <v>482</v>
      </c>
      <c r="D23" s="25">
        <f t="shared" si="0"/>
        <v>482</v>
      </c>
    </row>
    <row r="24" spans="1:4" x14ac:dyDescent="0.2">
      <c r="A24" s="10">
        <v>19</v>
      </c>
      <c r="B24" s="11"/>
      <c r="C24" s="11">
        <v>482</v>
      </c>
      <c r="D24" s="25">
        <f t="shared" si="0"/>
        <v>482</v>
      </c>
    </row>
    <row r="25" spans="1:4" x14ac:dyDescent="0.2">
      <c r="A25" s="10">
        <v>20</v>
      </c>
      <c r="B25" s="11"/>
      <c r="C25" s="11">
        <v>482</v>
      </c>
      <c r="D25" s="25">
        <f t="shared" si="0"/>
        <v>482</v>
      </c>
    </row>
    <row r="26" spans="1:4" x14ac:dyDescent="0.2">
      <c r="A26" s="10">
        <v>21</v>
      </c>
      <c r="B26" s="11"/>
      <c r="C26" s="11">
        <v>482</v>
      </c>
      <c r="D26" s="25">
        <f t="shared" si="0"/>
        <v>482</v>
      </c>
    </row>
    <row r="27" spans="1:4" x14ac:dyDescent="0.2">
      <c r="A27" s="10">
        <v>22</v>
      </c>
      <c r="B27" s="11"/>
      <c r="C27" s="11">
        <v>482</v>
      </c>
      <c r="D27" s="25">
        <f t="shared" si="0"/>
        <v>482</v>
      </c>
    </row>
    <row r="28" spans="1:4" x14ac:dyDescent="0.2">
      <c r="A28" s="10">
        <v>23</v>
      </c>
      <c r="B28" s="11"/>
      <c r="C28" s="11">
        <v>482</v>
      </c>
      <c r="D28" s="25">
        <f t="shared" si="0"/>
        <v>482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8747</v>
      </c>
      <c r="C37" s="11">
        <f>SUM(C6:C36)</f>
        <v>6858</v>
      </c>
      <c r="D37" s="25">
        <f>SUM(D6:D36)</f>
        <v>-1889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-3966.9</v>
      </c>
    </row>
    <row r="40" spans="1:4" x14ac:dyDescent="0.2">
      <c r="A40" s="57">
        <v>37287</v>
      </c>
      <c r="C40" s="15"/>
      <c r="D40" s="590">
        <v>0</v>
      </c>
    </row>
    <row r="41" spans="1:4" x14ac:dyDescent="0.2">
      <c r="A41" s="57">
        <v>37310</v>
      </c>
      <c r="C41" s="48"/>
      <c r="D41" s="138">
        <f>+D40+D39</f>
        <v>-3966.9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0</v>
      </c>
    </row>
    <row r="47" spans="1:4" x14ac:dyDescent="0.2">
      <c r="A47" s="49">
        <f>+A41</f>
        <v>37310</v>
      </c>
      <c r="B47" s="32"/>
      <c r="C47" s="32"/>
      <c r="D47" s="349">
        <f>+D37</f>
        <v>-1889</v>
      </c>
    </row>
    <row r="48" spans="1:4" x14ac:dyDescent="0.2">
      <c r="A48" s="32"/>
      <c r="B48" s="32"/>
      <c r="C48" s="32"/>
      <c r="D48" s="14">
        <f>+D47+D46</f>
        <v>-1889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30" workbookViewId="0">
      <selection activeCell="C52" sqref="C52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308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307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-12723</v>
      </c>
      <c r="C12" s="11">
        <v>-10000</v>
      </c>
      <c r="D12" s="129">
        <v>-34718</v>
      </c>
      <c r="E12" s="11">
        <v>-35326</v>
      </c>
      <c r="F12" s="11">
        <f t="shared" si="0"/>
        <v>2115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-9867</v>
      </c>
      <c r="C14" s="11">
        <v>-10000</v>
      </c>
      <c r="D14" s="129">
        <v>-55769</v>
      </c>
      <c r="E14" s="11">
        <v>-56224</v>
      </c>
      <c r="F14" s="11">
        <f t="shared" si="0"/>
        <v>-588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>
        <v>-9990</v>
      </c>
      <c r="C15" s="11">
        <v>-10000</v>
      </c>
      <c r="D15" s="11">
        <v>-60296</v>
      </c>
      <c r="E15" s="11">
        <v>-60215</v>
      </c>
      <c r="F15" s="11">
        <f t="shared" si="0"/>
        <v>71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>
        <v>-36347</v>
      </c>
      <c r="E16" s="11">
        <v>-35020</v>
      </c>
      <c r="F16" s="11">
        <f t="shared" si="0"/>
        <v>1327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>
        <v>-10000</v>
      </c>
      <c r="D17" s="11">
        <v>-91575</v>
      </c>
      <c r="E17" s="11">
        <v>-94020</v>
      </c>
      <c r="F17" s="11">
        <f t="shared" si="0"/>
        <v>-12445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>
        <v>-29326</v>
      </c>
      <c r="C18" s="11">
        <v>-20000</v>
      </c>
      <c r="D18" s="11">
        <v>-70014</v>
      </c>
      <c r="E18" s="11">
        <v>-70020</v>
      </c>
      <c r="F18" s="11">
        <f t="shared" si="0"/>
        <v>9320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>
        <v>-9961</v>
      </c>
      <c r="C19" s="11">
        <v>-10000</v>
      </c>
      <c r="D19" s="11">
        <v>-51748</v>
      </c>
      <c r="E19" s="11">
        <v>-52020</v>
      </c>
      <c r="F19" s="11">
        <f t="shared" si="0"/>
        <v>-311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>
        <v>-10005</v>
      </c>
      <c r="C20" s="11">
        <v>-10000</v>
      </c>
      <c r="D20" s="11">
        <v>-22475</v>
      </c>
      <c r="E20" s="11">
        <v>-22428</v>
      </c>
      <c r="F20" s="11">
        <f t="shared" si="0"/>
        <v>52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>
        <v>-10110</v>
      </c>
      <c r="C21" s="11">
        <v>-10000</v>
      </c>
      <c r="D21" s="11">
        <v>-22158</v>
      </c>
      <c r="E21" s="11">
        <v>-22428</v>
      </c>
      <c r="F21" s="11">
        <f t="shared" si="0"/>
        <v>-160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>
        <v>-10370</v>
      </c>
      <c r="C22" s="11">
        <v>-10000</v>
      </c>
      <c r="D22" s="11">
        <v>-22832</v>
      </c>
      <c r="E22" s="11">
        <v>-22428</v>
      </c>
      <c r="F22" s="11">
        <f t="shared" si="0"/>
        <v>774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>
        <v>-11476</v>
      </c>
      <c r="C23" s="11">
        <v>-10000</v>
      </c>
      <c r="D23" s="11">
        <v>-23079</v>
      </c>
      <c r="E23" s="11">
        <v>-22428</v>
      </c>
      <c r="F23" s="11">
        <f t="shared" si="0"/>
        <v>2127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309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>
        <v>-2538</v>
      </c>
      <c r="E24" s="11">
        <v>-2020</v>
      </c>
      <c r="F24" s="11">
        <f t="shared" si="0"/>
        <v>518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>
        <v>-10183</v>
      </c>
      <c r="E25" s="11">
        <v>-10020</v>
      </c>
      <c r="F25" s="11">
        <f t="shared" si="0"/>
        <v>163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>
        <v>-27820</v>
      </c>
      <c r="E26" s="11">
        <v>-27530</v>
      </c>
      <c r="F26" s="11">
        <f t="shared" si="0"/>
        <v>290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>
        <v>-10000</v>
      </c>
      <c r="D27" s="11">
        <v>-32751</v>
      </c>
      <c r="E27" s="11">
        <v>-32428</v>
      </c>
      <c r="F27" s="11">
        <f t="shared" si="0"/>
        <v>-9677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-188235</v>
      </c>
      <c r="C36" s="44">
        <f>SUM(C5:C35)</f>
        <v>-190000</v>
      </c>
      <c r="D36" s="43">
        <f>SUM(D5:D35)</f>
        <v>-950270</v>
      </c>
      <c r="E36" s="43">
        <f>SUM(E5:E35)</f>
        <v>-947699</v>
      </c>
      <c r="F36" s="11">
        <f>SUM(F5:F35)</f>
        <v>806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9">
        <f>+summary!G5</f>
        <v>2.1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1692.6000000000001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37287</v>
      </c>
      <c r="B42" s="32"/>
      <c r="C42" s="460"/>
      <c r="D42" s="111"/>
      <c r="E42" s="460"/>
      <c r="F42" s="565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37310</v>
      </c>
      <c r="B43" s="32"/>
      <c r="C43" s="106"/>
      <c r="D43" s="106"/>
      <c r="E43" s="106"/>
      <c r="F43" s="24">
        <f>+F42+F36</f>
        <v>35486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291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37287</v>
      </c>
      <c r="B48" s="32"/>
      <c r="C48" s="32"/>
      <c r="D48" s="566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37310</v>
      </c>
      <c r="B49" s="32"/>
      <c r="C49" s="32"/>
      <c r="D49" s="76">
        <f>+F36</f>
        <v>806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72734.960000000006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-2181</v>
      </c>
      <c r="C17" s="24">
        <v>-1736</v>
      </c>
      <c r="D17" s="24">
        <v>-2504</v>
      </c>
      <c r="E17" s="24">
        <v>-2000</v>
      </c>
      <c r="F17" s="24">
        <f t="shared" si="0"/>
        <v>949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-2440</v>
      </c>
      <c r="C18" s="24">
        <v>-1736</v>
      </c>
      <c r="D18" s="24">
        <v>-2510</v>
      </c>
      <c r="E18" s="24">
        <v>-2000</v>
      </c>
      <c r="F18" s="24">
        <f t="shared" si="0"/>
        <v>1214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-2055</v>
      </c>
      <c r="C19" s="24">
        <v>-1736</v>
      </c>
      <c r="D19" s="24">
        <v>-2466</v>
      </c>
      <c r="E19" s="24">
        <v>-2000</v>
      </c>
      <c r="F19" s="24">
        <f t="shared" si="0"/>
        <v>785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-2305</v>
      </c>
      <c r="C20" s="24">
        <v>-1736</v>
      </c>
      <c r="D20" s="24">
        <v>-2095</v>
      </c>
      <c r="E20" s="24">
        <v>-2000</v>
      </c>
      <c r="F20" s="24">
        <f t="shared" si="0"/>
        <v>664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-695</v>
      </c>
      <c r="C21" s="24">
        <v>-1736</v>
      </c>
      <c r="D21" s="24">
        <v>-222</v>
      </c>
      <c r="E21" s="24">
        <v>-2000</v>
      </c>
      <c r="F21" s="24">
        <f t="shared" si="0"/>
        <v>-2819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-1961</v>
      </c>
      <c r="C22" s="24">
        <v>-1736</v>
      </c>
      <c r="D22" s="24">
        <v>-566</v>
      </c>
      <c r="E22" s="24">
        <v>-2000</v>
      </c>
      <c r="F22" s="24">
        <f t="shared" si="0"/>
        <v>-1209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-2236</v>
      </c>
      <c r="C23" s="24">
        <v>-1736</v>
      </c>
      <c r="D23" s="24">
        <v>-2485</v>
      </c>
      <c r="E23" s="24">
        <v>-2000</v>
      </c>
      <c r="F23" s="24">
        <f t="shared" si="0"/>
        <v>985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-2128</v>
      </c>
      <c r="C24" s="24">
        <v>-1736</v>
      </c>
      <c r="D24" s="24">
        <v>-2471</v>
      </c>
      <c r="E24" s="24">
        <v>-2000</v>
      </c>
      <c r="F24" s="24">
        <f t="shared" si="0"/>
        <v>863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-2199</v>
      </c>
      <c r="C25" s="24">
        <v>-1736</v>
      </c>
      <c r="D25" s="24">
        <v>-2346</v>
      </c>
      <c r="E25" s="24">
        <v>-2000</v>
      </c>
      <c r="F25" s="24">
        <f t="shared" si="0"/>
        <v>809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-2170</v>
      </c>
      <c r="C26" s="24">
        <v>-1736</v>
      </c>
      <c r="D26" s="24">
        <v>-2500</v>
      </c>
      <c r="E26" s="24">
        <v>-2000</v>
      </c>
      <c r="F26" s="24">
        <f t="shared" si="0"/>
        <v>934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-2347</v>
      </c>
      <c r="C27" s="24">
        <v>-1736</v>
      </c>
      <c r="D27" s="24">
        <v>-1771</v>
      </c>
      <c r="E27" s="24">
        <v>-2000</v>
      </c>
      <c r="F27" s="24">
        <f t="shared" si="0"/>
        <v>382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-2161</v>
      </c>
      <c r="C28" s="24">
        <v>-1736</v>
      </c>
      <c r="D28" s="24"/>
      <c r="E28" s="24"/>
      <c r="F28" s="24">
        <f t="shared" si="0"/>
        <v>425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-49304</v>
      </c>
      <c r="C37" s="24">
        <f>SUM(C6:C36)</f>
        <v>-49743</v>
      </c>
      <c r="D37" s="24">
        <f>SUM(D6:D36)</f>
        <v>-40366</v>
      </c>
      <c r="E37" s="24">
        <f>SUM(E6:E36)</f>
        <v>-44000</v>
      </c>
      <c r="F37" s="24">
        <f>SUM(F6:F36)</f>
        <v>-4073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-8553.3000000000011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68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37310</v>
      </c>
      <c r="C41" s="319"/>
      <c r="D41" s="262"/>
      <c r="E41" s="262"/>
      <c r="F41" s="104">
        <f>+F40+F39</f>
        <v>-125350.09000000001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37310</v>
      </c>
      <c r="B47" s="32"/>
      <c r="C47" s="32"/>
      <c r="D47" s="349">
        <f>+F37</f>
        <v>-4073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-37040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1" sqref="A41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-2010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-115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>
        <v>-1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38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-2395</v>
      </c>
      <c r="C15" s="24">
        <v>-2100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270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-1176</v>
      </c>
      <c r="C16" s="24">
        <v>-2100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-949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-2617</v>
      </c>
      <c r="C17" s="24">
        <v>-2100</v>
      </c>
      <c r="D17" s="24">
        <v>-9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501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-2916</v>
      </c>
      <c r="C18" s="24">
        <v>-2100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791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-3112</v>
      </c>
      <c r="C19" s="24">
        <v>-2100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987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-3375</v>
      </c>
      <c r="C20" s="24">
        <v>-2100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1250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-3331</v>
      </c>
      <c r="C21" s="24">
        <v>-2100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1206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-3263</v>
      </c>
      <c r="C22" s="24">
        <v>-2100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1138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-3559</v>
      </c>
      <c r="C23" s="24">
        <v>-2100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1434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-4023</v>
      </c>
      <c r="C24" s="24">
        <v>-2100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1898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-3825</v>
      </c>
      <c r="C25" s="24">
        <v>-2100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1700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-53737</v>
      </c>
      <c r="C37" s="24">
        <f t="shared" si="1"/>
        <v>-42000</v>
      </c>
      <c r="D37" s="24">
        <f t="shared" si="1"/>
        <v>-10</v>
      </c>
      <c r="E37" s="24">
        <f t="shared" si="1"/>
        <v>-500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11247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1"/>
      <c r="P39" s="104">
        <f>+P38*P37</f>
        <v>23618.7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1">
        <v>37287</v>
      </c>
      <c r="E40" s="14"/>
      <c r="O40" s="441"/>
      <c r="P40" s="568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1">
        <v>37307</v>
      </c>
      <c r="E41" s="14"/>
      <c r="O41" s="441"/>
      <c r="P41" s="104">
        <f>+P40+P39</f>
        <v>113385.98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67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37307</v>
      </c>
      <c r="B47" s="32"/>
      <c r="C47" s="32"/>
      <c r="D47" s="349">
        <f>+P37</f>
        <v>11247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48288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29" sqref="C2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276</v>
      </c>
      <c r="C3" s="87"/>
      <c r="D3" s="87"/>
    </row>
    <row r="4" spans="1:4" x14ac:dyDescent="0.2">
      <c r="A4" s="3"/>
      <c r="B4" s="328" t="s">
        <v>275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">
      <c r="A17" s="10">
        <v>12</v>
      </c>
      <c r="B17" s="11">
        <v>-14023</v>
      </c>
      <c r="C17" s="11">
        <v>-14000</v>
      </c>
      <c r="D17" s="25">
        <f t="shared" si="0"/>
        <v>23</v>
      </c>
    </row>
    <row r="18" spans="1:4" x14ac:dyDescent="0.2">
      <c r="A18" s="10">
        <v>13</v>
      </c>
      <c r="B18" s="11">
        <v>-14061</v>
      </c>
      <c r="C18" s="11">
        <v>-14000</v>
      </c>
      <c r="D18" s="25">
        <f t="shared" si="0"/>
        <v>61</v>
      </c>
    </row>
    <row r="19" spans="1:4" x14ac:dyDescent="0.2">
      <c r="A19" s="10">
        <v>14</v>
      </c>
      <c r="B19" s="11">
        <v>-13994</v>
      </c>
      <c r="C19" s="11">
        <v>-14000</v>
      </c>
      <c r="D19" s="25">
        <f t="shared" si="0"/>
        <v>-6</v>
      </c>
    </row>
    <row r="20" spans="1:4" x14ac:dyDescent="0.2">
      <c r="A20" s="10">
        <v>15</v>
      </c>
      <c r="B20" s="11">
        <v>-13261</v>
      </c>
      <c r="C20" s="11">
        <v>-14000</v>
      </c>
      <c r="D20" s="25">
        <f t="shared" si="0"/>
        <v>-739</v>
      </c>
    </row>
    <row r="21" spans="1:4" x14ac:dyDescent="0.2">
      <c r="A21" s="10">
        <v>16</v>
      </c>
      <c r="B21" s="11">
        <v>-28987</v>
      </c>
      <c r="C21" s="11">
        <v>-28999</v>
      </c>
      <c r="D21" s="25">
        <f t="shared" si="0"/>
        <v>-12</v>
      </c>
    </row>
    <row r="22" spans="1:4" x14ac:dyDescent="0.2">
      <c r="A22" s="10">
        <v>17</v>
      </c>
      <c r="B22" s="11">
        <v>-28996</v>
      </c>
      <c r="C22" s="11">
        <v>-28999</v>
      </c>
      <c r="D22" s="25">
        <f t="shared" si="0"/>
        <v>-3</v>
      </c>
    </row>
    <row r="23" spans="1:4" x14ac:dyDescent="0.2">
      <c r="A23" s="10">
        <v>18</v>
      </c>
      <c r="B23" s="11">
        <v>-28948</v>
      </c>
      <c r="C23" s="11">
        <v>-28999</v>
      </c>
      <c r="D23" s="25">
        <f t="shared" si="0"/>
        <v>-51</v>
      </c>
    </row>
    <row r="24" spans="1:4" x14ac:dyDescent="0.2">
      <c r="A24" s="10">
        <v>19</v>
      </c>
      <c r="B24" s="11">
        <v>-27796</v>
      </c>
      <c r="C24" s="11">
        <v>-27859</v>
      </c>
      <c r="D24" s="25">
        <f t="shared" si="0"/>
        <v>-63</v>
      </c>
    </row>
    <row r="25" spans="1:4" x14ac:dyDescent="0.2">
      <c r="A25" s="10">
        <v>20</v>
      </c>
      <c r="B25" s="11">
        <v>-13888</v>
      </c>
      <c r="C25" s="11">
        <v>-14000</v>
      </c>
      <c r="D25" s="25">
        <f t="shared" si="0"/>
        <v>-112</v>
      </c>
    </row>
    <row r="26" spans="1:4" x14ac:dyDescent="0.2">
      <c r="A26" s="10">
        <v>21</v>
      </c>
      <c r="B26" s="11">
        <v>-14432</v>
      </c>
      <c r="C26" s="11">
        <v>-14000</v>
      </c>
      <c r="D26" s="25">
        <f t="shared" si="0"/>
        <v>432</v>
      </c>
    </row>
    <row r="27" spans="1:4" x14ac:dyDescent="0.2">
      <c r="A27" s="10">
        <v>22</v>
      </c>
      <c r="B27" s="11">
        <v>-15470</v>
      </c>
      <c r="C27" s="11">
        <v>-14000</v>
      </c>
      <c r="D27" s="25">
        <f t="shared" si="0"/>
        <v>1470</v>
      </c>
    </row>
    <row r="28" spans="1:4" x14ac:dyDescent="0.2">
      <c r="A28" s="10">
        <v>23</v>
      </c>
      <c r="B28" s="129">
        <v>-14866</v>
      </c>
      <c r="C28" s="11">
        <v>-14000</v>
      </c>
      <c r="D28" s="25">
        <f t="shared" si="0"/>
        <v>866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-428100</v>
      </c>
      <c r="C37" s="11">
        <f>SUM(C6:C36)</f>
        <v>-425819</v>
      </c>
      <c r="D37" s="25">
        <f>SUM(D6:D36)</f>
        <v>2281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4790.1000000000004</v>
      </c>
    </row>
    <row r="40" spans="1:4" x14ac:dyDescent="0.2">
      <c r="A40" s="57">
        <v>37287</v>
      </c>
      <c r="C40" s="15"/>
      <c r="D40" s="590">
        <v>-27179.17</v>
      </c>
    </row>
    <row r="41" spans="1:4" x14ac:dyDescent="0.2">
      <c r="A41" s="57">
        <v>37310</v>
      </c>
      <c r="C41" s="48"/>
      <c r="D41" s="138">
        <f>+D40+D39</f>
        <v>-22389.07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-12</v>
      </c>
    </row>
    <row r="47" spans="1:4" x14ac:dyDescent="0.2">
      <c r="A47" s="49">
        <f>+A41</f>
        <v>37310</v>
      </c>
      <c r="B47" s="32"/>
      <c r="C47" s="32"/>
      <c r="D47" s="349">
        <f>+D37</f>
        <v>2281</v>
      </c>
    </row>
    <row r="48" spans="1:4" x14ac:dyDescent="0.2">
      <c r="A48" s="32"/>
      <c r="B48" s="32"/>
      <c r="C48" s="32"/>
      <c r="D48" s="14">
        <f>+D47+D46</f>
        <v>2269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4" workbookViewId="0">
      <selection activeCell="B3" sqref="B3:I1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295</v>
      </c>
      <c r="C3" s="87"/>
      <c r="D3" s="87"/>
    </row>
    <row r="4" spans="1:4" x14ac:dyDescent="0.2">
      <c r="A4" s="3"/>
      <c r="B4" s="328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2.1</v>
      </c>
    </row>
    <row r="39" spans="1:5" x14ac:dyDescent="0.2">
      <c r="D39" s="138">
        <f>+D38*D37</f>
        <v>0</v>
      </c>
    </row>
    <row r="40" spans="1:5" x14ac:dyDescent="0.2">
      <c r="A40" s="57">
        <v>37287</v>
      </c>
      <c r="C40" s="15"/>
      <c r="D40" s="590">
        <v>48490.31</v>
      </c>
    </row>
    <row r="41" spans="1:5" x14ac:dyDescent="0.2">
      <c r="A41" s="57">
        <v>37287</v>
      </c>
      <c r="C41" s="48"/>
      <c r="D41" s="138">
        <f>+D40+D39</f>
        <v>48490.31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37287</v>
      </c>
      <c r="B46" s="32"/>
      <c r="C46" s="32"/>
      <c r="D46" s="591">
        <v>17403</v>
      </c>
      <c r="E46" s="592"/>
    </row>
    <row r="47" spans="1:5" x14ac:dyDescent="0.2">
      <c r="A47" s="49">
        <f>+A41</f>
        <v>37287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9" t="s">
        <v>279</v>
      </c>
    </row>
    <row r="3" spans="1:37" x14ac:dyDescent="0.2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">
      <c r="B4" s="520" t="s">
        <v>281</v>
      </c>
      <c r="C4" s="521"/>
      <c r="D4" s="522" t="s">
        <v>282</v>
      </c>
      <c r="E4" s="521"/>
      <c r="F4" s="522" t="s">
        <v>283</v>
      </c>
      <c r="G4" s="521"/>
      <c r="H4" s="522" t="s">
        <v>284</v>
      </c>
      <c r="I4" s="521"/>
      <c r="J4" s="522" t="s">
        <v>285</v>
      </c>
      <c r="K4" s="521"/>
      <c r="L4" s="522" t="s">
        <v>286</v>
      </c>
      <c r="M4" s="521"/>
      <c r="N4" s="521"/>
    </row>
    <row r="5" spans="1:37" x14ac:dyDescent="0.2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">
      <c r="N38" s="264">
        <f>+summary!G4</f>
        <v>2.1</v>
      </c>
      <c r="P38" s="51"/>
      <c r="T38" s="530"/>
      <c r="U38" s="19"/>
      <c r="V38" s="531"/>
      <c r="W38" s="252"/>
      <c r="X38" s="264"/>
      <c r="Y38" s="528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">
      <c r="N40" s="329"/>
      <c r="P40" s="530"/>
      <c r="T40" s="530"/>
      <c r="U40" s="19"/>
      <c r="V40" s="531"/>
      <c r="W40" s="252"/>
      <c r="X40" s="264"/>
      <c r="Y40" s="528"/>
    </row>
    <row r="41" spans="1:25" x14ac:dyDescent="0.2">
      <c r="A41" s="263">
        <v>37287</v>
      </c>
      <c r="C41" s="131"/>
      <c r="E41" s="131"/>
      <c r="G41" s="131"/>
      <c r="I41" s="131"/>
      <c r="K41" s="131"/>
      <c r="M41" s="131"/>
      <c r="N41" s="573">
        <f>121241.56-58000</f>
        <v>63241.56</v>
      </c>
      <c r="P41" s="530"/>
      <c r="T41" s="530"/>
      <c r="U41" s="19"/>
      <c r="V41" s="531"/>
      <c r="W41" s="252"/>
      <c r="X41" s="264"/>
      <c r="Y41" s="528"/>
    </row>
    <row r="42" spans="1:25" x14ac:dyDescent="0.2">
      <c r="N42" s="319"/>
      <c r="P42" s="530"/>
      <c r="T42" s="530"/>
      <c r="U42" s="19"/>
      <c r="V42" s="531"/>
      <c r="W42" s="252"/>
      <c r="X42" s="264"/>
      <c r="Y42" s="528"/>
    </row>
    <row r="43" spans="1:25" x14ac:dyDescent="0.2">
      <c r="A43" s="263">
        <v>37287</v>
      </c>
      <c r="N43" s="319">
        <f>+N41+N39</f>
        <v>63241.56</v>
      </c>
      <c r="P43" s="530"/>
      <c r="T43" s="530"/>
      <c r="U43" s="19"/>
      <c r="V43" s="531"/>
      <c r="W43" s="252"/>
      <c r="X43" s="264"/>
      <c r="Y43" s="528"/>
    </row>
    <row r="44" spans="1:25" x14ac:dyDescent="0.2">
      <c r="N44" s="329"/>
      <c r="P44" s="530"/>
      <c r="T44" s="530"/>
      <c r="U44" s="19"/>
      <c r="V44" s="531"/>
      <c r="W44" s="252"/>
      <c r="X44" s="264"/>
      <c r="Y44" s="528"/>
    </row>
    <row r="45" spans="1:25" x14ac:dyDescent="0.2">
      <c r="P45" s="530"/>
      <c r="T45" s="530"/>
      <c r="U45" s="19"/>
      <c r="V45" s="531"/>
      <c r="W45" s="252"/>
      <c r="X45" s="264"/>
      <c r="Y45" s="528"/>
    </row>
    <row r="46" spans="1:25" x14ac:dyDescent="0.2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">
      <c r="A48" s="533">
        <f>+A41</f>
        <v>37287</v>
      </c>
      <c r="B48" s="249"/>
      <c r="C48" s="249"/>
      <c r="D48" s="567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">
      <c r="A49" s="533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">
      <c r="A84" s="261"/>
      <c r="O84" s="529"/>
      <c r="P84" s="530"/>
      <c r="Q84" s="530"/>
      <c r="R84" s="530"/>
      <c r="S84" s="530"/>
      <c r="T84" s="530"/>
      <c r="V84" s="536"/>
    </row>
    <row r="85" spans="1:22" x14ac:dyDescent="0.2">
      <c r="A85" s="261"/>
      <c r="O85" s="529"/>
      <c r="P85" s="530"/>
      <c r="Q85" s="530"/>
      <c r="R85" s="530"/>
      <c r="S85" s="530"/>
      <c r="T85" s="530"/>
      <c r="V85" s="536"/>
    </row>
    <row r="86" spans="1:22" x14ac:dyDescent="0.2">
      <c r="A86" s="261"/>
      <c r="O86" s="529"/>
      <c r="P86" s="530"/>
      <c r="Q86" s="530"/>
      <c r="R86" s="530"/>
      <c r="S86" s="530"/>
      <c r="T86" s="530"/>
      <c r="V86" s="536"/>
    </row>
    <row r="87" spans="1:22" x14ac:dyDescent="0.2">
      <c r="A87" s="261"/>
      <c r="O87" s="529"/>
      <c r="P87" s="530"/>
      <c r="Q87" s="530"/>
      <c r="R87" s="530"/>
      <c r="S87" s="530"/>
      <c r="T87" s="530"/>
      <c r="V87" s="536"/>
    </row>
    <row r="88" spans="1:22" x14ac:dyDescent="0.2">
      <c r="A88" s="261"/>
      <c r="O88" s="529"/>
      <c r="P88" s="530"/>
      <c r="Q88" s="530"/>
      <c r="R88" s="530"/>
      <c r="S88" s="530"/>
      <c r="T88" s="530"/>
      <c r="V88" s="536"/>
    </row>
    <row r="89" spans="1:22" x14ac:dyDescent="0.2">
      <c r="A89" s="261"/>
      <c r="O89" s="529"/>
      <c r="P89" s="530"/>
      <c r="Q89" s="530"/>
      <c r="R89" s="530"/>
      <c r="S89" s="530"/>
      <c r="T89" s="530"/>
      <c r="V89" s="536"/>
    </row>
    <row r="90" spans="1:22" x14ac:dyDescent="0.2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9"/>
      <c r="K166" s="539"/>
      <c r="M166" s="539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9"/>
      <c r="K208" s="539"/>
      <c r="M208" s="539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9"/>
      <c r="K251" s="539"/>
      <c r="M251" s="539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9"/>
      <c r="K293" s="539"/>
      <c r="M293" s="539"/>
      <c r="V293" s="539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40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9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40"/>
      <c r="W378" s="541"/>
    </row>
    <row r="381" spans="14:23" x14ac:dyDescent="0.2">
      <c r="O381" s="463"/>
      <c r="Q381" s="463"/>
      <c r="S381" s="463"/>
      <c r="U381" s="463"/>
    </row>
    <row r="382" spans="14:23" x14ac:dyDescent="0.2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9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40"/>
      <c r="W420" s="541"/>
    </row>
    <row r="425" spans="14:23" x14ac:dyDescent="0.2">
      <c r="O425" s="463"/>
      <c r="Q425" s="463"/>
      <c r="S425" s="463"/>
      <c r="U425" s="463"/>
    </row>
    <row r="426" spans="14:23" x14ac:dyDescent="0.2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9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40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5" workbookViewId="0">
      <selection activeCell="C40" sqref="C40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142966</v>
      </c>
      <c r="C9" s="11">
        <v>142375</v>
      </c>
      <c r="D9" s="25">
        <f t="shared" ref="D9:D37" si="0">+C9-B9</f>
        <v>-591</v>
      </c>
    </row>
    <row r="10" spans="1:4" x14ac:dyDescent="0.2">
      <c r="A10" s="10">
        <v>4</v>
      </c>
      <c r="B10" s="11">
        <v>136982</v>
      </c>
      <c r="C10" s="11">
        <v>136328</v>
      </c>
      <c r="D10" s="25">
        <f t="shared" si="0"/>
        <v>-654</v>
      </c>
    </row>
    <row r="11" spans="1:4" x14ac:dyDescent="0.2">
      <c r="A11" s="10">
        <v>5</v>
      </c>
      <c r="B11" s="129">
        <v>129996</v>
      </c>
      <c r="C11" s="11">
        <v>129960</v>
      </c>
      <c r="D11" s="25">
        <f t="shared" si="0"/>
        <v>-36</v>
      </c>
    </row>
    <row r="12" spans="1:4" x14ac:dyDescent="0.2">
      <c r="A12" s="10">
        <v>6</v>
      </c>
      <c r="B12" s="11">
        <v>145458</v>
      </c>
      <c r="C12" s="11">
        <v>145113</v>
      </c>
      <c r="D12" s="25">
        <f t="shared" si="0"/>
        <v>-345</v>
      </c>
    </row>
    <row r="13" spans="1:4" x14ac:dyDescent="0.2">
      <c r="A13" s="10">
        <v>7</v>
      </c>
      <c r="B13" s="129">
        <v>140099</v>
      </c>
      <c r="C13" s="11">
        <v>139463</v>
      </c>
      <c r="D13" s="25">
        <f t="shared" si="0"/>
        <v>-636</v>
      </c>
    </row>
    <row r="14" spans="1:4" x14ac:dyDescent="0.2">
      <c r="A14" s="10">
        <v>8</v>
      </c>
      <c r="B14" s="11">
        <v>162210</v>
      </c>
      <c r="C14" s="11">
        <v>160263</v>
      </c>
      <c r="D14" s="25">
        <f t="shared" si="0"/>
        <v>-1947</v>
      </c>
    </row>
    <row r="15" spans="1:4" x14ac:dyDescent="0.2">
      <c r="A15" s="10">
        <v>9</v>
      </c>
      <c r="B15" s="11">
        <v>148158</v>
      </c>
      <c r="C15" s="11">
        <v>147714</v>
      </c>
      <c r="D15" s="25">
        <f t="shared" si="0"/>
        <v>-444</v>
      </c>
    </row>
    <row r="16" spans="1:4" x14ac:dyDescent="0.2">
      <c r="A16" s="10">
        <v>10</v>
      </c>
      <c r="B16" s="11">
        <v>147931</v>
      </c>
      <c r="C16" s="11">
        <v>147714</v>
      </c>
      <c r="D16" s="25">
        <f t="shared" si="0"/>
        <v>-217</v>
      </c>
    </row>
    <row r="17" spans="1:4" x14ac:dyDescent="0.2">
      <c r="A17" s="10">
        <v>11</v>
      </c>
      <c r="B17" s="11">
        <v>133006</v>
      </c>
      <c r="C17" s="11">
        <v>132704</v>
      </c>
      <c r="D17" s="25">
        <f t="shared" si="0"/>
        <v>-302</v>
      </c>
    </row>
    <row r="18" spans="1:4" x14ac:dyDescent="0.2">
      <c r="A18" s="10">
        <v>12</v>
      </c>
      <c r="B18" s="11">
        <v>154943</v>
      </c>
      <c r="C18" s="11">
        <v>155214</v>
      </c>
      <c r="D18" s="25">
        <f t="shared" si="0"/>
        <v>271</v>
      </c>
    </row>
    <row r="19" spans="1:4" x14ac:dyDescent="0.2">
      <c r="A19" s="10">
        <v>13</v>
      </c>
      <c r="B19" s="11">
        <v>112317</v>
      </c>
      <c r="C19" s="11">
        <v>111466</v>
      </c>
      <c r="D19" s="25">
        <f t="shared" si="0"/>
        <v>-851</v>
      </c>
    </row>
    <row r="20" spans="1:4" x14ac:dyDescent="0.2">
      <c r="A20" s="10">
        <v>14</v>
      </c>
      <c r="B20" s="11">
        <v>150744</v>
      </c>
      <c r="C20" s="11">
        <v>150756</v>
      </c>
      <c r="D20" s="25">
        <f t="shared" si="0"/>
        <v>12</v>
      </c>
    </row>
    <row r="21" spans="1:4" x14ac:dyDescent="0.2">
      <c r="A21" s="10">
        <v>15</v>
      </c>
      <c r="B21" s="11">
        <v>155104</v>
      </c>
      <c r="C21" s="11">
        <v>155263</v>
      </c>
      <c r="D21" s="25">
        <f t="shared" si="0"/>
        <v>159</v>
      </c>
    </row>
    <row r="22" spans="1:4" x14ac:dyDescent="0.2">
      <c r="A22" s="10">
        <v>16</v>
      </c>
      <c r="B22" s="11">
        <v>155250</v>
      </c>
      <c r="C22" s="11">
        <v>155262</v>
      </c>
      <c r="D22" s="25">
        <f t="shared" si="0"/>
        <v>12</v>
      </c>
    </row>
    <row r="23" spans="1:4" x14ac:dyDescent="0.2">
      <c r="A23" s="10">
        <v>17</v>
      </c>
      <c r="B23" s="11">
        <v>169771</v>
      </c>
      <c r="C23" s="11">
        <v>171441</v>
      </c>
      <c r="D23" s="25">
        <f t="shared" si="0"/>
        <v>1670</v>
      </c>
    </row>
    <row r="24" spans="1:4" x14ac:dyDescent="0.2">
      <c r="A24" s="10">
        <v>18</v>
      </c>
      <c r="B24" s="11">
        <v>165548</v>
      </c>
      <c r="C24" s="11">
        <v>172019</v>
      </c>
      <c r="D24" s="25">
        <f t="shared" si="0"/>
        <v>6471</v>
      </c>
    </row>
    <row r="25" spans="1:4" x14ac:dyDescent="0.2">
      <c r="A25" s="10">
        <v>19</v>
      </c>
      <c r="B25" s="11">
        <v>152757</v>
      </c>
      <c r="C25" s="11">
        <v>152904</v>
      </c>
      <c r="D25" s="25">
        <f t="shared" si="0"/>
        <v>147</v>
      </c>
    </row>
    <row r="26" spans="1:4" x14ac:dyDescent="0.2">
      <c r="A26" s="10">
        <v>20</v>
      </c>
      <c r="B26" s="129">
        <v>138724</v>
      </c>
      <c r="C26" s="11">
        <v>138233</v>
      </c>
      <c r="D26" s="25">
        <f t="shared" si="0"/>
        <v>-491</v>
      </c>
    </row>
    <row r="27" spans="1:4" x14ac:dyDescent="0.2">
      <c r="A27" s="10">
        <v>21</v>
      </c>
      <c r="B27" s="129">
        <v>157606</v>
      </c>
      <c r="C27" s="11">
        <v>157187</v>
      </c>
      <c r="D27" s="25">
        <f t="shared" si="0"/>
        <v>-419</v>
      </c>
    </row>
    <row r="28" spans="1:4" x14ac:dyDescent="0.2">
      <c r="A28" s="10">
        <v>22</v>
      </c>
      <c r="B28" s="11">
        <v>157405</v>
      </c>
      <c r="C28" s="11">
        <v>155124</v>
      </c>
      <c r="D28" s="25">
        <f t="shared" si="0"/>
        <v>-2281</v>
      </c>
    </row>
    <row r="29" spans="1:4" x14ac:dyDescent="0.2">
      <c r="A29" s="10">
        <v>23</v>
      </c>
      <c r="B29" s="11">
        <v>161681</v>
      </c>
      <c r="C29" s="11">
        <v>160214</v>
      </c>
      <c r="D29" s="25">
        <f t="shared" si="0"/>
        <v>-1467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3396464</v>
      </c>
      <c r="C38" s="11">
        <f>SUM(C7:C37)</f>
        <v>3394199</v>
      </c>
      <c r="D38" s="11">
        <f>SUM(D7:D37)</f>
        <v>-2265</v>
      </c>
    </row>
    <row r="39" spans="1:8" x14ac:dyDescent="0.2">
      <c r="A39" s="26"/>
      <c r="C39" s="14"/>
      <c r="D39" s="106">
        <f>+summary!G3</f>
        <v>2.1</v>
      </c>
    </row>
    <row r="40" spans="1:8" x14ac:dyDescent="0.2">
      <c r="D40" s="138">
        <f>+D39*D38</f>
        <v>-4756.5</v>
      </c>
      <c r="H40">
        <v>20</v>
      </c>
    </row>
    <row r="41" spans="1:8" x14ac:dyDescent="0.2">
      <c r="A41" s="57">
        <v>37287</v>
      </c>
      <c r="C41" s="15"/>
      <c r="D41" s="597">
        <v>-61603.360000000001</v>
      </c>
      <c r="H41">
        <v>530</v>
      </c>
    </row>
    <row r="42" spans="1:8" x14ac:dyDescent="0.2">
      <c r="A42" s="57">
        <v>37310</v>
      </c>
      <c r="D42" s="319">
        <f>+D41+D40</f>
        <v>-66359.86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67">
        <v>-29617</v>
      </c>
    </row>
    <row r="48" spans="1:8" x14ac:dyDescent="0.2">
      <c r="A48" s="49">
        <f>+A42</f>
        <v>37310</v>
      </c>
      <c r="B48" s="32"/>
      <c r="C48" s="32"/>
      <c r="D48" s="349">
        <f>+D38</f>
        <v>-2265</v>
      </c>
    </row>
    <row r="49" spans="1:4" x14ac:dyDescent="0.2">
      <c r="A49" s="32"/>
      <c r="B49" s="32"/>
      <c r="C49" s="32"/>
      <c r="D49" s="14">
        <f>+D48+D47</f>
        <v>-31882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3" workbookViewId="0">
      <selection activeCell="B27" sqref="B27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">
      <c r="A15" s="10">
        <v>12</v>
      </c>
      <c r="B15" s="11">
        <v>-229532</v>
      </c>
      <c r="C15" s="11">
        <v>-228999</v>
      </c>
      <c r="D15" s="25">
        <f t="shared" si="0"/>
        <v>533</v>
      </c>
    </row>
    <row r="16" spans="1:4" x14ac:dyDescent="0.2">
      <c r="A16" s="10">
        <v>13</v>
      </c>
      <c r="B16" s="11">
        <v>-227809</v>
      </c>
      <c r="C16" s="11">
        <v>-226276</v>
      </c>
      <c r="D16" s="25">
        <f t="shared" si="0"/>
        <v>1533</v>
      </c>
    </row>
    <row r="17" spans="1:4" x14ac:dyDescent="0.2">
      <c r="A17" s="10">
        <v>14</v>
      </c>
      <c r="B17" s="11">
        <v>-224634</v>
      </c>
      <c r="C17" s="11">
        <v>-224000</v>
      </c>
      <c r="D17" s="25">
        <f t="shared" si="0"/>
        <v>634</v>
      </c>
    </row>
    <row r="18" spans="1:4" x14ac:dyDescent="0.2">
      <c r="A18" s="10">
        <v>15</v>
      </c>
      <c r="B18" s="11">
        <v>-229328</v>
      </c>
      <c r="C18" s="11">
        <v>-229000</v>
      </c>
      <c r="D18" s="25">
        <f t="shared" si="0"/>
        <v>328</v>
      </c>
    </row>
    <row r="19" spans="1:4" x14ac:dyDescent="0.2">
      <c r="A19" s="10">
        <v>16</v>
      </c>
      <c r="B19" s="11">
        <v>-254408</v>
      </c>
      <c r="C19" s="11">
        <v>-254408</v>
      </c>
      <c r="D19" s="25">
        <f t="shared" si="0"/>
        <v>0</v>
      </c>
    </row>
    <row r="20" spans="1:4" x14ac:dyDescent="0.2">
      <c r="A20" s="10">
        <v>17</v>
      </c>
      <c r="B20" s="11">
        <v>-254405</v>
      </c>
      <c r="C20" s="11">
        <v>-254408</v>
      </c>
      <c r="D20" s="25">
        <f t="shared" si="0"/>
        <v>-3</v>
      </c>
    </row>
    <row r="21" spans="1:4" x14ac:dyDescent="0.2">
      <c r="A21" s="10">
        <v>18</v>
      </c>
      <c r="B21" s="129">
        <v>-254411</v>
      </c>
      <c r="C21" s="11">
        <v>-254408</v>
      </c>
      <c r="D21" s="25">
        <f t="shared" si="0"/>
        <v>3</v>
      </c>
    </row>
    <row r="22" spans="1:4" x14ac:dyDescent="0.2">
      <c r="A22" s="10">
        <v>19</v>
      </c>
      <c r="B22" s="129">
        <v>-254111</v>
      </c>
      <c r="C22" s="11">
        <v>-254408</v>
      </c>
      <c r="D22" s="25">
        <f t="shared" si="0"/>
        <v>-297</v>
      </c>
    </row>
    <row r="23" spans="1:4" x14ac:dyDescent="0.2">
      <c r="A23" s="10">
        <v>20</v>
      </c>
      <c r="B23" s="11">
        <v>-224151</v>
      </c>
      <c r="C23" s="11">
        <v>-223999</v>
      </c>
      <c r="D23" s="25">
        <f t="shared" si="0"/>
        <v>152</v>
      </c>
    </row>
    <row r="24" spans="1:4" x14ac:dyDescent="0.2">
      <c r="A24" s="10">
        <v>21</v>
      </c>
      <c r="B24" s="129">
        <v>-220577</v>
      </c>
      <c r="C24" s="11">
        <v>-220039</v>
      </c>
      <c r="D24" s="25">
        <f t="shared" si="0"/>
        <v>538</v>
      </c>
    </row>
    <row r="25" spans="1:4" x14ac:dyDescent="0.2">
      <c r="A25" s="10">
        <v>22</v>
      </c>
      <c r="B25" s="11">
        <v>-185202</v>
      </c>
      <c r="C25" s="11">
        <v>-184139</v>
      </c>
      <c r="D25" s="25">
        <f t="shared" si="0"/>
        <v>1063</v>
      </c>
    </row>
    <row r="26" spans="1:4" x14ac:dyDescent="0.2">
      <c r="A26" s="10">
        <v>23</v>
      </c>
      <c r="B26" s="129">
        <v>-199507</v>
      </c>
      <c r="C26" s="11">
        <v>-198230</v>
      </c>
      <c r="D26" s="25">
        <f t="shared" si="0"/>
        <v>1277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-5475459</v>
      </c>
      <c r="C35" s="11">
        <f>SUM(C4:C34)</f>
        <v>-5459124</v>
      </c>
      <c r="D35" s="11">
        <f>SUM(D4:D34)</f>
        <v>16335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75">
        <v>28722</v>
      </c>
    </row>
    <row r="39" spans="1:30" x14ac:dyDescent="0.2">
      <c r="A39" s="12"/>
      <c r="D39" s="51"/>
    </row>
    <row r="40" spans="1:30" x14ac:dyDescent="0.2">
      <c r="A40" s="245">
        <v>37310</v>
      </c>
      <c r="D40" s="51">
        <f>+D38+D35</f>
        <v>45057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1"/>
      <c r="K44"/>
    </row>
    <row r="45" spans="1:30" x14ac:dyDescent="0.2">
      <c r="A45" s="49">
        <f>+A38</f>
        <v>37287</v>
      </c>
      <c r="B45" s="32"/>
      <c r="C45" s="32"/>
      <c r="D45" s="574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37310</v>
      </c>
      <c r="B46" s="32"/>
      <c r="C46" s="32"/>
      <c r="D46" s="374">
        <f>+D35*'by type_area'!G4</f>
        <v>34303.5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-109365.5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0" workbookViewId="0">
      <selection activeCell="C35" sqref="C35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">
      <c r="A15" s="10">
        <v>12</v>
      </c>
      <c r="B15" s="11">
        <v>-581906</v>
      </c>
      <c r="C15" s="11">
        <v>-589362</v>
      </c>
      <c r="D15" s="11"/>
      <c r="E15" s="11"/>
      <c r="F15" s="25">
        <f t="shared" si="0"/>
        <v>-7456</v>
      </c>
      <c r="H15" s="10"/>
      <c r="I15" s="11"/>
    </row>
    <row r="16" spans="1:11" x14ac:dyDescent="0.2">
      <c r="A16" s="10">
        <v>13</v>
      </c>
      <c r="B16" s="11">
        <v>-571728</v>
      </c>
      <c r="C16" s="11">
        <v>-541916</v>
      </c>
      <c r="D16" s="11"/>
      <c r="E16" s="11"/>
      <c r="F16" s="25">
        <f t="shared" si="0"/>
        <v>29812</v>
      </c>
      <c r="H16" s="10"/>
      <c r="I16" s="11"/>
      <c r="K16" s="25"/>
    </row>
    <row r="17" spans="1:11" x14ac:dyDescent="0.2">
      <c r="A17" s="10">
        <v>14</v>
      </c>
      <c r="B17" s="11">
        <v>-592118</v>
      </c>
      <c r="C17" s="11">
        <v>-607600</v>
      </c>
      <c r="D17" s="11"/>
      <c r="E17" s="11"/>
      <c r="F17" s="25">
        <f t="shared" si="0"/>
        <v>-15482</v>
      </c>
      <c r="H17" s="10"/>
      <c r="I17" s="11"/>
    </row>
    <row r="18" spans="1:11" x14ac:dyDescent="0.2">
      <c r="A18" s="10">
        <v>15</v>
      </c>
      <c r="B18" s="11">
        <v>-631385</v>
      </c>
      <c r="C18" s="11">
        <v>-629596</v>
      </c>
      <c r="D18" s="11"/>
      <c r="E18" s="11"/>
      <c r="F18" s="25">
        <f t="shared" si="0"/>
        <v>1789</v>
      </c>
      <c r="H18" s="10"/>
      <c r="I18" s="11"/>
    </row>
    <row r="19" spans="1:11" x14ac:dyDescent="0.2">
      <c r="A19" s="10">
        <v>16</v>
      </c>
      <c r="B19" s="11">
        <v>-650691</v>
      </c>
      <c r="C19" s="11">
        <v>-642137</v>
      </c>
      <c r="D19" s="11"/>
      <c r="E19" s="11"/>
      <c r="F19" s="25">
        <f t="shared" si="0"/>
        <v>8554</v>
      </c>
      <c r="H19" s="10"/>
      <c r="I19" s="11"/>
    </row>
    <row r="20" spans="1:11" x14ac:dyDescent="0.2">
      <c r="A20" s="10">
        <v>17</v>
      </c>
      <c r="B20" s="11">
        <v>-643787</v>
      </c>
      <c r="C20" s="11">
        <v>-645105</v>
      </c>
      <c r="D20" s="11"/>
      <c r="E20" s="11"/>
      <c r="F20" s="25">
        <f t="shared" si="0"/>
        <v>-1318</v>
      </c>
      <c r="H20" s="10"/>
      <c r="I20" s="11"/>
    </row>
    <row r="21" spans="1:11" x14ac:dyDescent="0.2">
      <c r="A21" s="10">
        <v>18</v>
      </c>
      <c r="B21" s="11">
        <v>-627703</v>
      </c>
      <c r="C21" s="11">
        <v>-630123</v>
      </c>
      <c r="D21" s="11"/>
      <c r="E21" s="11"/>
      <c r="F21" s="25">
        <f t="shared" si="0"/>
        <v>-2420</v>
      </c>
      <c r="H21" s="10"/>
      <c r="I21" s="11"/>
    </row>
    <row r="22" spans="1:11" x14ac:dyDescent="0.2">
      <c r="A22" s="10">
        <v>19</v>
      </c>
      <c r="B22" s="129">
        <v>-614723</v>
      </c>
      <c r="C22" s="11">
        <v>-633922</v>
      </c>
      <c r="D22" s="11"/>
      <c r="E22" s="11"/>
      <c r="F22" s="25">
        <f t="shared" si="0"/>
        <v>-19199</v>
      </c>
      <c r="H22" s="10"/>
      <c r="I22" s="11"/>
    </row>
    <row r="23" spans="1:11" x14ac:dyDescent="0.2">
      <c r="A23" s="10">
        <v>20</v>
      </c>
      <c r="B23" s="129">
        <v>-630010</v>
      </c>
      <c r="C23" s="11">
        <v>-626564</v>
      </c>
      <c r="D23" s="11"/>
      <c r="E23" s="11"/>
      <c r="F23" s="25">
        <f t="shared" si="0"/>
        <v>3446</v>
      </c>
      <c r="H23" s="10"/>
      <c r="I23" s="11"/>
    </row>
    <row r="24" spans="1:11" x14ac:dyDescent="0.2">
      <c r="A24" s="10">
        <v>21</v>
      </c>
      <c r="B24" s="11">
        <v>-603746</v>
      </c>
      <c r="C24" s="11">
        <v>-615885</v>
      </c>
      <c r="D24" s="129"/>
      <c r="E24" s="11"/>
      <c r="F24" s="25">
        <f t="shared" si="0"/>
        <v>-12139</v>
      </c>
      <c r="H24" s="10"/>
      <c r="I24" s="11"/>
      <c r="K24" s="25"/>
    </row>
    <row r="25" spans="1:11" x14ac:dyDescent="0.2">
      <c r="A25" s="10">
        <v>22</v>
      </c>
      <c r="B25" s="11">
        <v>-530120</v>
      </c>
      <c r="C25" s="11">
        <v>-532986</v>
      </c>
      <c r="D25" s="11"/>
      <c r="E25" s="11"/>
      <c r="F25" s="25">
        <f t="shared" si="0"/>
        <v>-2866</v>
      </c>
      <c r="H25" s="10"/>
      <c r="I25" s="11"/>
    </row>
    <row r="26" spans="1:11" x14ac:dyDescent="0.2">
      <c r="A26" s="10">
        <v>23</v>
      </c>
      <c r="B26" s="11">
        <v>-464082</v>
      </c>
      <c r="C26" s="11">
        <v>-462576</v>
      </c>
      <c r="D26" s="11"/>
      <c r="E26" s="11"/>
      <c r="F26" s="25">
        <f t="shared" si="0"/>
        <v>1506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-13778492</v>
      </c>
      <c r="C35" s="11">
        <f>SUM(C4:C34)</f>
        <v>-13802742</v>
      </c>
      <c r="D35" s="11">
        <f>SUM(D4:D34)</f>
        <v>0</v>
      </c>
      <c r="E35" s="11">
        <f>SUM(E4:E34)</f>
        <v>0</v>
      </c>
      <c r="F35" s="11">
        <f>SUM(F4:F34)</f>
        <v>-24250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76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37310</v>
      </c>
      <c r="D40" s="246"/>
      <c r="E40" s="246"/>
      <c r="F40" s="51">
        <f>+F38+F35</f>
        <v>69762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74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37310</v>
      </c>
      <c r="B46" s="32"/>
      <c r="C46" s="32"/>
      <c r="D46" s="472">
        <f>+F35*'by type_area'!G4</f>
        <v>-50925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259343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7" workbookViewId="0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-59937</v>
      </c>
      <c r="C13" s="11">
        <v>-9648</v>
      </c>
      <c r="D13" s="11"/>
      <c r="E13" s="129">
        <v>-49867</v>
      </c>
      <c r="F13" s="11"/>
      <c r="G13" s="11"/>
      <c r="H13" s="11">
        <f t="shared" si="0"/>
        <v>422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-60137</v>
      </c>
      <c r="C14" s="11">
        <v>-9648</v>
      </c>
      <c r="D14" s="11"/>
      <c r="E14" s="11">
        <v>-49867</v>
      </c>
      <c r="F14" s="11"/>
      <c r="G14" s="11"/>
      <c r="H14" s="11">
        <f t="shared" si="0"/>
        <v>622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-64767</v>
      </c>
      <c r="C15" s="11">
        <v>-33560</v>
      </c>
      <c r="D15" s="11"/>
      <c r="E15" s="11">
        <v>-29867</v>
      </c>
      <c r="F15" s="11"/>
      <c r="G15" s="11"/>
      <c r="H15" s="11">
        <f t="shared" si="0"/>
        <v>1340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-84784</v>
      </c>
      <c r="C16" s="11">
        <v>-54883</v>
      </c>
      <c r="D16" s="11"/>
      <c r="E16" s="11">
        <v>-29867</v>
      </c>
      <c r="F16" s="11"/>
      <c r="G16" s="11"/>
      <c r="H16" s="11">
        <f t="shared" si="0"/>
        <v>34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-66968</v>
      </c>
      <c r="C17" s="11">
        <v>-37416</v>
      </c>
      <c r="D17" s="11"/>
      <c r="E17" s="11">
        <v>-29867</v>
      </c>
      <c r="F17" s="11"/>
      <c r="G17" s="11"/>
      <c r="H17" s="11">
        <f>+G17+E17+C17-F17-D17-B17</f>
        <v>-315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-34062</v>
      </c>
      <c r="C18" s="11">
        <v>-4718</v>
      </c>
      <c r="D18" s="11"/>
      <c r="E18" s="11">
        <v>-29867</v>
      </c>
      <c r="F18" s="11"/>
      <c r="G18" s="11"/>
      <c r="H18" s="11">
        <f>+G18+E18+C18-F18-D18-B18</f>
        <v>-523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-44107</v>
      </c>
      <c r="C19" s="11">
        <v>-6327</v>
      </c>
      <c r="D19" s="11"/>
      <c r="E19" s="11">
        <v>-37867</v>
      </c>
      <c r="F19" s="11"/>
      <c r="G19" s="11"/>
      <c r="H19" s="11">
        <f t="shared" si="0"/>
        <v>-87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>
        <v>-44107</v>
      </c>
      <c r="C20" s="11">
        <v>-6327</v>
      </c>
      <c r="D20" s="11"/>
      <c r="E20" s="11">
        <v>-37867</v>
      </c>
      <c r="F20" s="11"/>
      <c r="G20" s="11"/>
      <c r="H20" s="11">
        <f t="shared" si="0"/>
        <v>-87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-44293</v>
      </c>
      <c r="C21" s="11">
        <v>-6327</v>
      </c>
      <c r="D21" s="11"/>
      <c r="E21" s="11">
        <v>-37867</v>
      </c>
      <c r="F21" s="11"/>
      <c r="G21" s="11"/>
      <c r="H21" s="11">
        <f t="shared" si="0"/>
        <v>99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-44980</v>
      </c>
      <c r="C22" s="11">
        <v>-6327</v>
      </c>
      <c r="D22" s="11"/>
      <c r="E22" s="11">
        <v>-37867</v>
      </c>
      <c r="F22" s="11"/>
      <c r="G22" s="11"/>
      <c r="H22" s="11">
        <f t="shared" si="0"/>
        <v>786</v>
      </c>
      <c r="I22" s="11"/>
      <c r="J22" s="102"/>
      <c r="K22" s="502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>
        <v>-79475</v>
      </c>
      <c r="C23" s="11">
        <v>217</v>
      </c>
      <c r="D23" s="11"/>
      <c r="E23" s="11">
        <v>-78867</v>
      </c>
      <c r="F23" s="11"/>
      <c r="G23" s="11"/>
      <c r="H23" s="11">
        <f t="shared" si="0"/>
        <v>825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>
        <v>-84585</v>
      </c>
      <c r="C24" s="11">
        <v>-39260</v>
      </c>
      <c r="D24" s="11"/>
      <c r="E24" s="11">
        <v>-44867</v>
      </c>
      <c r="F24" s="11"/>
      <c r="G24" s="11"/>
      <c r="H24" s="11">
        <f t="shared" si="0"/>
        <v>458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>
        <v>-38806</v>
      </c>
      <c r="C25" s="11">
        <v>-16110</v>
      </c>
      <c r="D25" s="11"/>
      <c r="E25" s="11">
        <v>-21903</v>
      </c>
      <c r="F25" s="11"/>
      <c r="G25" s="11"/>
      <c r="H25" s="11">
        <f t="shared" si="0"/>
        <v>793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>
        <v>-154970</v>
      </c>
      <c r="C26" s="11">
        <v>-60639</v>
      </c>
      <c r="D26" s="11"/>
      <c r="E26" s="11">
        <v>-92786</v>
      </c>
      <c r="F26" s="11"/>
      <c r="G26" s="11"/>
      <c r="H26" s="11">
        <f t="shared" si="0"/>
        <v>1545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-1255463</v>
      </c>
      <c r="C35" s="44">
        <f t="shared" si="3"/>
        <v>-306961</v>
      </c>
      <c r="D35" s="11">
        <f t="shared" si="3"/>
        <v>0</v>
      </c>
      <c r="E35" s="44">
        <f t="shared" si="3"/>
        <v>-941024</v>
      </c>
      <c r="F35" s="11">
        <f t="shared" si="3"/>
        <v>0</v>
      </c>
      <c r="G35" s="11">
        <f t="shared" si="3"/>
        <v>0</v>
      </c>
      <c r="H35" s="11">
        <f t="shared" si="3"/>
        <v>7478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15703.800000000001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0">
        <v>9867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37310</v>
      </c>
      <c r="F39" s="471"/>
      <c r="G39" s="471"/>
      <c r="H39" s="319">
        <f>+H38+H37</f>
        <v>25570.800000000003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2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37310</v>
      </c>
      <c r="E47" s="457">
        <f>+H35</f>
        <v>7478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39954</v>
      </c>
      <c r="F48" s="129"/>
      <c r="G48" s="129"/>
      <c r="H48" s="129"/>
      <c r="I48" s="262"/>
      <c r="J48" s="102"/>
      <c r="K48" s="506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6" workbookViewId="0">
      <selection activeCell="D28" sqref="D28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-324993</v>
      </c>
      <c r="E8" s="129">
        <v>-325040</v>
      </c>
      <c r="F8" s="11"/>
      <c r="G8" s="11"/>
      <c r="H8" s="24">
        <f t="shared" si="0"/>
        <v>-47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-341283</v>
      </c>
      <c r="E16" s="11">
        <v>-341889</v>
      </c>
      <c r="F16" s="11"/>
      <c r="G16" s="11"/>
      <c r="H16" s="24">
        <f t="shared" si="0"/>
        <v>-606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-311505</v>
      </c>
      <c r="E17" s="11">
        <v>-322064</v>
      </c>
      <c r="F17" s="11"/>
      <c r="G17" s="11"/>
      <c r="H17" s="24">
        <f t="shared" si="0"/>
        <v>-10559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-310993</v>
      </c>
      <c r="E18" s="11">
        <v>-345240</v>
      </c>
      <c r="F18" s="11"/>
      <c r="G18" s="11"/>
      <c r="H18" s="24">
        <f t="shared" si="0"/>
        <v>-34247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-346485</v>
      </c>
      <c r="E19" s="11">
        <v>-350738</v>
      </c>
      <c r="F19" s="11"/>
      <c r="G19" s="11"/>
      <c r="H19" s="24">
        <f t="shared" si="0"/>
        <v>-4253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-333063</v>
      </c>
      <c r="E20" s="11">
        <v>-339349</v>
      </c>
      <c r="F20" s="11"/>
      <c r="G20" s="11"/>
      <c r="H20" s="24">
        <f t="shared" si="0"/>
        <v>-6286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-337862</v>
      </c>
      <c r="E21" s="11">
        <v>-337779</v>
      </c>
      <c r="F21" s="11"/>
      <c r="G21" s="11"/>
      <c r="H21" s="24">
        <f t="shared" si="0"/>
        <v>83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-345523</v>
      </c>
      <c r="E22" s="11">
        <v>-345262</v>
      </c>
      <c r="F22" s="11"/>
      <c r="G22" s="11"/>
      <c r="H22" s="24">
        <f t="shared" si="0"/>
        <v>261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-309446</v>
      </c>
      <c r="E23" s="11">
        <v>-306107</v>
      </c>
      <c r="F23" s="11"/>
      <c r="G23" s="11"/>
      <c r="H23" s="24">
        <f t="shared" si="0"/>
        <v>3339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-323441</v>
      </c>
      <c r="E24" s="11">
        <v>-345325</v>
      </c>
      <c r="F24" s="11"/>
      <c r="G24" s="11"/>
      <c r="H24" s="24">
        <f t="shared" si="0"/>
        <v>-21884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-353629</v>
      </c>
      <c r="E25" s="11">
        <v>-363113</v>
      </c>
      <c r="F25" s="11"/>
      <c r="G25" s="11"/>
      <c r="H25" s="24">
        <f t="shared" si="0"/>
        <v>-9484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-334931</v>
      </c>
      <c r="E26" s="11">
        <v>-331083</v>
      </c>
      <c r="F26" s="11"/>
      <c r="G26" s="11"/>
      <c r="H26" s="24">
        <f t="shared" si="0"/>
        <v>3848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>
        <v>-312703</v>
      </c>
      <c r="E27" s="11">
        <v>-312265</v>
      </c>
      <c r="F27" s="11"/>
      <c r="G27" s="11"/>
      <c r="H27" s="24">
        <f t="shared" si="0"/>
        <v>438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-7556852</v>
      </c>
      <c r="E36" s="11">
        <f t="shared" si="15"/>
        <v>-7639468</v>
      </c>
      <c r="F36" s="11">
        <f t="shared" si="15"/>
        <v>0</v>
      </c>
      <c r="G36" s="11">
        <f t="shared" si="15"/>
        <v>0</v>
      </c>
      <c r="H36" s="11">
        <f t="shared" si="15"/>
        <v>-82616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-82616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78">
        <v>64269</v>
      </c>
      <c r="D38" s="320"/>
      <c r="E38" s="579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37310</v>
      </c>
      <c r="B39" s="2" t="s">
        <v>45</v>
      </c>
      <c r="C39" s="131">
        <f>+C38+C37</f>
        <v>64269</v>
      </c>
      <c r="D39" s="252"/>
      <c r="E39" s="131">
        <f>+E38+E37</f>
        <v>-68008</v>
      </c>
      <c r="F39" s="252"/>
      <c r="G39" s="131"/>
      <c r="H39" s="131">
        <f>+H38+H36</f>
        <v>-3739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77">
        <v>-1582961.01</v>
      </c>
      <c r="D44" s="205"/>
      <c r="E44" s="580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37310</v>
      </c>
      <c r="B45" s="32"/>
      <c r="C45" s="47">
        <f>+C37*summary!G4</f>
        <v>0</v>
      </c>
      <c r="D45" s="205"/>
      <c r="E45" s="376">
        <f>+E37*summary!G3</f>
        <v>-173493.6</v>
      </c>
      <c r="F45" s="47">
        <f>+E45+C45</f>
        <v>-173493.6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6" workbookViewId="0">
      <selection activeCell="B32" sqref="B32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184947</v>
      </c>
      <c r="C19" s="11">
        <v>187342</v>
      </c>
      <c r="D19" s="11">
        <v>12931</v>
      </c>
      <c r="E19" s="11">
        <v>13033</v>
      </c>
      <c r="F19" s="11">
        <f t="shared" si="5"/>
        <v>2497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186942</v>
      </c>
      <c r="C20" s="11">
        <v>187342</v>
      </c>
      <c r="D20" s="11">
        <v>12884</v>
      </c>
      <c r="E20" s="11">
        <v>13033</v>
      </c>
      <c r="F20" s="11">
        <f t="shared" si="5"/>
        <v>549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187619</v>
      </c>
      <c r="C21" s="11">
        <v>187342</v>
      </c>
      <c r="D21" s="11">
        <v>12419</v>
      </c>
      <c r="E21" s="11">
        <v>13033</v>
      </c>
      <c r="F21" s="11">
        <f t="shared" si="5"/>
        <v>337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186357</v>
      </c>
      <c r="C22" s="11">
        <v>186109</v>
      </c>
      <c r="D22" s="11">
        <v>12900</v>
      </c>
      <c r="E22" s="11">
        <v>13033</v>
      </c>
      <c r="F22" s="11">
        <f t="shared" si="5"/>
        <v>-115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162032</v>
      </c>
      <c r="C23" s="11">
        <v>189548</v>
      </c>
      <c r="D23" s="11">
        <v>20229</v>
      </c>
      <c r="E23" s="11">
        <v>19349</v>
      </c>
      <c r="F23" s="11">
        <f t="shared" si="5"/>
        <v>26636</v>
      </c>
      <c r="G23" s="142"/>
      <c r="H23" s="494">
        <f>+A45</f>
        <v>37310</v>
      </c>
      <c r="I23" s="11">
        <f>+B39</f>
        <v>4252296</v>
      </c>
      <c r="J23" s="11">
        <f>+C39</f>
        <v>4284213</v>
      </c>
      <c r="K23" s="11">
        <f>+D39</f>
        <v>357845</v>
      </c>
      <c r="L23" s="11">
        <f>+E39</f>
        <v>360596</v>
      </c>
      <c r="M23" s="42">
        <f>+J23-I23+L23-K23</f>
        <v>34668</v>
      </c>
      <c r="N23" s="102">
        <f>+summary!G3</f>
        <v>2.1</v>
      </c>
      <c r="O23" s="496">
        <f>+N23*M23</f>
        <v>72802.8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188348</v>
      </c>
      <c r="C24" s="11">
        <v>187342</v>
      </c>
      <c r="D24" s="11">
        <v>20184</v>
      </c>
      <c r="E24" s="11">
        <v>21555</v>
      </c>
      <c r="F24" s="11">
        <f t="shared" si="5"/>
        <v>365</v>
      </c>
      <c r="G24" s="268"/>
      <c r="H24" s="168"/>
      <c r="I24" s="11"/>
      <c r="J24" s="11"/>
      <c r="K24" s="11"/>
      <c r="L24" s="142"/>
      <c r="M24" s="495">
        <f>SUM(M9:M23)</f>
        <v>124468</v>
      </c>
      <c r="N24" s="102"/>
      <c r="O24" s="102">
        <f>SUM(O9:O23)</f>
        <v>640919.14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190919</v>
      </c>
      <c r="C25" s="11">
        <v>190349</v>
      </c>
      <c r="D25" s="11">
        <v>18675</v>
      </c>
      <c r="E25" s="11">
        <v>18547</v>
      </c>
      <c r="F25" s="11">
        <f t="shared" si="5"/>
        <v>-698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179544</v>
      </c>
      <c r="C26" s="11">
        <v>179000</v>
      </c>
      <c r="D26" s="11">
        <v>20119</v>
      </c>
      <c r="E26" s="11">
        <v>20372</v>
      </c>
      <c r="F26" s="11">
        <f t="shared" si="5"/>
        <v>-291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187508</v>
      </c>
      <c r="C27" s="11">
        <v>187342</v>
      </c>
      <c r="D27" s="11">
        <v>21188</v>
      </c>
      <c r="E27" s="11">
        <v>21555</v>
      </c>
      <c r="F27" s="11">
        <f t="shared" si="5"/>
        <v>201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>
        <v>187960</v>
      </c>
      <c r="C28" s="150">
        <v>187342</v>
      </c>
      <c r="D28" s="150">
        <v>21340</v>
      </c>
      <c r="E28" s="150">
        <v>21555</v>
      </c>
      <c r="F28" s="11">
        <f t="shared" si="5"/>
        <v>-403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>
        <v>185355</v>
      </c>
      <c r="C29" s="150">
        <v>187342</v>
      </c>
      <c r="D29" s="150">
        <v>20288</v>
      </c>
      <c r="E29" s="150">
        <v>21555</v>
      </c>
      <c r="F29" s="11">
        <f t="shared" si="5"/>
        <v>3254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188089</v>
      </c>
      <c r="C30" s="150">
        <v>187141</v>
      </c>
      <c r="D30" s="150">
        <v>20904</v>
      </c>
      <c r="E30" s="150">
        <v>21555</v>
      </c>
      <c r="F30" s="11">
        <f t="shared" si="5"/>
        <v>-297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4252296</v>
      </c>
      <c r="C39" s="150">
        <f>SUM(C8:C38)</f>
        <v>4284213</v>
      </c>
      <c r="D39" s="150">
        <f>SUM(D8:D38)</f>
        <v>357845</v>
      </c>
      <c r="E39" s="150">
        <f>SUM(E8:E38)</f>
        <v>360596</v>
      </c>
      <c r="F39" s="11">
        <f t="shared" si="5"/>
        <v>34668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0"/>
      <c r="D44" s="111"/>
      <c r="E44" s="460"/>
      <c r="F44" s="565">
        <v>30072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37310</v>
      </c>
      <c r="B45" s="32"/>
      <c r="C45" s="106"/>
      <c r="D45" s="106"/>
      <c r="E45" s="106"/>
      <c r="F45" s="24">
        <f>+F44+F39</f>
        <v>64740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287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88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37310</v>
      </c>
      <c r="B51" s="32"/>
      <c r="C51" s="32"/>
      <c r="D51" s="349">
        <f>+F39*summary!G3</f>
        <v>72802.8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482056.8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F53" s="34">
        <f>+D52/F45</f>
        <v>7.4460426320667281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2002-02-22T02:13:16Z</cp:lastPrinted>
  <dcterms:created xsi:type="dcterms:W3CDTF">2000-03-28T16:52:23Z</dcterms:created>
  <dcterms:modified xsi:type="dcterms:W3CDTF">2023-09-14T17:32:03Z</dcterms:modified>
</cp:coreProperties>
</file>