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BA3C63-2549-4A57-866C-0BF9B75EF12B}" xr6:coauthVersionLast="47" xr6:coauthVersionMax="47" xr10:uidLastSave="{00000000-0000-0000-0000-000000000000}"/>
  <bookViews>
    <workbookView xWindow="-120" yWindow="-120" windowWidth="38640" windowHeight="15720" tabRatio="686" firstSheet="10" activeTab="15"/>
    <workbookView xWindow="-120" yWindow="-120" windowWidth="38640" windowHeight="15720" tabRatio="895" activeTab="2"/>
    <workbookView xWindow="-120" yWindow="-120" windowWidth="38640" windowHeight="15720" firstSheet="27" activeTab="32"/>
    <workbookView xWindow="-120" yWindow="-120" windowWidth="38640" windowHeight="15720"/>
  </bookViews>
  <sheets>
    <sheet name="summary" sheetId="63" r:id="rId1"/>
    <sheet name="by type" sheetId="80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0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B11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5" i="64"/>
  <c r="D5" i="64"/>
  <c r="D6" i="64"/>
  <c r="B7" i="64"/>
  <c r="D7" i="64"/>
  <c r="D8" i="64"/>
  <c r="B9" i="64"/>
  <c r="D9" i="64"/>
  <c r="D10" i="64"/>
  <c r="B11" i="64"/>
  <c r="D11" i="64"/>
  <c r="B12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O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<sst xmlns="http://schemas.openxmlformats.org/spreadsheetml/2006/main" count="576" uniqueCount="163">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</sst>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8" fillId="0" borderId="0" xfId="0" applyFont="1"/>
    <xf numFmtId="0" fontId="39" fillId="0" borderId="0" xfId="0" applyFont="1"/>
    <xf numFmtId="5" fontId="39" fillId="0" borderId="0" xfId="0" applyNumberFormat="1" applyFont="1" applyAlignment="1">
      <alignment horizontal="right"/>
    </xf>
    <xf numFmtId="37" fontId="39" fillId="0" borderId="0" xfId="1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40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3.59</v>
          </cell>
          <cell r="K39">
            <v>2.62</v>
          </cell>
          <cell r="M39">
            <v>3.26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33" workbookViewId="3">
      <selection activeCell="A38" sqref="A38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5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2.62</v>
      </c>
    </row>
    <row r="11" spans="1:20" ht="18" customHeight="1" x14ac:dyDescent="0.2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3.26</v>
      </c>
    </row>
    <row r="12" spans="1:20" ht="18" customHeight="1" x14ac:dyDescent="0.2">
      <c r="A12" s="357" t="s">
        <v>95</v>
      </c>
      <c r="B12" s="377">
        <f>+NNG!$D$24</f>
        <v>1309914.5</v>
      </c>
      <c r="C12" s="389">
        <f>+B12/$P$11</f>
        <v>401814.26380368101</v>
      </c>
      <c r="D12" s="317">
        <f>+NNG!A24</f>
        <v>37061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3.59</v>
      </c>
    </row>
    <row r="13" spans="1:20" ht="15.95" customHeight="1" x14ac:dyDescent="0.2">
      <c r="A13" s="356" t="s">
        <v>145</v>
      </c>
      <c r="B13" s="377">
        <f>+SidR!D41</f>
        <v>807113.05999999994</v>
      </c>
      <c r="C13" s="389">
        <f>+B13/$P$11</f>
        <v>247580.69325153375</v>
      </c>
      <c r="D13" s="65">
        <f>+SidR!A41</f>
        <v>37061</v>
      </c>
      <c r="E13" t="s">
        <v>90</v>
      </c>
      <c r="F13" t="s">
        <v>112</v>
      </c>
    </row>
    <row r="14" spans="1:20" ht="15.95" customHeight="1" x14ac:dyDescent="0.2">
      <c r="A14" s="357" t="s">
        <v>30</v>
      </c>
      <c r="B14" s="377">
        <f>+C14*$P$10</f>
        <v>774652.78</v>
      </c>
      <c r="C14" s="389">
        <f>+williams!J40</f>
        <v>295669</v>
      </c>
      <c r="D14" s="317">
        <f>+williams!A40</f>
        <v>37061</v>
      </c>
      <c r="E14" s="314" t="s">
        <v>89</v>
      </c>
      <c r="F14" s="314" t="s">
        <v>125</v>
      </c>
    </row>
    <row r="15" spans="1:20" ht="15.95" customHeight="1" x14ac:dyDescent="0.2">
      <c r="A15" s="356" t="s">
        <v>87</v>
      </c>
      <c r="B15" s="377">
        <f>+PNM!$D$23</f>
        <v>751131.23</v>
      </c>
      <c r="C15" s="389">
        <f>+B15/$P$11</f>
        <v>230408.35276073622</v>
      </c>
      <c r="D15" s="65">
        <f>+PNM!A23</f>
        <v>37061</v>
      </c>
      <c r="E15" t="s">
        <v>90</v>
      </c>
      <c r="F15" t="s">
        <v>108</v>
      </c>
    </row>
    <row r="16" spans="1:20" ht="15.95" customHeight="1" x14ac:dyDescent="0.2">
      <c r="A16" s="356" t="s">
        <v>25</v>
      </c>
      <c r="B16" s="371">
        <f>+'Red C'!$F$43</f>
        <v>656326.20000000007</v>
      </c>
      <c r="C16" s="372">
        <f>+B16/$P$10</f>
        <v>250506.18320610689</v>
      </c>
      <c r="D16" s="317">
        <f>+'Red C'!B43</f>
        <v>37061</v>
      </c>
      <c r="E16" t="s">
        <v>90</v>
      </c>
      <c r="F16" t="s">
        <v>125</v>
      </c>
      <c r="T16" s="269"/>
    </row>
    <row r="17" spans="1:20" ht="15.95" customHeight="1" x14ac:dyDescent="0.2">
      <c r="A17" s="356" t="s">
        <v>3</v>
      </c>
      <c r="B17" s="377">
        <f>+'Amoco Abo'!$F$43</f>
        <v>582619.90999999992</v>
      </c>
      <c r="C17" s="389">
        <f>+B17/$P$11</f>
        <v>178717.76380368098</v>
      </c>
      <c r="D17" s="65">
        <f>+'Amoco Abo'!A43</f>
        <v>37060</v>
      </c>
      <c r="E17" t="s">
        <v>90</v>
      </c>
      <c r="F17" t="s">
        <v>109</v>
      </c>
      <c r="T17" s="269"/>
    </row>
    <row r="18" spans="1:20" ht="15.95" customHeight="1" x14ac:dyDescent="0.2">
      <c r="A18" s="356" t="s">
        <v>35</v>
      </c>
      <c r="B18" s="377">
        <f>+'El Paso'!E38*summary!P10+'El Paso'!C38*summary!P11</f>
        <v>562220.68000000005</v>
      </c>
      <c r="C18" s="389">
        <f>+'El Paso'!H38</f>
        <v>202974</v>
      </c>
      <c r="D18" s="65">
        <f>+'El Paso'!A38</f>
        <v>37061</v>
      </c>
      <c r="E18" t="s">
        <v>89</v>
      </c>
      <c r="F18" t="s">
        <v>110</v>
      </c>
      <c r="G18" t="s">
        <v>129</v>
      </c>
    </row>
    <row r="19" spans="1:20" ht="15.95" customHeight="1" x14ac:dyDescent="0.2">
      <c r="A19" s="356" t="s">
        <v>84</v>
      </c>
      <c r="B19" s="377">
        <f>+Conoco!$F$41</f>
        <v>476143.21000000043</v>
      </c>
      <c r="C19" s="389">
        <f>+B19/$P$10</f>
        <v>181734.04961832077</v>
      </c>
      <c r="D19" s="317">
        <f>+Conoco!A41</f>
        <v>37060</v>
      </c>
      <c r="E19" t="s">
        <v>90</v>
      </c>
      <c r="F19" t="s">
        <v>109</v>
      </c>
    </row>
    <row r="20" spans="1:20" ht="15.95" customHeight="1" x14ac:dyDescent="0.2">
      <c r="A20" s="356" t="s">
        <v>117</v>
      </c>
      <c r="B20" s="377">
        <f>+KN_Westar!F41</f>
        <v>405767.37</v>
      </c>
      <c r="C20" s="389">
        <f>+B20/$P$11</f>
        <v>124468.51840490798</v>
      </c>
      <c r="D20" s="65">
        <f>+KN_Westar!A41</f>
        <v>37060</v>
      </c>
      <c r="E20" t="s">
        <v>90</v>
      </c>
      <c r="F20" t="s">
        <v>110</v>
      </c>
    </row>
    <row r="21" spans="1:20" ht="15.95" customHeight="1" x14ac:dyDescent="0.2">
      <c r="A21" s="356" t="s">
        <v>113</v>
      </c>
      <c r="B21" s="377">
        <f>+EOG!J41</f>
        <v>380154.11</v>
      </c>
      <c r="C21" s="389">
        <f>+B21/$P$11</f>
        <v>116611.69018404909</v>
      </c>
      <c r="D21" s="317">
        <f>+EOG!A41</f>
        <v>37060</v>
      </c>
      <c r="E21" t="s">
        <v>90</v>
      </c>
      <c r="F21" t="s">
        <v>112</v>
      </c>
    </row>
    <row r="22" spans="1:20" ht="15.95" customHeight="1" x14ac:dyDescent="0.2">
      <c r="A22" s="356" t="s">
        <v>2</v>
      </c>
      <c r="B22" s="377">
        <f>+mewborne!$J$43</f>
        <v>359857.67</v>
      </c>
      <c r="C22" s="389">
        <f>+B22/$P$11</f>
        <v>110385.78834355829</v>
      </c>
      <c r="D22" s="65">
        <f>+mewborne!A43</f>
        <v>37060</v>
      </c>
      <c r="E22" t="s">
        <v>90</v>
      </c>
      <c r="F22" t="s">
        <v>109</v>
      </c>
    </row>
    <row r="23" spans="1:20" ht="15.95" customHeight="1" x14ac:dyDescent="0.2">
      <c r="A23" s="356" t="s">
        <v>120</v>
      </c>
      <c r="B23" s="377">
        <f>+CIG!D43</f>
        <v>326755</v>
      </c>
      <c r="C23" s="389">
        <f>+B23/$P$11</f>
        <v>100231.59509202455</v>
      </c>
      <c r="D23" s="65">
        <f>+CIG!A43</f>
        <v>37059</v>
      </c>
      <c r="E23" t="s">
        <v>90</v>
      </c>
      <c r="F23" t="s">
        <v>123</v>
      </c>
      <c r="G23" t="s">
        <v>139</v>
      </c>
    </row>
    <row r="24" spans="1:20" ht="15.95" customHeight="1" x14ac:dyDescent="0.2">
      <c r="A24" s="356" t="s">
        <v>97</v>
      </c>
      <c r="B24" s="377">
        <f>+C24*$P$11</f>
        <v>299903.69999999995</v>
      </c>
      <c r="C24" s="389">
        <f>+NGPL!F38</f>
        <v>91995</v>
      </c>
      <c r="D24" s="65">
        <f>+NGPL!A38</f>
        <v>37061</v>
      </c>
      <c r="E24" t="s">
        <v>89</v>
      </c>
      <c r="F24" t="s">
        <v>125</v>
      </c>
    </row>
    <row r="25" spans="1:20" ht="15.95" customHeight="1" x14ac:dyDescent="0.2">
      <c r="A25" s="356" t="s">
        <v>141</v>
      </c>
      <c r="B25" s="377">
        <f>+PGETX!$H$39</f>
        <v>234921.34</v>
      </c>
      <c r="C25" s="389">
        <f>+B25/$P$11</f>
        <v>72061.760736196316</v>
      </c>
      <c r="D25" s="65">
        <f>+PGETX!E39</f>
        <v>37061</v>
      </c>
      <c r="E25" t="s">
        <v>90</v>
      </c>
      <c r="F25" t="s">
        <v>112</v>
      </c>
    </row>
    <row r="26" spans="1:20" ht="15.95" customHeight="1" x14ac:dyDescent="0.2">
      <c r="A26" s="356" t="s">
        <v>7</v>
      </c>
      <c r="B26" s="377">
        <f>+C26*$P$10</f>
        <v>200878.02000000002</v>
      </c>
      <c r="C26" s="389">
        <f>+Amoco!D40</f>
        <v>76671</v>
      </c>
      <c r="D26" s="65">
        <f>+Amoco!A40</f>
        <v>37061</v>
      </c>
      <c r="E26" t="s">
        <v>89</v>
      </c>
      <c r="F26" t="s">
        <v>125</v>
      </c>
    </row>
    <row r="27" spans="1:20" ht="15.95" customHeight="1" x14ac:dyDescent="0.2">
      <c r="A27" s="356" t="s">
        <v>33</v>
      </c>
      <c r="B27" s="377">
        <f>+C27*$P$11</f>
        <v>191678.22</v>
      </c>
      <c r="C27" s="389">
        <f>+Lonestar!F42</f>
        <v>58797</v>
      </c>
      <c r="D27" s="317">
        <f>+Lonestar!B42</f>
        <v>37061</v>
      </c>
      <c r="E27" t="s">
        <v>89</v>
      </c>
      <c r="F27" t="s">
        <v>112</v>
      </c>
    </row>
    <row r="28" spans="1:20" ht="15.95" customHeight="1" x14ac:dyDescent="0.2">
      <c r="A28" s="356" t="s">
        <v>154</v>
      </c>
      <c r="B28" s="377">
        <f>+'Citizens-Griffith'!D41</f>
        <v>157881.04999999999</v>
      </c>
      <c r="C28" s="389">
        <f>+B28/$P$11</f>
        <v>48429.769938650308</v>
      </c>
      <c r="D28" s="317">
        <f>+'Citizens-Griffith'!A41</f>
        <v>37061</v>
      </c>
      <c r="E28" t="s">
        <v>90</v>
      </c>
      <c r="F28" t="s">
        <v>109</v>
      </c>
    </row>
    <row r="29" spans="1:20" ht="15.95" customHeight="1" x14ac:dyDescent="0.2">
      <c r="A29" s="356" t="s">
        <v>75</v>
      </c>
      <c r="B29" s="371">
        <f>+transcol!$D$43</f>
        <v>50210.76</v>
      </c>
      <c r="C29" s="372">
        <f>+B29/$P$11</f>
        <v>15402.073619631903</v>
      </c>
      <c r="D29" s="65">
        <f>+transcol!A43</f>
        <v>37060</v>
      </c>
      <c r="E29" t="s">
        <v>90</v>
      </c>
      <c r="F29" t="s">
        <v>125</v>
      </c>
    </row>
    <row r="30" spans="1:20" ht="15.95" customHeight="1" x14ac:dyDescent="0.2">
      <c r="A30" s="356" t="s">
        <v>8</v>
      </c>
      <c r="B30" s="377">
        <f>+C30*$P$11</f>
        <v>36306.619999999995</v>
      </c>
      <c r="C30" s="403">
        <f>+Oasis!D40</f>
        <v>11137</v>
      </c>
      <c r="D30" s="65">
        <f>+Oasis!B40</f>
        <v>37060</v>
      </c>
      <c r="E30" t="s">
        <v>89</v>
      </c>
      <c r="F30" t="s">
        <v>112</v>
      </c>
    </row>
    <row r="31" spans="1:20" ht="15.95" customHeight="1" x14ac:dyDescent="0.2">
      <c r="A31" s="356" t="s">
        <v>124</v>
      </c>
      <c r="B31" s="377">
        <f>+C31*$P$11</f>
        <v>19080.78</v>
      </c>
      <c r="C31" s="403">
        <f>+'PG&amp;E'!D40</f>
        <v>5853</v>
      </c>
      <c r="D31" s="65">
        <f>+'PG&amp;E'!A40</f>
        <v>37060</v>
      </c>
      <c r="E31" t="s">
        <v>89</v>
      </c>
      <c r="F31" t="s">
        <v>112</v>
      </c>
    </row>
    <row r="32" spans="1:20" ht="15.95" customHeight="1" x14ac:dyDescent="0.2">
      <c r="A32" s="357" t="s">
        <v>34</v>
      </c>
      <c r="B32" s="377">
        <f>+C32*$P$11</f>
        <v>15977.259999999998</v>
      </c>
      <c r="C32" s="403">
        <f>+SoCal!F40</f>
        <v>4901</v>
      </c>
      <c r="D32" s="425">
        <f>+SoCal!A40</f>
        <v>37060</v>
      </c>
      <c r="E32" s="314" t="s">
        <v>89</v>
      </c>
      <c r="F32" s="314" t="s">
        <v>108</v>
      </c>
    </row>
    <row r="33" spans="1:15" ht="15.95" customHeight="1" x14ac:dyDescent="0.2">
      <c r="A33" s="356" t="s">
        <v>143</v>
      </c>
      <c r="B33" s="377">
        <f>+EPFS!D41</f>
        <v>14733.300000000003</v>
      </c>
      <c r="C33" s="403">
        <f>+B33/$P$12</f>
        <v>4103.9832869080792</v>
      </c>
      <c r="D33" s="317">
        <f>+EPFS!A41</f>
        <v>37060</v>
      </c>
      <c r="E33" t="s">
        <v>90</v>
      </c>
      <c r="F33" t="s">
        <v>110</v>
      </c>
    </row>
    <row r="34" spans="1:15" ht="15.95" customHeight="1" x14ac:dyDescent="0.2">
      <c r="A34" s="356" t="s">
        <v>103</v>
      </c>
      <c r="B34" s="377">
        <f>+C34*$P$11</f>
        <v>14210.339999999998</v>
      </c>
      <c r="C34" s="389">
        <f>+Mojave!D40</f>
        <v>4359</v>
      </c>
      <c r="D34" s="65">
        <f>+Mojave!A40</f>
        <v>37060</v>
      </c>
      <c r="E34" t="s">
        <v>89</v>
      </c>
      <c r="F34" t="s">
        <v>110</v>
      </c>
    </row>
    <row r="35" spans="1:15" ht="15.95" customHeight="1" x14ac:dyDescent="0.2">
      <c r="A35" s="357" t="s">
        <v>104</v>
      </c>
      <c r="B35" s="390">
        <f>+burlington!D42</f>
        <v>5145.68</v>
      </c>
      <c r="C35" s="405">
        <f>+B35/$P$10</f>
        <v>1964</v>
      </c>
      <c r="D35" s="317">
        <f>+burlington!A42</f>
        <v>37061</v>
      </c>
      <c r="E35" s="314" t="s">
        <v>90</v>
      </c>
      <c r="F35" t="s">
        <v>109</v>
      </c>
      <c r="G35" t="s">
        <v>157</v>
      </c>
    </row>
    <row r="36" spans="1:15" ht="18" customHeight="1" x14ac:dyDescent="0.2">
      <c r="A36" s="297" t="s">
        <v>105</v>
      </c>
      <c r="B36" s="391">
        <f>SUM(B12:B35)</f>
        <v>8633582.7899999991</v>
      </c>
      <c r="C36" s="392">
        <f>SUM(C12:C35)</f>
        <v>2836776.4860499855</v>
      </c>
    </row>
    <row r="37" spans="1:15" ht="18" customHeight="1" x14ac:dyDescent="0.2">
      <c r="F37" s="366"/>
      <c r="O37">
        <v>50</v>
      </c>
    </row>
    <row r="38" spans="1:15" ht="18" customHeight="1" x14ac:dyDescent="0.2">
      <c r="O38">
        <v>79</v>
      </c>
    </row>
    <row r="39" spans="1:15" ht="18" customHeight="1" x14ac:dyDescent="0.2">
      <c r="A39" s="301" t="s">
        <v>98</v>
      </c>
      <c r="B39" s="302" t="s">
        <v>18</v>
      </c>
      <c r="C39" s="303" t="s">
        <v>0</v>
      </c>
      <c r="D39" s="304" t="s">
        <v>85</v>
      </c>
      <c r="E39" s="301" t="s">
        <v>99</v>
      </c>
      <c r="F39" s="334" t="s">
        <v>111</v>
      </c>
      <c r="G39" s="301" t="s">
        <v>107</v>
      </c>
      <c r="O39">
        <f>+O38*O37</f>
        <v>3950</v>
      </c>
    </row>
    <row r="40" spans="1:15" ht="18" customHeight="1" x14ac:dyDescent="0.2">
      <c r="A40" s="357" t="s">
        <v>149</v>
      </c>
      <c r="B40" s="377">
        <f>+Citizens!D18</f>
        <v>-868696.20000000007</v>
      </c>
      <c r="C40" s="403">
        <f>+B40/$P$11</f>
        <v>-266471.22699386504</v>
      </c>
      <c r="D40" s="317">
        <f>+Citizens!A18</f>
        <v>37058</v>
      </c>
      <c r="E40" s="314" t="s">
        <v>90</v>
      </c>
      <c r="F40" s="314" t="s">
        <v>108</v>
      </c>
      <c r="G40" s="301"/>
    </row>
    <row r="41" spans="1:15" ht="18" customHeight="1" x14ac:dyDescent="0.2">
      <c r="A41" s="357" t="s">
        <v>140</v>
      </c>
      <c r="B41" s="377">
        <f>+Calpine!D41</f>
        <v>-414495.67</v>
      </c>
      <c r="C41" s="403">
        <f>+B41/$P$11</f>
        <v>-127145.91104294479</v>
      </c>
      <c r="D41" s="317">
        <f>+Calpine!A41</f>
        <v>37060</v>
      </c>
      <c r="E41" s="314" t="s">
        <v>90</v>
      </c>
      <c r="F41" s="314" t="s">
        <v>109</v>
      </c>
      <c r="G41" s="301"/>
    </row>
    <row r="42" spans="1:15" ht="18" customHeight="1" x14ac:dyDescent="0.2">
      <c r="A42" s="356" t="s">
        <v>147</v>
      </c>
      <c r="B42" s="377">
        <f>+'NS Steel'!D41</f>
        <v>-342105.48</v>
      </c>
      <c r="C42" s="403">
        <f>+B42/$P$10</f>
        <v>-130574.61068702288</v>
      </c>
      <c r="D42" s="65">
        <f>+'NS Steel'!A41</f>
        <v>37060</v>
      </c>
      <c r="E42" t="s">
        <v>90</v>
      </c>
      <c r="F42" t="s">
        <v>110</v>
      </c>
      <c r="G42" s="301"/>
    </row>
    <row r="43" spans="1:15" ht="18" customHeight="1" x14ac:dyDescent="0.2">
      <c r="A43" s="356" t="s">
        <v>138</v>
      </c>
      <c r="B43" s="377">
        <f>+DEFS!F54</f>
        <v>-83680.719999999972</v>
      </c>
      <c r="C43" s="403">
        <f>+B43/$P$11</f>
        <v>-25668.932515337416</v>
      </c>
      <c r="D43" s="65">
        <f>+DEFS!A40</f>
        <v>37059</v>
      </c>
      <c r="E43" t="s">
        <v>90</v>
      </c>
      <c r="F43" t="s">
        <v>110</v>
      </c>
      <c r="G43" t="s">
        <v>128</v>
      </c>
    </row>
    <row r="44" spans="1:15" ht="18" customHeight="1" x14ac:dyDescent="0.2">
      <c r="A44" s="356" t="s">
        <v>159</v>
      </c>
      <c r="B44" s="371">
        <f>+C44*$P$11</f>
        <v>-43915.46</v>
      </c>
      <c r="C44" s="372">
        <f>+PEPL!D41</f>
        <v>-13471</v>
      </c>
      <c r="D44" s="65">
        <f>+PEPL!A41</f>
        <v>37061</v>
      </c>
      <c r="E44" t="s">
        <v>89</v>
      </c>
      <c r="F44" t="s">
        <v>112</v>
      </c>
    </row>
    <row r="45" spans="1:15" ht="18" customHeight="1" x14ac:dyDescent="0.2">
      <c r="A45" s="356" t="s">
        <v>1</v>
      </c>
      <c r="B45" s="377">
        <f>+C45*$P$10</f>
        <v>-39957.620000000003</v>
      </c>
      <c r="C45" s="403">
        <f>+NW!$F$41</f>
        <v>-15251</v>
      </c>
      <c r="D45" s="317">
        <f>+NW!B41</f>
        <v>37060</v>
      </c>
      <c r="E45" t="s">
        <v>89</v>
      </c>
      <c r="F45" t="s">
        <v>109</v>
      </c>
    </row>
    <row r="46" spans="1:15" ht="18" customHeight="1" x14ac:dyDescent="0.2">
      <c r="A46" s="357" t="s">
        <v>83</v>
      </c>
      <c r="B46" s="377">
        <f>+Agave!$D$24</f>
        <v>-31111.5</v>
      </c>
      <c r="C46" s="403">
        <f>+B46/$P$11</f>
        <v>-9543.4049079754604</v>
      </c>
      <c r="D46" s="317">
        <f>+Agave!A24</f>
        <v>37060</v>
      </c>
      <c r="E46" s="314" t="s">
        <v>90</v>
      </c>
      <c r="F46" s="314" t="s">
        <v>112</v>
      </c>
    </row>
    <row r="47" spans="1:15" ht="18" customHeight="1" x14ac:dyDescent="0.2">
      <c r="A47" s="356" t="s">
        <v>119</v>
      </c>
      <c r="B47" s="390">
        <f>+Continental!F43</f>
        <v>-19004.95</v>
      </c>
      <c r="C47" s="404">
        <f>+B47/$P$11</f>
        <v>-5829.7392638036818</v>
      </c>
      <c r="D47" s="65">
        <f>+Continental!A43</f>
        <v>37060</v>
      </c>
      <c r="E47" t="s">
        <v>90</v>
      </c>
      <c r="F47" t="s">
        <v>125</v>
      </c>
    </row>
    <row r="48" spans="1:15" ht="18" customHeight="1" x14ac:dyDescent="0.2">
      <c r="A48" s="297" t="s">
        <v>106</v>
      </c>
      <c r="B48" s="377">
        <f>SUM(B40:B47)</f>
        <v>-1842967.6</v>
      </c>
      <c r="C48" s="403">
        <f>SUM(C40:C47)</f>
        <v>-593955.8254109493</v>
      </c>
      <c r="D48" s="314"/>
    </row>
    <row r="49" spans="1:5" ht="18" customHeight="1" x14ac:dyDescent="0.2">
      <c r="B49" s="401"/>
      <c r="C49" s="402"/>
    </row>
    <row r="50" spans="1:5" ht="18" customHeight="1" thickBot="1" x14ac:dyDescent="0.25">
      <c r="A50" s="34" t="s">
        <v>100</v>
      </c>
      <c r="B50" s="393">
        <f>+B48+B36</f>
        <v>6790615.1899999995</v>
      </c>
      <c r="C50" s="394">
        <f>+C48+C36</f>
        <v>2242820.6606390364</v>
      </c>
    </row>
    <row r="51" spans="1:5" ht="18" customHeight="1" thickTop="1" x14ac:dyDescent="0.2"/>
    <row r="52" spans="1:5" x14ac:dyDescent="0.2">
      <c r="A52" s="34" t="s">
        <v>101</v>
      </c>
      <c r="C52" s="342"/>
    </row>
    <row r="58" spans="1:5" x14ac:dyDescent="0.2">
      <c r="C58" s="259"/>
      <c r="E58" s="340"/>
    </row>
    <row r="65" spans="2:5" x14ac:dyDescent="0.2">
      <c r="B65" s="311"/>
      <c r="C65" s="332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64"/>
    </row>
    <row r="70" spans="2:5" x14ac:dyDescent="0.2">
      <c r="B70" s="259"/>
      <c r="C70" s="342"/>
    </row>
    <row r="71" spans="2:5" x14ac:dyDescent="0.2">
      <c r="B71" s="259"/>
      <c r="C71" s="342"/>
      <c r="D71" s="338"/>
      <c r="E71" s="343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269"/>
    </row>
    <row r="74" spans="2:5" x14ac:dyDescent="0.2">
      <c r="B74" s="259"/>
      <c r="C74" s="342"/>
      <c r="D74" s="31"/>
    </row>
    <row r="75" spans="2:5" x14ac:dyDescent="0.2">
      <c r="B75" s="259"/>
      <c r="C75" s="342"/>
      <c r="D75" s="344"/>
    </row>
    <row r="76" spans="2:5" x14ac:dyDescent="0.2">
      <c r="B76" s="339"/>
    </row>
    <row r="77" spans="2:5" x14ac:dyDescent="0.2">
      <c r="B77" s="339"/>
      <c r="D77" s="64"/>
    </row>
    <row r="78" spans="2:5" x14ac:dyDescent="0.2">
      <c r="B78" s="338"/>
      <c r="C78" s="259"/>
    </row>
    <row r="79" spans="2:5" x14ac:dyDescent="0.2">
      <c r="B79" s="338"/>
      <c r="C79" s="259"/>
    </row>
    <row r="80" spans="2:5" x14ac:dyDescent="0.2">
      <c r="B80" s="339"/>
      <c r="C80" s="259"/>
      <c r="D80" s="64"/>
    </row>
    <row r="81" spans="2:4" x14ac:dyDescent="0.2">
      <c r="B81" s="339"/>
      <c r="D81" s="64"/>
    </row>
    <row r="82" spans="2:4" x14ac:dyDescent="0.2">
      <c r="B82" s="339"/>
    </row>
    <row r="83" spans="2:4" x14ac:dyDescent="0.2">
      <c r="B83" s="311"/>
      <c r="C83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30" workbookViewId="3">
      <selection activeCell="E27" sqref="E2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185996</v>
      </c>
      <c r="C26" s="11">
        <v>184574</v>
      </c>
      <c r="D26" s="11">
        <v>13170</v>
      </c>
      <c r="E26" s="11">
        <v>12965</v>
      </c>
      <c r="F26" s="11">
        <f t="shared" si="5"/>
        <v>-1627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3108127</v>
      </c>
      <c r="C39" s="150">
        <f>SUM(C8:C38)</f>
        <v>3138754</v>
      </c>
      <c r="D39" s="150">
        <f>SUM(D8:D38)</f>
        <v>245692</v>
      </c>
      <c r="E39" s="150">
        <f>SUM(E8:E38)</f>
        <v>252137</v>
      </c>
      <c r="F39" s="11">
        <f t="shared" si="5"/>
        <v>37072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2.62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97128.639999999999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22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37061</v>
      </c>
      <c r="C43" s="142"/>
      <c r="D43" s="142"/>
      <c r="E43" s="142"/>
      <c r="F43" s="252">
        <f>+F42+F41</f>
        <v>656326.20000000007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5" workbookViewId="3">
      <selection activeCell="C46" sqref="C4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1716889</v>
      </c>
      <c r="C36" s="24">
        <f>SUM(C5:C35)</f>
        <v>1726719</v>
      </c>
      <c r="D36" s="24">
        <f t="shared" si="0"/>
        <v>9830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6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37060</v>
      </c>
      <c r="C40" s="24"/>
      <c r="D40" s="195">
        <f>+D36+D38</f>
        <v>11137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A23" sqref="A23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3">
        <v>557807</v>
      </c>
      <c r="C5" s="90">
        <v>601389</v>
      </c>
      <c r="D5" s="90">
        <f>+C5-B5</f>
        <v>43582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554901</v>
      </c>
      <c r="C7" s="90">
        <v>565269</v>
      </c>
      <c r="D7" s="90">
        <f t="shared" si="0"/>
        <v>10368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1">
        <v>676987</v>
      </c>
      <c r="C8" s="90">
        <v>688625</v>
      </c>
      <c r="D8" s="90">
        <f t="shared" si="0"/>
        <v>11638</v>
      </c>
      <c r="E8" s="287"/>
      <c r="F8" s="285"/>
    </row>
    <row r="9" spans="1:13" x14ac:dyDescent="0.2">
      <c r="A9" s="87">
        <v>500293</v>
      </c>
      <c r="B9" s="92">
        <v>285875</v>
      </c>
      <c r="C9" s="90">
        <v>363094</v>
      </c>
      <c r="D9" s="90">
        <f t="shared" si="0"/>
        <v>77219</v>
      </c>
      <c r="E9" s="287"/>
      <c r="F9" s="285"/>
    </row>
    <row r="10" spans="1:13" x14ac:dyDescent="0.2">
      <c r="A10" s="87">
        <v>500302</v>
      </c>
      <c r="B10" s="331">
        <v>6714</v>
      </c>
      <c r="C10" s="331"/>
      <c r="D10" s="90">
        <f t="shared" si="0"/>
        <v>-6714</v>
      </c>
      <c r="E10" s="287"/>
      <c r="F10" s="285"/>
    </row>
    <row r="11" spans="1:13" x14ac:dyDescent="0.2">
      <c r="A11" s="87">
        <v>500303</v>
      </c>
      <c r="B11" s="331">
        <v>131151</v>
      </c>
      <c r="C11" s="90">
        <v>199635</v>
      </c>
      <c r="D11" s="90">
        <f t="shared" si="0"/>
        <v>68484</v>
      </c>
      <c r="E11" s="287"/>
      <c r="F11" s="285"/>
    </row>
    <row r="12" spans="1:13" x14ac:dyDescent="0.2">
      <c r="A12" s="91">
        <v>500305</v>
      </c>
      <c r="B12" s="331">
        <v>609162</v>
      </c>
      <c r="C12" s="90">
        <v>816405</v>
      </c>
      <c r="D12" s="90">
        <f t="shared" si="0"/>
        <v>207243</v>
      </c>
      <c r="E12" s="288"/>
      <c r="F12" s="285"/>
    </row>
    <row r="13" spans="1:13" x14ac:dyDescent="0.2">
      <c r="A13" s="87">
        <v>500307</v>
      </c>
      <c r="B13" s="331">
        <v>37893</v>
      </c>
      <c r="C13" s="90">
        <v>38754</v>
      </c>
      <c r="D13" s="90">
        <f t="shared" si="0"/>
        <v>861</v>
      </c>
      <c r="E13" s="287"/>
      <c r="F13" s="285"/>
    </row>
    <row r="14" spans="1:13" x14ac:dyDescent="0.2">
      <c r="A14" s="87">
        <v>500313</v>
      </c>
      <c r="B14" s="90"/>
      <c r="C14" s="331">
        <v>1841</v>
      </c>
      <c r="D14" s="90">
        <f t="shared" si="0"/>
        <v>1841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445997</v>
      </c>
      <c r="C16" s="90"/>
      <c r="D16" s="90">
        <f t="shared" si="0"/>
        <v>-445997</v>
      </c>
      <c r="E16" s="287"/>
      <c r="F16" s="285"/>
    </row>
    <row r="17" spans="1:6" x14ac:dyDescent="0.2">
      <c r="A17" s="87">
        <v>500657</v>
      </c>
      <c r="B17" s="360">
        <v>131986</v>
      </c>
      <c r="C17" s="88">
        <v>107550</v>
      </c>
      <c r="D17" s="94">
        <f t="shared" si="0"/>
        <v>-24436</v>
      </c>
      <c r="E17" s="287"/>
      <c r="F17" s="285"/>
    </row>
    <row r="18" spans="1:6" x14ac:dyDescent="0.2">
      <c r="A18" s="87"/>
      <c r="B18" s="88"/>
      <c r="C18" s="88"/>
      <c r="D18" s="88">
        <f>SUM(D5:D17)</f>
        <v>-55911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3.26</v>
      </c>
      <c r="E19" s="289"/>
      <c r="F19" s="285"/>
    </row>
    <row r="20" spans="1:6" x14ac:dyDescent="0.2">
      <c r="A20" s="87"/>
      <c r="B20" s="88"/>
      <c r="C20" s="88"/>
      <c r="D20" s="96">
        <f>+D19*D18</f>
        <v>-182269.86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8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37060</v>
      </c>
      <c r="B24" s="88"/>
      <c r="C24" s="88"/>
      <c r="D24" s="359">
        <f>+D22+D20</f>
        <v>-31111.5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D50" sqref="D5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746017</v>
      </c>
      <c r="C35" s="11">
        <f>SUM(C4:C34)</f>
        <v>759987</v>
      </c>
      <c r="D35" s="11">
        <f>SUM(D4:D34)</f>
        <v>600499</v>
      </c>
      <c r="E35" s="11">
        <f>SUM(E4:E34)</f>
        <v>618604</v>
      </c>
      <c r="F35" s="11">
        <f>+E35-D35+C35-B35</f>
        <v>32075</v>
      </c>
    </row>
    <row r="36" spans="1:7" x14ac:dyDescent="0.2">
      <c r="A36" s="45"/>
      <c r="C36" s="14">
        <f>+C35-B35</f>
        <v>13970</v>
      </c>
      <c r="D36" s="14"/>
      <c r="E36" s="14">
        <f>+E35-D35</f>
        <v>18105</v>
      </c>
      <c r="F36" s="47"/>
    </row>
    <row r="37" spans="1:7" x14ac:dyDescent="0.2">
      <c r="C37" s="15">
        <f>+summary!P11</f>
        <v>3.26</v>
      </c>
      <c r="D37" s="15"/>
      <c r="E37" s="15">
        <f>+C37</f>
        <v>3.26</v>
      </c>
      <c r="F37" s="24"/>
    </row>
    <row r="38" spans="1:7" x14ac:dyDescent="0.2">
      <c r="C38" s="48">
        <f>+C37*C36</f>
        <v>45542.2</v>
      </c>
      <c r="D38" s="47"/>
      <c r="E38" s="48">
        <f>+E37*E36</f>
        <v>59022.299999999996</v>
      </c>
      <c r="F38" s="46">
        <f>+E38+C38</f>
        <v>104564.5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7">
        <v>2444005.89</v>
      </c>
      <c r="D40" s="111"/>
      <c r="E40" s="417">
        <v>-2072427.18</v>
      </c>
      <c r="F40" s="385">
        <f>+E40+C40</f>
        <v>371578.7100000002</v>
      </c>
      <c r="G40" s="25"/>
    </row>
    <row r="41" spans="1:7" x14ac:dyDescent="0.2">
      <c r="A41" s="57">
        <v>37060</v>
      </c>
      <c r="C41" s="106">
        <f>+C40+C38</f>
        <v>2489548.0900000003</v>
      </c>
      <c r="D41" s="106"/>
      <c r="E41" s="106">
        <f>+E40+E38</f>
        <v>-2013404.88</v>
      </c>
      <c r="F41" s="106">
        <f>+E41+C41</f>
        <v>476143.21000000043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48" sqref="E4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233108</v>
      </c>
      <c r="C18" s="11">
        <v>238441</v>
      </c>
      <c r="D18" s="11"/>
      <c r="E18" s="11">
        <v>7833</v>
      </c>
      <c r="F18" s="11">
        <f t="shared" si="5"/>
        <v>-2500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189384</v>
      </c>
      <c r="C19" s="11">
        <v>215345</v>
      </c>
      <c r="D19" s="11"/>
      <c r="E19" s="11">
        <v>26468</v>
      </c>
      <c r="F19" s="11">
        <f t="shared" si="5"/>
        <v>-507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3657997</v>
      </c>
      <c r="C36" s="11">
        <f>SUM(C5:C35)</f>
        <v>3867171</v>
      </c>
      <c r="D36" s="11">
        <f>SUM(D5:D35)</f>
        <v>0</v>
      </c>
      <c r="E36" s="11">
        <f>SUM(E5:E35)</f>
        <v>224039</v>
      </c>
      <c r="F36" s="11">
        <f>SUM(F5:F35)</f>
        <v>-14865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11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37060</v>
      </c>
      <c r="F41" s="386">
        <f>+F39+F36</f>
        <v>-15251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B51" sqref="B5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1735429</v>
      </c>
      <c r="C39" s="11">
        <f>SUM(C8:C38)</f>
        <v>1722155</v>
      </c>
      <c r="D39" s="11">
        <f>SUM(D8:D38)</f>
        <v>-13274</v>
      </c>
      <c r="E39" s="10"/>
      <c r="F39" s="11"/>
      <c r="G39" s="11"/>
      <c r="H39" s="11"/>
    </row>
    <row r="40" spans="1:8" x14ac:dyDescent="0.2">
      <c r="A40" s="26"/>
      <c r="D40" s="75">
        <f>+summary!P11</f>
        <v>3.26</v>
      </c>
      <c r="E40" s="26"/>
      <c r="H40" s="75"/>
    </row>
    <row r="41" spans="1:8" x14ac:dyDescent="0.2">
      <c r="D41" s="197">
        <f>+D40*D39</f>
        <v>-43273.24</v>
      </c>
      <c r="F41" s="253"/>
      <c r="H41" s="197"/>
    </row>
    <row r="42" spans="1:8" x14ac:dyDescent="0.2">
      <c r="A42" s="57">
        <v>37042</v>
      </c>
      <c r="D42" s="423">
        <v>93484</v>
      </c>
      <c r="E42" s="57"/>
      <c r="H42" s="197"/>
    </row>
    <row r="43" spans="1:8" x14ac:dyDescent="0.2">
      <c r="A43" s="57">
        <v>37060</v>
      </c>
      <c r="D43" s="198">
        <f>+D42+D41</f>
        <v>50210.76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38" workbookViewId="3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21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37058</v>
      </c>
      <c r="G7" s="32"/>
      <c r="H7" s="15"/>
      <c r="I7" s="32"/>
      <c r="J7" s="32"/>
    </row>
    <row r="8" spans="1:10" x14ac:dyDescent="0.2">
      <c r="A8" s="254">
        <v>60874</v>
      </c>
      <c r="B8" s="362">
        <v>2516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11160-17820</f>
        <v>-6660</v>
      </c>
      <c r="G10" s="32"/>
      <c r="H10" s="15"/>
      <c r="I10" s="32"/>
      <c r="J10" s="32"/>
    </row>
    <row r="11" spans="1:10" x14ac:dyDescent="0.2">
      <c r="A11" s="254">
        <v>500251</v>
      </c>
      <c r="B11" s="354">
        <f>8149-9664</f>
        <v>-1515</v>
      </c>
      <c r="G11" s="32"/>
      <c r="H11" s="15"/>
      <c r="I11" s="32"/>
      <c r="J11" s="32"/>
    </row>
    <row r="12" spans="1:10" x14ac:dyDescent="0.2">
      <c r="A12" s="254">
        <v>500254</v>
      </c>
      <c r="B12" s="354">
        <f>958-2398</f>
        <v>-1440</v>
      </c>
      <c r="G12" s="32"/>
      <c r="H12" s="15"/>
      <c r="I12" s="32"/>
      <c r="J12" s="32"/>
    </row>
    <row r="13" spans="1:10" x14ac:dyDescent="0.2">
      <c r="A13" s="32">
        <v>500255</v>
      </c>
      <c r="B13" s="354">
        <f>9426-10343</f>
        <v>-917</v>
      </c>
      <c r="G13" s="32"/>
      <c r="H13" s="15"/>
      <c r="I13" s="32"/>
      <c r="J13" s="32"/>
    </row>
    <row r="14" spans="1:10" x14ac:dyDescent="0.2">
      <c r="A14" s="32">
        <v>500262</v>
      </c>
      <c r="B14" s="354">
        <f>2237-3557</f>
        <v>-1320</v>
      </c>
      <c r="G14" s="32"/>
      <c r="H14" s="15"/>
      <c r="I14" s="32"/>
      <c r="J14" s="32"/>
    </row>
    <row r="15" spans="1:10" x14ac:dyDescent="0.2">
      <c r="A15" s="292">
        <v>500267</v>
      </c>
      <c r="B15" s="355">
        <f>924788-898141</f>
        <v>26647</v>
      </c>
      <c r="G15" s="32"/>
      <c r="H15" s="15"/>
      <c r="I15" s="32"/>
      <c r="J15" s="32"/>
    </row>
    <row r="16" spans="1:10" x14ac:dyDescent="0.2">
      <c r="B16" s="14">
        <f>SUM(B8:B15)</f>
        <v>17311</v>
      </c>
      <c r="G16" s="32"/>
      <c r="H16" s="15"/>
      <c r="I16" s="32"/>
      <c r="J16" s="32"/>
    </row>
    <row r="17" spans="1:10" x14ac:dyDescent="0.2">
      <c r="B17" s="15">
        <f>+B30</f>
        <v>3.26</v>
      </c>
      <c r="C17" s="201">
        <f>+B17*B16</f>
        <v>56433.859999999993</v>
      </c>
      <c r="G17" s="32"/>
      <c r="H17" s="15"/>
      <c r="I17" s="32"/>
      <c r="J17" s="32"/>
    </row>
    <row r="18" spans="1:10" x14ac:dyDescent="0.2">
      <c r="C18" s="365">
        <f>+C17+C5</f>
        <v>804783.46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21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37058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3.26</v>
      </c>
      <c r="C30" s="201">
        <f>+B30*B29</f>
        <v>0</v>
      </c>
    </row>
    <row r="31" spans="1:10" x14ac:dyDescent="0.2">
      <c r="C31" s="365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21">
        <v>663620.68999999994</v>
      </c>
      <c r="E38" s="15"/>
      <c r="F38" s="269"/>
    </row>
    <row r="40" spans="1:6" x14ac:dyDescent="0.2">
      <c r="A40" s="250">
        <v>37058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5739</v>
      </c>
    </row>
    <row r="43" spans="1:6" x14ac:dyDescent="0.2">
      <c r="A43" s="32">
        <v>500392</v>
      </c>
      <c r="B43" s="258">
        <v>1159</v>
      </c>
    </row>
    <row r="44" spans="1:6" x14ac:dyDescent="0.2">
      <c r="B44" s="14">
        <f>SUM(B41:B43)</f>
        <v>6898</v>
      </c>
    </row>
    <row r="45" spans="1:6" x14ac:dyDescent="0.2">
      <c r="B45" s="201">
        <f>+B30</f>
        <v>3.26</v>
      </c>
      <c r="C45" s="201">
        <f>+B45*B44</f>
        <v>22487.48</v>
      </c>
    </row>
    <row r="46" spans="1:6" x14ac:dyDescent="0.2">
      <c r="C46" s="365">
        <f>+C45+C38</f>
        <v>686108.16999999993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20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9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9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0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1984320.81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5" workbookViewId="3">
      <selection activeCell="E22" sqref="E22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">
      <c r="A16" s="10">
        <v>13</v>
      </c>
      <c r="B16" s="11"/>
      <c r="C16" s="11"/>
      <c r="D16" s="11">
        <v>23859</v>
      </c>
      <c r="E16" s="11">
        <v>23536</v>
      </c>
      <c r="F16" s="11">
        <f t="shared" si="0"/>
        <v>-323</v>
      </c>
      <c r="G16" s="11"/>
      <c r="H16" s="24"/>
    </row>
    <row r="17" spans="1:8" x14ac:dyDescent="0.2">
      <c r="A17" s="10">
        <v>14</v>
      </c>
      <c r="B17" s="11"/>
      <c r="C17" s="11"/>
      <c r="D17" s="11">
        <v>24034</v>
      </c>
      <c r="E17" s="11">
        <v>23536</v>
      </c>
      <c r="F17" s="11">
        <f t="shared" si="0"/>
        <v>-498</v>
      </c>
      <c r="G17" s="11"/>
      <c r="H17" s="24"/>
    </row>
    <row r="18" spans="1:8" x14ac:dyDescent="0.2">
      <c r="A18" s="10">
        <v>15</v>
      </c>
      <c r="B18" s="11">
        <v>18</v>
      </c>
      <c r="C18" s="11"/>
      <c r="D18" s="11">
        <v>23811</v>
      </c>
      <c r="E18" s="11">
        <v>23278</v>
      </c>
      <c r="F18" s="11">
        <f t="shared" si="0"/>
        <v>-551</v>
      </c>
      <c r="G18" s="11"/>
      <c r="H18" s="24"/>
    </row>
    <row r="19" spans="1:8" x14ac:dyDescent="0.2">
      <c r="A19" s="10">
        <v>16</v>
      </c>
      <c r="B19" s="11">
        <v>232</v>
      </c>
      <c r="C19" s="11"/>
      <c r="D19" s="11">
        <v>21447</v>
      </c>
      <c r="E19" s="11">
        <v>20542</v>
      </c>
      <c r="F19" s="11">
        <f t="shared" si="0"/>
        <v>-1137</v>
      </c>
      <c r="G19" s="11"/>
      <c r="H19" s="24"/>
    </row>
    <row r="20" spans="1:8" x14ac:dyDescent="0.2">
      <c r="A20" s="10">
        <v>17</v>
      </c>
      <c r="B20" s="11">
        <v>771</v>
      </c>
      <c r="C20" s="11"/>
      <c r="D20" s="11">
        <v>20764</v>
      </c>
      <c r="E20" s="11">
        <v>21043</v>
      </c>
      <c r="F20" s="11">
        <f t="shared" si="0"/>
        <v>-492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1021</v>
      </c>
      <c r="C35" s="11">
        <f>SUM(C4:C34)</f>
        <v>0</v>
      </c>
      <c r="D35" s="11">
        <f>SUM(D4:D34)</f>
        <v>404530</v>
      </c>
      <c r="E35" s="11">
        <f>SUM(E4:E34)</f>
        <v>391981</v>
      </c>
      <c r="F35" s="11">
        <f>SUM(F4:F34)</f>
        <v>-13570</v>
      </c>
      <c r="G35" s="11"/>
      <c r="H35" s="11"/>
    </row>
    <row r="36" spans="1:8" x14ac:dyDescent="0.2">
      <c r="C36" s="25">
        <f>+C35-B35</f>
        <v>-1021</v>
      </c>
      <c r="E36" s="25">
        <f>+E35-D35</f>
        <v>-12549</v>
      </c>
      <c r="F36" s="25">
        <f>+E36+C36</f>
        <v>-13570</v>
      </c>
    </row>
    <row r="37" spans="1:8" x14ac:dyDescent="0.2">
      <c r="C37" s="350">
        <f>+summary!P12</f>
        <v>3.59</v>
      </c>
      <c r="E37" s="350">
        <f>+C37</f>
        <v>3.59</v>
      </c>
      <c r="F37" s="350">
        <f>+E37</f>
        <v>3.59</v>
      </c>
    </row>
    <row r="38" spans="1:8" x14ac:dyDescent="0.2">
      <c r="C38" s="138">
        <f>+C37*C36</f>
        <v>-3665.39</v>
      </c>
      <c r="E38" s="138">
        <f>+E37*E36</f>
        <v>-45050.909999999996</v>
      </c>
      <c r="F38" s="138">
        <f>+F37*F36</f>
        <v>-48716.299999999996</v>
      </c>
    </row>
    <row r="39" spans="1:8" x14ac:dyDescent="0.2">
      <c r="A39" s="57">
        <v>37042</v>
      </c>
      <c r="B39" s="2" t="s">
        <v>47</v>
      </c>
      <c r="C39" s="415">
        <v>-1023092.89</v>
      </c>
      <c r="D39" s="364"/>
      <c r="E39" s="415">
        <v>-366672.63</v>
      </c>
      <c r="F39" s="363">
        <f>+E39+C39</f>
        <v>-1389765.52</v>
      </c>
      <c r="G39" s="51"/>
      <c r="H39" s="24"/>
    </row>
    <row r="40" spans="1:8" x14ac:dyDescent="0.2">
      <c r="A40" s="57">
        <v>37059</v>
      </c>
      <c r="B40" s="2" t="s">
        <v>47</v>
      </c>
      <c r="C40" s="351">
        <f>+C39+C38</f>
        <v>-1026758.28</v>
      </c>
      <c r="D40" s="260"/>
      <c r="E40" s="351">
        <f>+E39+E38</f>
        <v>-411723.54</v>
      </c>
      <c r="F40" s="351">
        <f>+F39+F38</f>
        <v>-1438481.82</v>
      </c>
      <c r="G40" s="131"/>
      <c r="H40" s="131"/>
    </row>
    <row r="41" spans="1:8" x14ac:dyDescent="0.2">
      <c r="C41" s="380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21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21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1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21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21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9">
        <v>-635539.74</v>
      </c>
      <c r="G49" s="255" t="s">
        <v>132</v>
      </c>
    </row>
    <row r="50" spans="2:7" x14ac:dyDescent="0.2">
      <c r="C50" s="251"/>
      <c r="D50" s="251"/>
      <c r="E50" s="251"/>
      <c r="F50" s="382">
        <f>SUM(F40:F49)</f>
        <v>-2068001.53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1984320.81</v>
      </c>
    </row>
    <row r="54" spans="2:7" x14ac:dyDescent="0.2">
      <c r="F54" s="104">
        <f>+F52+F50</f>
        <v>-83680.719999999972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7" workbookViewId="3">
      <selection activeCell="D51" sqref="D51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0</v>
      </c>
      <c r="E39" s="11">
        <f t="shared" si="1"/>
        <v>0</v>
      </c>
      <c r="F39" s="11">
        <f t="shared" si="1"/>
        <v>14726</v>
      </c>
      <c r="G39" s="11">
        <f t="shared" si="1"/>
        <v>21204</v>
      </c>
      <c r="H39" s="11">
        <f t="shared" si="1"/>
        <v>34706</v>
      </c>
      <c r="I39" s="11">
        <f t="shared" si="1"/>
        <v>29142</v>
      </c>
      <c r="J39" s="25">
        <f t="shared" si="1"/>
        <v>-687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3.26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-2239.62</v>
      </c>
      <c r="L41"/>
      <c r="R41" s="138"/>
      <c r="X41" s="138"/>
    </row>
    <row r="42" spans="1:24" x14ac:dyDescent="0.2">
      <c r="A42" s="57">
        <v>37042</v>
      </c>
      <c r="C42" s="15"/>
      <c r="J42" s="408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37060</v>
      </c>
      <c r="C43" s="48"/>
      <c r="J43" s="138">
        <f>+J42+J41</f>
        <v>359857.67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" workbookViewId="3">
      <selection activeCell="D26" sqref="D26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13333</v>
      </c>
      <c r="C19" s="11">
        <v>11039</v>
      </c>
      <c r="D19" s="11">
        <v>-513</v>
      </c>
      <c r="E19" s="11"/>
      <c r="F19" s="25">
        <f t="shared" si="0"/>
        <v>-1781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13177</v>
      </c>
      <c r="C20" s="11">
        <v>11039</v>
      </c>
      <c r="D20" s="11">
        <v>-595</v>
      </c>
      <c r="E20" s="11"/>
      <c r="F20" s="25">
        <f t="shared" si="0"/>
        <v>-1543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12983</v>
      </c>
      <c r="C21" s="11">
        <v>11039</v>
      </c>
      <c r="D21" s="11">
        <v>-551</v>
      </c>
      <c r="E21" s="11"/>
      <c r="F21" s="25">
        <f t="shared" si="0"/>
        <v>-1393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13223</v>
      </c>
      <c r="C22" s="11">
        <v>10949</v>
      </c>
      <c r="D22" s="11">
        <v>-594</v>
      </c>
      <c r="E22" s="11"/>
      <c r="F22" s="25">
        <f t="shared" si="0"/>
        <v>-1680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13029</v>
      </c>
      <c r="C23" s="11">
        <v>10058</v>
      </c>
      <c r="D23" s="11">
        <v>-614</v>
      </c>
      <c r="E23" s="11"/>
      <c r="F23" s="25">
        <f t="shared" si="0"/>
        <v>-2357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13115</v>
      </c>
      <c r="C24" s="11">
        <v>10235</v>
      </c>
      <c r="D24" s="11">
        <v>-600</v>
      </c>
      <c r="E24" s="11"/>
      <c r="F24" s="25">
        <f t="shared" si="0"/>
        <v>-2280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13133</v>
      </c>
      <c r="C25" s="11">
        <v>10852</v>
      </c>
      <c r="D25" s="11">
        <v>-623</v>
      </c>
      <c r="E25" s="11"/>
      <c r="F25" s="25">
        <f t="shared" si="0"/>
        <v>-1658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237193</v>
      </c>
      <c r="C39" s="11">
        <f>SUM(C8:C38)</f>
        <v>195710</v>
      </c>
      <c r="D39" s="11">
        <f>SUM(D8:D38)</f>
        <v>-7977</v>
      </c>
      <c r="E39" s="11">
        <f>SUM(E8:E38)</f>
        <v>0</v>
      </c>
      <c r="F39" s="11">
        <f>SUM(F8:F38)</f>
        <v>-33506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3.26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-109229.56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6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37060</v>
      </c>
      <c r="C43" s="48"/>
      <c r="D43" s="48"/>
      <c r="E43" s="48"/>
      <c r="F43" s="110">
        <f>+F42+F41</f>
        <v>582619.90999999992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workbookViewId="0"/>
    <sheetView workbookViewId="1"/>
    <sheetView workbookViewId="2"/>
    <sheetView topLeftCell="A33" workbookViewId="3">
      <selection activeCell="B12" sqref="B12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5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2.62</v>
      </c>
    </row>
    <row r="11" spans="1:20" ht="18" customHeight="1" x14ac:dyDescent="0.2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3.26</v>
      </c>
    </row>
    <row r="12" spans="1:20" ht="18" customHeight="1" x14ac:dyDescent="0.2">
      <c r="A12" s="357" t="s">
        <v>95</v>
      </c>
      <c r="B12" s="377">
        <f>+NNG!$D$24</f>
        <v>1309914.5</v>
      </c>
      <c r="C12" s="389">
        <f>+B12/$P$11</f>
        <v>401814.26380368101</v>
      </c>
      <c r="D12" s="317">
        <f>+NNG!A24</f>
        <v>37061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3.59</v>
      </c>
    </row>
    <row r="13" spans="1:20" ht="15.95" customHeight="1" x14ac:dyDescent="0.2">
      <c r="A13" s="356" t="s">
        <v>145</v>
      </c>
      <c r="B13" s="377">
        <f>+SidR!D41</f>
        <v>807113.05999999994</v>
      </c>
      <c r="C13" s="389">
        <f>+B13/$P$11</f>
        <v>247580.69325153375</v>
      </c>
      <c r="D13" s="65">
        <f>+SidR!A41</f>
        <v>37061</v>
      </c>
      <c r="E13" t="s">
        <v>90</v>
      </c>
      <c r="F13" t="s">
        <v>112</v>
      </c>
    </row>
    <row r="14" spans="1:20" ht="15.95" customHeight="1" x14ac:dyDescent="0.2">
      <c r="A14" s="356" t="s">
        <v>87</v>
      </c>
      <c r="B14" s="377">
        <f>+PNM!$D$23</f>
        <v>751131.23</v>
      </c>
      <c r="C14" s="389">
        <f>+B14/$P$11</f>
        <v>230408.35276073622</v>
      </c>
      <c r="D14" s="65">
        <f>+PNM!A23</f>
        <v>37061</v>
      </c>
      <c r="E14" t="s">
        <v>90</v>
      </c>
      <c r="F14" t="s">
        <v>108</v>
      </c>
    </row>
    <row r="15" spans="1:20" ht="15.95" customHeight="1" x14ac:dyDescent="0.2">
      <c r="A15" s="356" t="s">
        <v>25</v>
      </c>
      <c r="B15" s="371">
        <f>+'Red C'!$F$43</f>
        <v>656326.20000000007</v>
      </c>
      <c r="C15" s="372">
        <f>+B15/$P$10</f>
        <v>250506.18320610689</v>
      </c>
      <c r="D15" s="317">
        <f>+'Red C'!B43</f>
        <v>37061</v>
      </c>
      <c r="E15" t="s">
        <v>90</v>
      </c>
      <c r="F15" t="s">
        <v>125</v>
      </c>
    </row>
    <row r="16" spans="1:20" ht="15.95" customHeight="1" x14ac:dyDescent="0.2">
      <c r="A16" s="356" t="s">
        <v>3</v>
      </c>
      <c r="B16" s="377">
        <f>+'Amoco Abo'!$F$43</f>
        <v>582619.90999999992</v>
      </c>
      <c r="C16" s="389">
        <f>+B16/$P$11</f>
        <v>178717.76380368098</v>
      </c>
      <c r="D16" s="65">
        <f>+'Amoco Abo'!A43</f>
        <v>37060</v>
      </c>
      <c r="E16" t="s">
        <v>90</v>
      </c>
      <c r="F16" t="s">
        <v>109</v>
      </c>
      <c r="T16" s="269"/>
    </row>
    <row r="17" spans="1:20" ht="15.95" customHeight="1" x14ac:dyDescent="0.2">
      <c r="A17" s="356" t="s">
        <v>84</v>
      </c>
      <c r="B17" s="377">
        <f>+Conoco!$F$41</f>
        <v>476143.21000000043</v>
      </c>
      <c r="C17" s="389">
        <f>+B17/$P$10</f>
        <v>181734.04961832077</v>
      </c>
      <c r="D17" s="317">
        <f>+Conoco!A41</f>
        <v>37060</v>
      </c>
      <c r="E17" t="s">
        <v>90</v>
      </c>
      <c r="F17" t="s">
        <v>109</v>
      </c>
      <c r="T17" s="269"/>
    </row>
    <row r="18" spans="1:20" ht="15.95" customHeight="1" x14ac:dyDescent="0.2">
      <c r="A18" s="356" t="s">
        <v>117</v>
      </c>
      <c r="B18" s="377">
        <f>+KN_Westar!F41</f>
        <v>405767.37</v>
      </c>
      <c r="C18" s="389">
        <f t="shared" ref="C18:C24" si="0">+B18/$P$11</f>
        <v>124468.51840490798</v>
      </c>
      <c r="D18" s="65">
        <f>+KN_Westar!A41</f>
        <v>37060</v>
      </c>
      <c r="E18" t="s">
        <v>90</v>
      </c>
      <c r="F18" t="s">
        <v>110</v>
      </c>
    </row>
    <row r="19" spans="1:20" ht="15.95" customHeight="1" x14ac:dyDescent="0.2">
      <c r="A19" s="356" t="s">
        <v>113</v>
      </c>
      <c r="B19" s="377">
        <f>+EOG!J41</f>
        <v>380154.11</v>
      </c>
      <c r="C19" s="389">
        <f t="shared" si="0"/>
        <v>116611.69018404909</v>
      </c>
      <c r="D19" s="317">
        <f>+EOG!A41</f>
        <v>37060</v>
      </c>
      <c r="E19" t="s">
        <v>90</v>
      </c>
      <c r="F19" t="s">
        <v>112</v>
      </c>
    </row>
    <row r="20" spans="1:20" ht="15.95" customHeight="1" x14ac:dyDescent="0.2">
      <c r="A20" s="356" t="s">
        <v>2</v>
      </c>
      <c r="B20" s="377">
        <f>+mewborne!$J$43</f>
        <v>359857.67</v>
      </c>
      <c r="C20" s="389">
        <f t="shared" si="0"/>
        <v>110385.78834355829</v>
      </c>
      <c r="D20" s="65">
        <f>+mewborne!A43</f>
        <v>37060</v>
      </c>
      <c r="E20" t="s">
        <v>90</v>
      </c>
      <c r="F20" t="s">
        <v>109</v>
      </c>
    </row>
    <row r="21" spans="1:20" ht="15.95" customHeight="1" x14ac:dyDescent="0.2">
      <c r="A21" s="356" t="s">
        <v>120</v>
      </c>
      <c r="B21" s="377">
        <f>+CIG!D43</f>
        <v>326755</v>
      </c>
      <c r="C21" s="389">
        <f t="shared" si="0"/>
        <v>100231.59509202455</v>
      </c>
      <c r="D21" s="65">
        <f>+CIG!A43</f>
        <v>37059</v>
      </c>
      <c r="E21" t="s">
        <v>90</v>
      </c>
      <c r="F21" t="s">
        <v>123</v>
      </c>
      <c r="G21" t="s">
        <v>139</v>
      </c>
    </row>
    <row r="22" spans="1:20" ht="15.95" customHeight="1" x14ac:dyDescent="0.2">
      <c r="A22" s="356" t="s">
        <v>141</v>
      </c>
      <c r="B22" s="377">
        <f>+PGETX!$H$39</f>
        <v>234921.34</v>
      </c>
      <c r="C22" s="389">
        <f t="shared" si="0"/>
        <v>72061.760736196316</v>
      </c>
      <c r="D22" s="65">
        <f>+PGETX!E39</f>
        <v>37061</v>
      </c>
      <c r="E22" t="s">
        <v>90</v>
      </c>
      <c r="F22" t="s">
        <v>112</v>
      </c>
    </row>
    <row r="23" spans="1:20" ht="15.95" customHeight="1" x14ac:dyDescent="0.2">
      <c r="A23" s="356" t="s">
        <v>154</v>
      </c>
      <c r="B23" s="377">
        <f>+'Citizens-Griffith'!D41</f>
        <v>157881.04999999999</v>
      </c>
      <c r="C23" s="389">
        <f t="shared" si="0"/>
        <v>48429.769938650308</v>
      </c>
      <c r="D23" s="317">
        <f>+'Citizens-Griffith'!A41</f>
        <v>37061</v>
      </c>
      <c r="E23" t="s">
        <v>90</v>
      </c>
      <c r="F23" t="s">
        <v>109</v>
      </c>
    </row>
    <row r="24" spans="1:20" ht="15.95" customHeight="1" x14ac:dyDescent="0.2">
      <c r="A24" s="356" t="s">
        <v>75</v>
      </c>
      <c r="B24" s="371">
        <f>+transcol!$D$43</f>
        <v>50210.76</v>
      </c>
      <c r="C24" s="372">
        <f t="shared" si="0"/>
        <v>15402.073619631903</v>
      </c>
      <c r="D24" s="65">
        <f>+transcol!A43</f>
        <v>37060</v>
      </c>
      <c r="E24" t="s">
        <v>90</v>
      </c>
      <c r="F24" t="s">
        <v>125</v>
      </c>
    </row>
    <row r="25" spans="1:20" ht="15.95" customHeight="1" x14ac:dyDescent="0.2">
      <c r="A25" s="356" t="s">
        <v>143</v>
      </c>
      <c r="B25" s="377">
        <f>+EPFS!D41</f>
        <v>14733.300000000003</v>
      </c>
      <c r="C25" s="403">
        <f>+B25/$P$12</f>
        <v>4103.9832869080792</v>
      </c>
      <c r="D25" s="317">
        <f>+EPFS!A41</f>
        <v>37060</v>
      </c>
      <c r="E25" t="s">
        <v>90</v>
      </c>
      <c r="F25" t="s">
        <v>110</v>
      </c>
    </row>
    <row r="26" spans="1:20" ht="15.95" customHeight="1" x14ac:dyDescent="0.2">
      <c r="A26" s="357" t="s">
        <v>104</v>
      </c>
      <c r="B26" s="377">
        <f>+burlington!D42</f>
        <v>5145.68</v>
      </c>
      <c r="C26" s="389">
        <f>+B26/$P$10</f>
        <v>1964</v>
      </c>
      <c r="D26" s="317">
        <f>+burlington!A42</f>
        <v>37061</v>
      </c>
      <c r="E26" s="314" t="s">
        <v>90</v>
      </c>
      <c r="F26" t="s">
        <v>109</v>
      </c>
      <c r="G26" t="s">
        <v>157</v>
      </c>
    </row>
    <row r="27" spans="1:20" ht="15.95" customHeight="1" x14ac:dyDescent="0.2">
      <c r="A27" s="356" t="s">
        <v>119</v>
      </c>
      <c r="B27" s="377">
        <f>+Continental!F43</f>
        <v>-19004.95</v>
      </c>
      <c r="C27" s="403">
        <f>+B27/$P$11</f>
        <v>-5829.7392638036818</v>
      </c>
      <c r="D27" s="65">
        <f>+Continental!A43</f>
        <v>37060</v>
      </c>
      <c r="E27" t="s">
        <v>90</v>
      </c>
      <c r="F27" t="s">
        <v>125</v>
      </c>
    </row>
    <row r="28" spans="1:20" ht="15.95" customHeight="1" x14ac:dyDescent="0.2">
      <c r="A28" s="357" t="s">
        <v>83</v>
      </c>
      <c r="B28" s="377">
        <f>+Agave!$D$24</f>
        <v>-31111.5</v>
      </c>
      <c r="C28" s="403">
        <f>+B28/$P$11</f>
        <v>-9543.4049079754604</v>
      </c>
      <c r="D28" s="317">
        <f>+Agave!A24</f>
        <v>37060</v>
      </c>
      <c r="E28" s="314" t="s">
        <v>90</v>
      </c>
      <c r="F28" s="314" t="s">
        <v>112</v>
      </c>
    </row>
    <row r="29" spans="1:20" ht="15.95" customHeight="1" x14ac:dyDescent="0.2">
      <c r="A29" s="356" t="s">
        <v>138</v>
      </c>
      <c r="B29" s="377">
        <f>+DEFS!F54</f>
        <v>-83680.719999999972</v>
      </c>
      <c r="C29" s="403">
        <f>+B29/$P$11</f>
        <v>-25668.932515337416</v>
      </c>
      <c r="D29" s="65">
        <f>+DEFS!A40</f>
        <v>37059</v>
      </c>
      <c r="E29" t="s">
        <v>90</v>
      </c>
      <c r="F29" t="s">
        <v>110</v>
      </c>
      <c r="G29" t="s">
        <v>128</v>
      </c>
    </row>
    <row r="30" spans="1:20" ht="15.95" customHeight="1" x14ac:dyDescent="0.2">
      <c r="A30" s="356" t="s">
        <v>147</v>
      </c>
      <c r="B30" s="377">
        <f>+'NS Steel'!D41</f>
        <v>-342105.48</v>
      </c>
      <c r="C30" s="403">
        <f>+B30/$P$10</f>
        <v>-130574.61068702288</v>
      </c>
      <c r="D30" s="65">
        <f>+'NS Steel'!A41</f>
        <v>37060</v>
      </c>
      <c r="E30" t="s">
        <v>90</v>
      </c>
      <c r="F30" t="s">
        <v>110</v>
      </c>
      <c r="G30" s="301"/>
    </row>
    <row r="31" spans="1:20" ht="15.95" customHeight="1" x14ac:dyDescent="0.2">
      <c r="A31" s="357" t="s">
        <v>140</v>
      </c>
      <c r="B31" s="377">
        <f>+Calpine!D41</f>
        <v>-414495.67</v>
      </c>
      <c r="C31" s="403">
        <f>+B31/$P$11</f>
        <v>-127145.91104294479</v>
      </c>
      <c r="D31" s="317">
        <f>+Calpine!A41</f>
        <v>37060</v>
      </c>
      <c r="E31" s="314" t="s">
        <v>90</v>
      </c>
      <c r="F31" s="314" t="s">
        <v>109</v>
      </c>
      <c r="G31" s="301"/>
    </row>
    <row r="32" spans="1:20" ht="15.95" customHeight="1" x14ac:dyDescent="0.2">
      <c r="A32" s="357" t="s">
        <v>149</v>
      </c>
      <c r="B32" s="390">
        <f>+Citizens!D18</f>
        <v>-868696.20000000007</v>
      </c>
      <c r="C32" s="404">
        <f>+B32/$P$11</f>
        <v>-266471.22699386504</v>
      </c>
      <c r="D32" s="317">
        <f>+Citizens!A18</f>
        <v>37058</v>
      </c>
      <c r="E32" s="314" t="s">
        <v>90</v>
      </c>
      <c r="F32" s="314" t="s">
        <v>108</v>
      </c>
      <c r="G32" s="301"/>
    </row>
    <row r="33" spans="1:7" ht="15.95" customHeight="1" x14ac:dyDescent="0.2">
      <c r="A33" s="297" t="s">
        <v>160</v>
      </c>
      <c r="B33" s="253">
        <f>SUM(B12:B32)</f>
        <v>4759579.87</v>
      </c>
      <c r="C33" s="298">
        <f>SUM(C12:C32)</f>
        <v>1519186.6606390371</v>
      </c>
    </row>
    <row r="34" spans="1:7" ht="15.95" customHeight="1" x14ac:dyDescent="0.2">
      <c r="A34" s="357"/>
      <c r="B34" s="377"/>
      <c r="C34" s="389"/>
      <c r="D34" s="317"/>
      <c r="E34" s="314"/>
      <c r="F34" s="314"/>
    </row>
    <row r="35" spans="1:7" ht="15.95" customHeight="1" x14ac:dyDescent="0.2">
      <c r="A35" s="396" t="s">
        <v>98</v>
      </c>
      <c r="B35" s="397" t="s">
        <v>18</v>
      </c>
      <c r="C35" s="398" t="s">
        <v>0</v>
      </c>
      <c r="D35" s="399" t="s">
        <v>85</v>
      </c>
      <c r="E35" s="396" t="s">
        <v>99</v>
      </c>
      <c r="F35" s="400" t="s">
        <v>111</v>
      </c>
      <c r="G35" s="301" t="s">
        <v>107</v>
      </c>
    </row>
    <row r="36" spans="1:7" ht="15.95" customHeight="1" x14ac:dyDescent="0.2">
      <c r="A36" s="356" t="s">
        <v>1</v>
      </c>
      <c r="B36" s="377">
        <f>+C36*$P$10</f>
        <v>-39957.620000000003</v>
      </c>
      <c r="C36" s="403">
        <f>+NW!$F$41</f>
        <v>-15251</v>
      </c>
      <c r="D36" s="317">
        <f>+NW!B41</f>
        <v>37060</v>
      </c>
      <c r="E36" t="s">
        <v>89</v>
      </c>
      <c r="F36" t="s">
        <v>109</v>
      </c>
    </row>
    <row r="37" spans="1:7" ht="15.95" customHeight="1" x14ac:dyDescent="0.2">
      <c r="A37" s="356" t="s">
        <v>159</v>
      </c>
      <c r="B37" s="371">
        <f>+C37*$P$11</f>
        <v>-43915.46</v>
      </c>
      <c r="C37" s="372">
        <f>+PEPL!D41</f>
        <v>-13471</v>
      </c>
      <c r="D37" s="65">
        <f>+PEPL!A41</f>
        <v>37061</v>
      </c>
      <c r="E37" t="s">
        <v>89</v>
      </c>
      <c r="F37" t="s">
        <v>112</v>
      </c>
      <c r="G37" t="s">
        <v>129</v>
      </c>
    </row>
    <row r="38" spans="1:7" ht="18" customHeight="1" x14ac:dyDescent="0.2">
      <c r="A38" s="356" t="s">
        <v>34</v>
      </c>
      <c r="B38" s="377">
        <f>+C38*$P$11</f>
        <v>15977.259999999998</v>
      </c>
      <c r="C38" s="403">
        <f>+SoCal!F40</f>
        <v>4901</v>
      </c>
      <c r="D38" s="388">
        <f>+SoCal!A40</f>
        <v>37060</v>
      </c>
      <c r="E38" t="s">
        <v>89</v>
      </c>
      <c r="F38" t="s">
        <v>108</v>
      </c>
    </row>
    <row r="39" spans="1:7" ht="18" customHeight="1" x14ac:dyDescent="0.2">
      <c r="A39" s="356" t="s">
        <v>124</v>
      </c>
      <c r="B39" s="377">
        <f>+C39*$P$11</f>
        <v>19080.78</v>
      </c>
      <c r="C39" s="403">
        <f>+'PG&amp;E'!D40</f>
        <v>5853</v>
      </c>
      <c r="D39" s="65">
        <f>+'PG&amp;E'!A40</f>
        <v>37060</v>
      </c>
      <c r="E39" t="s">
        <v>89</v>
      </c>
      <c r="F39" t="s">
        <v>112</v>
      </c>
    </row>
    <row r="40" spans="1:7" ht="18" customHeight="1" x14ac:dyDescent="0.2">
      <c r="A40" s="356" t="s">
        <v>103</v>
      </c>
      <c r="B40" s="377">
        <f>+C40*$P$11</f>
        <v>14210.339999999998</v>
      </c>
      <c r="C40" s="389">
        <f>+Mojave!D40</f>
        <v>4359</v>
      </c>
      <c r="D40" s="65">
        <f>+Mojave!A40</f>
        <v>37060</v>
      </c>
      <c r="E40" t="s">
        <v>89</v>
      </c>
      <c r="F40" t="s">
        <v>110</v>
      </c>
    </row>
    <row r="41" spans="1:7" ht="18" customHeight="1" x14ac:dyDescent="0.2">
      <c r="A41" s="356" t="s">
        <v>8</v>
      </c>
      <c r="B41" s="377">
        <f>+C41*$P$11</f>
        <v>36306.619999999995</v>
      </c>
      <c r="C41" s="403">
        <f>+Oasis!D40</f>
        <v>11137</v>
      </c>
      <c r="D41" s="65">
        <f>+Oasis!B40</f>
        <v>37060</v>
      </c>
      <c r="E41" t="s">
        <v>89</v>
      </c>
      <c r="F41" t="s">
        <v>112</v>
      </c>
    </row>
    <row r="42" spans="1:7" ht="18" customHeight="1" x14ac:dyDescent="0.2">
      <c r="A42" s="356" t="s">
        <v>7</v>
      </c>
      <c r="B42" s="377">
        <f>+C42*$P$10</f>
        <v>200878.02000000002</v>
      </c>
      <c r="C42" s="389">
        <f>+Amoco!D40</f>
        <v>76671</v>
      </c>
      <c r="D42" s="65">
        <f>+Amoco!A40</f>
        <v>37061</v>
      </c>
      <c r="E42" t="s">
        <v>89</v>
      </c>
      <c r="F42" t="s">
        <v>125</v>
      </c>
    </row>
    <row r="43" spans="1:7" ht="18" customHeight="1" x14ac:dyDescent="0.2">
      <c r="A43" s="356" t="s">
        <v>33</v>
      </c>
      <c r="B43" s="377">
        <f>+C43*$P$11</f>
        <v>191678.22</v>
      </c>
      <c r="C43" s="389">
        <f>+Lonestar!F42</f>
        <v>58797</v>
      </c>
      <c r="D43" s="317">
        <f>+Lonestar!B42</f>
        <v>37061</v>
      </c>
      <c r="E43" t="s">
        <v>89</v>
      </c>
      <c r="F43" t="s">
        <v>112</v>
      </c>
    </row>
    <row r="44" spans="1:7" ht="18" customHeight="1" x14ac:dyDescent="0.2">
      <c r="A44" s="356" t="s">
        <v>97</v>
      </c>
      <c r="B44" s="377">
        <f>+C44*$P$11</f>
        <v>299903.69999999995</v>
      </c>
      <c r="C44" s="389">
        <f>+NGPL!F38</f>
        <v>91995</v>
      </c>
      <c r="D44" s="65">
        <f>+NGPL!A38</f>
        <v>37061</v>
      </c>
      <c r="E44" t="s">
        <v>89</v>
      </c>
      <c r="F44" t="s">
        <v>125</v>
      </c>
    </row>
    <row r="45" spans="1:7" ht="18" customHeight="1" x14ac:dyDescent="0.2">
      <c r="A45" s="356" t="s">
        <v>35</v>
      </c>
      <c r="B45" s="377">
        <f>+'El Paso'!E38*summary!P10+'El Paso'!C38*summary!P11</f>
        <v>562220.68000000005</v>
      </c>
      <c r="C45" s="389">
        <f>+'El Paso'!H38</f>
        <v>202974</v>
      </c>
      <c r="D45" s="65">
        <f>+'El Paso'!A38</f>
        <v>37061</v>
      </c>
      <c r="E45" t="s">
        <v>89</v>
      </c>
      <c r="F45" t="s">
        <v>110</v>
      </c>
    </row>
    <row r="46" spans="1:7" ht="18" customHeight="1" x14ac:dyDescent="0.2">
      <c r="A46" s="357" t="s">
        <v>30</v>
      </c>
      <c r="B46" s="390">
        <f>+C46*$P$10</f>
        <v>774652.78</v>
      </c>
      <c r="C46" s="405">
        <f>+williams!J40</f>
        <v>295669</v>
      </c>
      <c r="D46" s="317">
        <f>+williams!A40</f>
        <v>37061</v>
      </c>
      <c r="E46" s="314" t="s">
        <v>89</v>
      </c>
      <c r="F46" s="314" t="s">
        <v>125</v>
      </c>
    </row>
    <row r="47" spans="1:7" ht="18" customHeight="1" x14ac:dyDescent="0.2">
      <c r="A47" s="297" t="s">
        <v>161</v>
      </c>
      <c r="B47" s="377">
        <f>SUM(B36:B46)</f>
        <v>2031035.32</v>
      </c>
      <c r="C47" s="403">
        <f>SUM(C36:C46)</f>
        <v>723634</v>
      </c>
      <c r="D47" s="314"/>
    </row>
    <row r="48" spans="1:7" ht="18" customHeight="1" x14ac:dyDescent="0.2">
      <c r="B48" s="401"/>
      <c r="C48" s="402"/>
    </row>
    <row r="49" spans="1:5" ht="18" customHeight="1" thickBot="1" x14ac:dyDescent="0.25">
      <c r="A49" s="34" t="s">
        <v>162</v>
      </c>
      <c r="B49" s="393">
        <f>+B47+B33</f>
        <v>6790615.1900000004</v>
      </c>
      <c r="C49" s="426">
        <f>+C47+C33</f>
        <v>2242820.6606390374</v>
      </c>
    </row>
    <row r="50" spans="1:5" ht="18" customHeight="1" thickTop="1" x14ac:dyDescent="0.2"/>
    <row r="51" spans="1:5" x14ac:dyDescent="0.2">
      <c r="C51" s="342"/>
    </row>
    <row r="54" spans="1:5" x14ac:dyDescent="0.2">
      <c r="A54" s="34" t="s">
        <v>101</v>
      </c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5">
        <v>-27894</v>
      </c>
      <c r="C6" s="80"/>
      <c r="D6" s="80">
        <f t="shared" ref="D6:D14" si="0">+C6-B6</f>
        <v>27894</v>
      </c>
    </row>
    <row r="7" spans="1:8" x14ac:dyDescent="0.2">
      <c r="A7" s="32">
        <v>3531</v>
      </c>
      <c r="B7" s="375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75">
        <f>-793636-28215</f>
        <v>-821851</v>
      </c>
      <c r="C8" s="80">
        <v>-56295</v>
      </c>
      <c r="D8" s="80">
        <f t="shared" si="0"/>
        <v>765556</v>
      </c>
      <c r="H8" s="255"/>
    </row>
    <row r="9" spans="1:8" x14ac:dyDescent="0.2">
      <c r="A9" s="32">
        <v>60749</v>
      </c>
      <c r="B9" s="369">
        <f>350527+25960</f>
        <v>376487</v>
      </c>
      <c r="C9" s="80">
        <v>-603224</v>
      </c>
      <c r="D9" s="80">
        <f t="shared" si="0"/>
        <v>-979711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5">
        <f>-76062-45847</f>
        <v>-121909</v>
      </c>
      <c r="C11" s="80"/>
      <c r="D11" s="80">
        <f t="shared" si="0"/>
        <v>121909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40742</v>
      </c>
    </row>
    <row r="19" spans="1:5" x14ac:dyDescent="0.2">
      <c r="A19" s="32" t="s">
        <v>86</v>
      </c>
      <c r="B19" s="69"/>
      <c r="C19" s="69"/>
      <c r="D19" s="73">
        <f>+summary!P11</f>
        <v>3.26</v>
      </c>
    </row>
    <row r="20" spans="1:5" x14ac:dyDescent="0.2">
      <c r="B20" s="69"/>
      <c r="C20" s="69"/>
      <c r="D20" s="75">
        <f>+D19*D18</f>
        <v>132818.91999999998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4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37061</v>
      </c>
      <c r="B24" s="69"/>
      <c r="C24" s="69"/>
      <c r="D24" s="384">
        <f>+D22+D20</f>
        <v>1309914.5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331">
        <f>-35015-2304</f>
        <v>-37319</v>
      </c>
      <c r="C5" s="90">
        <v>-34845</v>
      </c>
      <c r="D5" s="90">
        <f t="shared" ref="D5:D13" si="0">+C5-B5</f>
        <v>2474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1">
        <f>-1852678-104949</f>
        <v>-1957627</v>
      </c>
      <c r="C7" s="90">
        <v>-1863018</v>
      </c>
      <c r="D7" s="90">
        <f t="shared" si="0"/>
        <v>94609</v>
      </c>
      <c r="E7" s="287"/>
      <c r="F7" s="70"/>
    </row>
    <row r="8" spans="1:13" x14ac:dyDescent="0.2">
      <c r="A8" s="87">
        <v>58710</v>
      </c>
      <c r="B8" s="331">
        <v>-35707</v>
      </c>
      <c r="C8" s="90">
        <v>-6114</v>
      </c>
      <c r="D8" s="90">
        <f t="shared" si="0"/>
        <v>29593</v>
      </c>
      <c r="E8" s="287"/>
      <c r="F8" s="70"/>
    </row>
    <row r="9" spans="1:13" x14ac:dyDescent="0.2">
      <c r="A9" s="87">
        <v>60921</v>
      </c>
      <c r="B9" s="331">
        <f>1317136+85581</f>
        <v>1402717</v>
      </c>
      <c r="C9" s="90">
        <v>1280106</v>
      </c>
      <c r="D9" s="90">
        <f t="shared" si="0"/>
        <v>-122611</v>
      </c>
      <c r="E9" s="287"/>
      <c r="F9" s="70"/>
    </row>
    <row r="10" spans="1:13" x14ac:dyDescent="0.2">
      <c r="A10" s="87">
        <v>78026</v>
      </c>
      <c r="B10" s="331">
        <v>5896</v>
      </c>
      <c r="C10" s="90">
        <v>54373</v>
      </c>
      <c r="D10" s="90">
        <f t="shared" si="0"/>
        <v>48477</v>
      </c>
      <c r="E10" s="287"/>
      <c r="F10" s="285"/>
    </row>
    <row r="11" spans="1:13" x14ac:dyDescent="0.2">
      <c r="A11" s="87">
        <v>500084</v>
      </c>
      <c r="B11" s="331">
        <f>-6855-729</f>
        <v>-7584</v>
      </c>
      <c r="C11" s="90">
        <v>-19000</v>
      </c>
      <c r="D11" s="90">
        <f t="shared" si="0"/>
        <v>-11416</v>
      </c>
      <c r="E11" s="288"/>
      <c r="F11" s="285"/>
    </row>
    <row r="12" spans="1:13" x14ac:dyDescent="0.2">
      <c r="A12" s="358">
        <v>500085</v>
      </c>
      <c r="B12" s="90">
        <f>-5975-1</f>
        <v>-5976</v>
      </c>
      <c r="C12" s="90"/>
      <c r="D12" s="90">
        <f t="shared" si="0"/>
        <v>5976</v>
      </c>
      <c r="E12" s="287"/>
      <c r="F12" s="285"/>
    </row>
    <row r="13" spans="1:13" x14ac:dyDescent="0.2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47102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3.26</v>
      </c>
      <c r="E18" s="289"/>
      <c r="F18" s="285"/>
    </row>
    <row r="19" spans="1:7" x14ac:dyDescent="0.2">
      <c r="A19" s="87"/>
      <c r="B19" s="88"/>
      <c r="C19" s="88"/>
      <c r="D19" s="96">
        <f>+D18*D17</f>
        <v>153552.51999999999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8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37061</v>
      </c>
      <c r="B23" s="88"/>
      <c r="C23" s="88"/>
      <c r="D23" s="359">
        <f>+D21+D19</f>
        <v>751131.23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4" sqref="A14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-6833</v>
      </c>
      <c r="E11" s="90">
        <v>-29491</v>
      </c>
      <c r="F11" s="90">
        <f t="shared" si="0"/>
        <v>-20712</v>
      </c>
    </row>
    <row r="12" spans="1:6" x14ac:dyDescent="0.2">
      <c r="A12">
        <v>10</v>
      </c>
      <c r="B12" s="90">
        <v>55568</v>
      </c>
      <c r="C12" s="90">
        <v>53798</v>
      </c>
      <c r="D12" s="90">
        <v>-22643</v>
      </c>
      <c r="E12" s="90">
        <v>-29491</v>
      </c>
      <c r="F12" s="90">
        <f t="shared" si="0"/>
        <v>-8618</v>
      </c>
    </row>
    <row r="13" spans="1:6" x14ac:dyDescent="0.2">
      <c r="A13">
        <v>11</v>
      </c>
      <c r="B13" s="90">
        <v>56114</v>
      </c>
      <c r="C13" s="90">
        <v>54900</v>
      </c>
      <c r="D13" s="90">
        <v>-25075</v>
      </c>
      <c r="E13" s="90">
        <v>-29491</v>
      </c>
      <c r="F13" s="90">
        <f t="shared" si="0"/>
        <v>-5630</v>
      </c>
    </row>
    <row r="14" spans="1:6" x14ac:dyDescent="0.2">
      <c r="A14">
        <v>12</v>
      </c>
      <c r="B14" s="88">
        <v>53935</v>
      </c>
      <c r="C14" s="88">
        <v>52158</v>
      </c>
      <c r="D14" s="88">
        <v>-9539</v>
      </c>
      <c r="E14" s="88"/>
      <c r="F14" s="90">
        <f t="shared" si="0"/>
        <v>7762</v>
      </c>
    </row>
    <row r="15" spans="1:6" x14ac:dyDescent="0.2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">
      <c r="A20">
        <v>18</v>
      </c>
      <c r="B20" s="378">
        <v>48894</v>
      </c>
      <c r="C20" s="378">
        <v>47151</v>
      </c>
      <c r="D20" s="14"/>
      <c r="E20" s="14"/>
      <c r="F20" s="90">
        <f t="shared" si="0"/>
        <v>-1743</v>
      </c>
    </row>
    <row r="21" spans="1:6" x14ac:dyDescent="0.2">
      <c r="A21">
        <v>19</v>
      </c>
      <c r="B21" s="378">
        <v>30288</v>
      </c>
      <c r="C21" s="378">
        <v>46579</v>
      </c>
      <c r="D21" s="14"/>
      <c r="E21" s="14"/>
      <c r="F21" s="90">
        <f t="shared" si="0"/>
        <v>16291</v>
      </c>
    </row>
    <row r="22" spans="1:6" x14ac:dyDescent="0.2">
      <c r="A22">
        <v>20</v>
      </c>
      <c r="B22" s="378"/>
      <c r="C22" s="378"/>
      <c r="D22" s="14"/>
      <c r="E22" s="14"/>
      <c r="F22" s="90">
        <f t="shared" si="0"/>
        <v>0</v>
      </c>
    </row>
    <row r="23" spans="1:6" x14ac:dyDescent="0.2">
      <c r="A23">
        <v>21</v>
      </c>
      <c r="B23" s="378"/>
      <c r="C23" s="378"/>
      <c r="D23" s="14"/>
      <c r="E23" s="14"/>
      <c r="F23" s="90">
        <f t="shared" si="0"/>
        <v>0</v>
      </c>
    </row>
    <row r="24" spans="1:6" x14ac:dyDescent="0.2">
      <c r="A24">
        <v>22</v>
      </c>
      <c r="B24" s="378"/>
      <c r="C24" s="378"/>
      <c r="D24" s="14"/>
      <c r="E24" s="14"/>
      <c r="F24" s="90">
        <f t="shared" si="0"/>
        <v>0</v>
      </c>
    </row>
    <row r="25" spans="1:6" x14ac:dyDescent="0.2">
      <c r="A25">
        <v>23</v>
      </c>
      <c r="B25" s="378"/>
      <c r="C25" s="378"/>
      <c r="D25" s="14"/>
      <c r="E25" s="14"/>
      <c r="F25" s="90">
        <f t="shared" si="0"/>
        <v>0</v>
      </c>
    </row>
    <row r="26" spans="1:6" x14ac:dyDescent="0.2">
      <c r="A26">
        <v>24</v>
      </c>
      <c r="B26" s="378"/>
      <c r="C26" s="378"/>
      <c r="D26" s="14"/>
      <c r="E26" s="14"/>
      <c r="F26" s="90">
        <f t="shared" si="0"/>
        <v>0</v>
      </c>
    </row>
    <row r="27" spans="1:6" x14ac:dyDescent="0.2">
      <c r="A27">
        <v>25</v>
      </c>
      <c r="B27" s="378"/>
      <c r="C27" s="378"/>
      <c r="D27" s="14"/>
      <c r="E27" s="14"/>
      <c r="F27" s="90">
        <f t="shared" si="0"/>
        <v>0</v>
      </c>
    </row>
    <row r="28" spans="1:6" x14ac:dyDescent="0.2">
      <c r="A28">
        <v>26</v>
      </c>
      <c r="B28" s="378"/>
      <c r="C28" s="378"/>
      <c r="D28" s="14"/>
      <c r="E28" s="14"/>
      <c r="F28" s="90">
        <f t="shared" si="0"/>
        <v>0</v>
      </c>
    </row>
    <row r="29" spans="1:6" x14ac:dyDescent="0.2">
      <c r="A29">
        <v>27</v>
      </c>
      <c r="B29" s="378"/>
      <c r="C29" s="378"/>
      <c r="D29" s="14"/>
      <c r="E29" s="14"/>
      <c r="F29" s="90">
        <f t="shared" si="0"/>
        <v>0</v>
      </c>
    </row>
    <row r="30" spans="1:6" x14ac:dyDescent="0.2">
      <c r="A30">
        <v>28</v>
      </c>
      <c r="B30" s="378"/>
      <c r="C30" s="378"/>
      <c r="D30" s="14"/>
      <c r="E30" s="14"/>
      <c r="F30" s="90">
        <f t="shared" si="0"/>
        <v>0</v>
      </c>
    </row>
    <row r="31" spans="1:6" x14ac:dyDescent="0.2">
      <c r="A31">
        <v>29</v>
      </c>
      <c r="B31" s="378"/>
      <c r="C31" s="378"/>
      <c r="D31" s="14"/>
      <c r="E31" s="14"/>
      <c r="F31" s="90">
        <f t="shared" si="0"/>
        <v>0</v>
      </c>
    </row>
    <row r="32" spans="1:6" x14ac:dyDescent="0.2">
      <c r="A32">
        <v>30</v>
      </c>
      <c r="B32" s="378"/>
      <c r="C32" s="378"/>
      <c r="D32" s="14"/>
      <c r="E32" s="14"/>
      <c r="F32" s="90">
        <f t="shared" si="0"/>
        <v>0</v>
      </c>
    </row>
    <row r="33" spans="1:6" x14ac:dyDescent="0.2">
      <c r="A33">
        <v>31</v>
      </c>
      <c r="B33" s="378"/>
      <c r="C33" s="378"/>
      <c r="D33" s="14"/>
      <c r="E33" s="14"/>
      <c r="F33" s="90">
        <f t="shared" si="0"/>
        <v>0</v>
      </c>
    </row>
    <row r="34" spans="1:6" x14ac:dyDescent="0.2">
      <c r="B34" s="299">
        <f>SUM(B3:B33)</f>
        <v>1023314</v>
      </c>
      <c r="C34" s="299">
        <f>SUM(C3:C33)</f>
        <v>1046387</v>
      </c>
      <c r="D34" s="14">
        <f>SUM(D3:D33)</f>
        <v>-64868</v>
      </c>
      <c r="E34" s="14">
        <f>SUM(E3:E33)</f>
        <v>-88473</v>
      </c>
      <c r="F34" s="14">
        <f>SUM(F3:F33)</f>
        <v>-532</v>
      </c>
    </row>
    <row r="35" spans="1:6" x14ac:dyDescent="0.2">
      <c r="D35" s="14"/>
      <c r="E35" s="14"/>
      <c r="F35" s="14"/>
    </row>
    <row r="36" spans="1:6" x14ac:dyDescent="0.2">
      <c r="F36" s="383"/>
    </row>
    <row r="37" spans="1:6" x14ac:dyDescent="0.2">
      <c r="A37" s="264">
        <v>37042</v>
      </c>
      <c r="B37" s="14"/>
      <c r="C37" s="14"/>
      <c r="D37" s="14"/>
      <c r="E37" s="14"/>
      <c r="F37" s="407">
        <f>37616+54911</f>
        <v>92527</v>
      </c>
    </row>
    <row r="38" spans="1:6" x14ac:dyDescent="0.2">
      <c r="A38" s="264">
        <v>37061</v>
      </c>
      <c r="B38" s="14"/>
      <c r="C38" s="14"/>
      <c r="D38" s="14"/>
      <c r="E38" s="14"/>
      <c r="F38" s="150">
        <f>+F37+F34</f>
        <v>91995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B42" sqref="B42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579667</v>
      </c>
      <c r="C35" s="11">
        <f>SUM(C4:C34)</f>
        <v>580076</v>
      </c>
      <c r="D35" s="11">
        <f>SUM(D4:D34)</f>
        <v>409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37060</v>
      </c>
      <c r="D40" s="51">
        <f>+D38+D35</f>
        <v>4359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6" workbookViewId="3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23201</v>
      </c>
      <c r="C16" s="11">
        <v>17587</v>
      </c>
      <c r="D16" s="11">
        <v>8408</v>
      </c>
      <c r="E16" s="11">
        <v>9500</v>
      </c>
      <c r="F16" s="11">
        <v>10408</v>
      </c>
      <c r="G16" s="11">
        <v>20000</v>
      </c>
      <c r="H16" s="11"/>
      <c r="I16" s="11"/>
      <c r="J16" s="11">
        <f t="shared" si="0"/>
        <v>5070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22975</v>
      </c>
      <c r="C17" s="11">
        <v>21628</v>
      </c>
      <c r="D17" s="11">
        <v>9703</v>
      </c>
      <c r="E17" s="11">
        <v>9500</v>
      </c>
      <c r="F17" s="11">
        <v>8613</v>
      </c>
      <c r="G17" s="11">
        <v>20000</v>
      </c>
      <c r="H17" s="11">
        <v>0</v>
      </c>
      <c r="I17" s="11"/>
      <c r="J17" s="11">
        <f t="shared" si="0"/>
        <v>9837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22471</v>
      </c>
      <c r="C18" s="11">
        <v>19367</v>
      </c>
      <c r="D18" s="11">
        <v>9339</v>
      </c>
      <c r="E18" s="11">
        <v>9500</v>
      </c>
      <c r="F18" s="11">
        <v>8669</v>
      </c>
      <c r="G18" s="11">
        <v>20000</v>
      </c>
      <c r="H18" s="11">
        <v>648</v>
      </c>
      <c r="I18" s="11"/>
      <c r="J18" s="11">
        <f t="shared" si="0"/>
        <v>7740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22716</v>
      </c>
      <c r="C19" s="11">
        <v>16905</v>
      </c>
      <c r="D19" s="11">
        <v>9106</v>
      </c>
      <c r="E19" s="11">
        <v>9500</v>
      </c>
      <c r="F19" s="11">
        <v>9397</v>
      </c>
      <c r="G19" s="11">
        <v>9000</v>
      </c>
      <c r="H19" s="11"/>
      <c r="I19" s="11"/>
      <c r="J19" s="11">
        <f t="shared" si="0"/>
        <v>-5814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22617</v>
      </c>
      <c r="C20" s="11">
        <v>10973</v>
      </c>
      <c r="D20" s="11">
        <v>9795</v>
      </c>
      <c r="E20" s="11">
        <v>9500</v>
      </c>
      <c r="F20" s="11">
        <v>9770</v>
      </c>
      <c r="G20" s="11">
        <v>9000</v>
      </c>
      <c r="H20" s="11"/>
      <c r="I20" s="11"/>
      <c r="J20" s="11">
        <f t="shared" si="0"/>
        <v>-12709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22681</v>
      </c>
      <c r="C21" s="11">
        <v>23500</v>
      </c>
      <c r="D21" s="11">
        <v>9623</v>
      </c>
      <c r="E21" s="11">
        <v>9500</v>
      </c>
      <c r="F21" s="11">
        <v>9923</v>
      </c>
      <c r="G21" s="11">
        <v>9000</v>
      </c>
      <c r="H21" s="11"/>
      <c r="I21" s="11"/>
      <c r="J21" s="11">
        <f t="shared" si="0"/>
        <v>-227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423346</v>
      </c>
      <c r="C35" s="11">
        <f t="shared" ref="C35:I35" si="1">SUM(C4:C34)</f>
        <v>398854</v>
      </c>
      <c r="D35" s="11">
        <f t="shared" si="1"/>
        <v>166680</v>
      </c>
      <c r="E35" s="11">
        <f t="shared" si="1"/>
        <v>163537</v>
      </c>
      <c r="F35" s="11">
        <f t="shared" si="1"/>
        <v>153039</v>
      </c>
      <c r="G35" s="11">
        <f t="shared" si="1"/>
        <v>173000</v>
      </c>
      <c r="H35" s="11">
        <f t="shared" si="1"/>
        <v>1314</v>
      </c>
      <c r="I35" s="11">
        <f t="shared" si="1"/>
        <v>0</v>
      </c>
      <c r="J35" s="11">
        <f>SUM(J4:J34)</f>
        <v>-8988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3.26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-29300.879999999997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5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3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37060</v>
      </c>
      <c r="J41" s="363">
        <f>+J39+J37</f>
        <v>380154.11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9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1083868</v>
      </c>
      <c r="E37" s="24">
        <f>SUM(E6:E36)</f>
        <v>1107826</v>
      </c>
      <c r="F37" s="24">
        <f>SUM(F6:F36)</f>
        <v>23958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3.26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78103.08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10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37060</v>
      </c>
      <c r="E41" s="14"/>
      <c r="F41" s="104">
        <f>+F40+F39</f>
        <v>405767.37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D47" sqref="D47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8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173</v>
      </c>
      <c r="E39" s="11">
        <f>SUM(E8:E38)</f>
        <v>40</v>
      </c>
      <c r="F39" s="25">
        <f>SUM(F8:F38)</f>
        <v>-133</v>
      </c>
    </row>
    <row r="40" spans="1:6" x14ac:dyDescent="0.2">
      <c r="A40" s="26"/>
      <c r="C40" s="14"/>
      <c r="F40" s="261">
        <f>+summary!P11</f>
        <v>3.26</v>
      </c>
    </row>
    <row r="41" spans="1:6" x14ac:dyDescent="0.2">
      <c r="F41" s="138">
        <f>+F40*F39</f>
        <v>-433.58</v>
      </c>
    </row>
    <row r="42" spans="1:6" x14ac:dyDescent="0.2">
      <c r="A42" s="57">
        <v>37042</v>
      </c>
      <c r="C42" s="15"/>
      <c r="F42" s="408">
        <v>-18571.37</v>
      </c>
    </row>
    <row r="43" spans="1:6" x14ac:dyDescent="0.2">
      <c r="A43" s="57">
        <v>37060</v>
      </c>
      <c r="C43" s="48"/>
      <c r="F43" s="138">
        <f>+F42+F41</f>
        <v>-19004.95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F38" sqref="F38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3.26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8">
        <v>326755</v>
      </c>
    </row>
    <row r="43" spans="1:4" x14ac:dyDescent="0.2">
      <c r="A43" s="57">
        <v>37059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workbookViewId="3">
      <selection activeCell="B12" sqref="B1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">
      <c r="A21" s="10">
        <v>16</v>
      </c>
      <c r="B21" s="11">
        <v>-41479</v>
      </c>
      <c r="C21" s="11">
        <v>-40000</v>
      </c>
      <c r="D21" s="25">
        <f t="shared" si="0"/>
        <v>1479</v>
      </c>
    </row>
    <row r="22" spans="1:4" x14ac:dyDescent="0.2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">
      <c r="A23" s="10">
        <v>18</v>
      </c>
      <c r="B23" s="11">
        <v>-41244</v>
      </c>
      <c r="C23" s="11">
        <v>-50000</v>
      </c>
      <c r="D23" s="25">
        <f t="shared" si="0"/>
        <v>-8756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-904186</v>
      </c>
      <c r="C37" s="11">
        <f>SUM(C6:C36)</f>
        <v>-921793</v>
      </c>
      <c r="D37" s="25">
        <f>SUM(D6:D36)</f>
        <v>-17607</v>
      </c>
    </row>
    <row r="38" spans="1:4" x14ac:dyDescent="0.2">
      <c r="A38" s="26"/>
      <c r="C38" s="14"/>
      <c r="D38" s="376">
        <f>+summary!P11</f>
        <v>3.26</v>
      </c>
    </row>
    <row r="39" spans="1:4" x14ac:dyDescent="0.2">
      <c r="D39" s="138">
        <f>+D38*D37</f>
        <v>-57398.82</v>
      </c>
    </row>
    <row r="40" spans="1:4" x14ac:dyDescent="0.2">
      <c r="A40" s="57">
        <v>37042</v>
      </c>
      <c r="C40" s="15"/>
      <c r="D40" s="408">
        <v>-357096.85</v>
      </c>
    </row>
    <row r="41" spans="1:4" x14ac:dyDescent="0.2">
      <c r="A41" s="57">
        <v>37060</v>
      </c>
      <c r="C41" s="48"/>
      <c r="D41" s="138">
        <f>+D40+D39</f>
        <v>-414495.67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346659</v>
      </c>
      <c r="C37" s="11">
        <f>SUM(C6:C36)</f>
        <v>381997</v>
      </c>
      <c r="D37" s="25">
        <f>SUM(D6:D36)</f>
        <v>35338</v>
      </c>
    </row>
    <row r="38" spans="1:4" x14ac:dyDescent="0.2">
      <c r="A38" s="26"/>
      <c r="C38" s="14"/>
      <c r="D38" s="376">
        <f>+summary!P12</f>
        <v>3.59</v>
      </c>
    </row>
    <row r="39" spans="1:4" x14ac:dyDescent="0.2">
      <c r="D39" s="138">
        <f>+D38*D37</f>
        <v>126863.42</v>
      </c>
    </row>
    <row r="40" spans="1:4" x14ac:dyDescent="0.2">
      <c r="A40" s="57">
        <v>37042</v>
      </c>
      <c r="C40" s="15"/>
      <c r="D40" s="408">
        <v>-112130.12</v>
      </c>
    </row>
    <row r="41" spans="1:4" x14ac:dyDescent="0.2">
      <c r="A41" s="57">
        <v>37060</v>
      </c>
      <c r="C41" s="48"/>
      <c r="D41" s="138">
        <f>+D40+D39</f>
        <v>14733.300000000003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0" workbookViewId="3">
      <selection activeCell="F22" sqref="F22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317994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2022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6147602</v>
      </c>
      <c r="C35" s="11">
        <f t="shared" ref="C35:I35" si="1">SUM(C4:C34)</f>
        <v>6372925</v>
      </c>
      <c r="D35" s="11">
        <f t="shared" si="1"/>
        <v>1059301</v>
      </c>
      <c r="E35" s="11">
        <f t="shared" si="1"/>
        <v>987233</v>
      </c>
      <c r="F35" s="11">
        <f t="shared" si="1"/>
        <v>1369258</v>
      </c>
      <c r="G35" s="11">
        <f t="shared" si="1"/>
        <v>1287056</v>
      </c>
      <c r="H35" s="11">
        <f t="shared" si="1"/>
        <v>1488686</v>
      </c>
      <c r="I35" s="11">
        <f t="shared" si="1"/>
        <v>1434523</v>
      </c>
      <c r="J35" s="11">
        <f>SUM(J4:J34)</f>
        <v>16890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6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37061</v>
      </c>
      <c r="J40" s="51">
        <f>+J38+J35</f>
        <v>295669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51" sqref="C51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1053519</v>
      </c>
      <c r="C37" s="11">
        <f>SUM(C6:C36)</f>
        <v>1050190</v>
      </c>
      <c r="D37" s="25">
        <f>SUM(D6:D36)</f>
        <v>-3329</v>
      </c>
    </row>
    <row r="38" spans="1:4" x14ac:dyDescent="0.2">
      <c r="A38" s="26"/>
      <c r="C38" s="14"/>
      <c r="D38" s="376">
        <f>+summary!P11</f>
        <v>3.26</v>
      </c>
    </row>
    <row r="39" spans="1:4" x14ac:dyDescent="0.2">
      <c r="D39" s="138">
        <f>+D38*D37</f>
        <v>-10852.539999999999</v>
      </c>
    </row>
    <row r="40" spans="1:4" x14ac:dyDescent="0.2">
      <c r="A40" s="57">
        <v>37042</v>
      </c>
      <c r="C40" s="15"/>
      <c r="D40" s="408">
        <v>817965.6</v>
      </c>
    </row>
    <row r="41" spans="1:4" x14ac:dyDescent="0.2">
      <c r="A41" s="57">
        <v>37061</v>
      </c>
      <c r="C41" s="48"/>
      <c r="D41" s="138">
        <f>+D40+D39</f>
        <v>807113.05999999994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9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-32458</v>
      </c>
      <c r="C37" s="11">
        <f>SUM(C6:C36)</f>
        <v>-44006</v>
      </c>
      <c r="D37" s="25">
        <f>SUM(D6:D36)</f>
        <v>-11548</v>
      </c>
    </row>
    <row r="38" spans="1:4" x14ac:dyDescent="0.2">
      <c r="A38" s="26"/>
      <c r="C38" s="14"/>
      <c r="D38" s="376">
        <f>+summary!P11</f>
        <v>3.26</v>
      </c>
    </row>
    <row r="39" spans="1:4" x14ac:dyDescent="0.2">
      <c r="D39" s="138">
        <f>+D38*D37</f>
        <v>-37646.479999999996</v>
      </c>
    </row>
    <row r="40" spans="1:4" x14ac:dyDescent="0.2">
      <c r="A40" s="57">
        <v>37042</v>
      </c>
      <c r="C40" s="15"/>
      <c r="D40" s="408">
        <v>-304459</v>
      </c>
    </row>
    <row r="41" spans="1:4" x14ac:dyDescent="0.2">
      <c r="A41" s="57">
        <v>37060</v>
      </c>
      <c r="C41" s="48"/>
      <c r="D41" s="138">
        <f>+D40+D39</f>
        <v>-342105.48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0" workbookViewId="3">
      <selection activeCell="B25" sqref="B25"/>
    </sheetView>
  </sheetViews>
  <sheetFormatPr defaultRowHeight="12.75" x14ac:dyDescent="0.2"/>
  <cols>
    <col min="4" max="4" width="10.7109375" bestFit="1" customWidth="1"/>
  </cols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9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-19199</v>
      </c>
      <c r="D15" s="25">
        <f t="shared" si="0"/>
        <v>-2000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-589998</v>
      </c>
      <c r="C37" s="11">
        <f>SUM(C6:C36)</f>
        <v>-559175</v>
      </c>
      <c r="D37" s="25">
        <f>SUM(D6:D36)</f>
        <v>30823</v>
      </c>
    </row>
    <row r="38" spans="1:4" x14ac:dyDescent="0.2">
      <c r="A38" s="26"/>
      <c r="C38" s="14"/>
      <c r="D38" s="376">
        <f>+summary!P11</f>
        <v>3.26</v>
      </c>
    </row>
    <row r="39" spans="1:4" x14ac:dyDescent="0.2">
      <c r="D39" s="138">
        <f>+D38*D37</f>
        <v>100482.98</v>
      </c>
    </row>
    <row r="40" spans="1:4" x14ac:dyDescent="0.2">
      <c r="A40" s="57">
        <v>37042</v>
      </c>
      <c r="C40" s="15"/>
      <c r="D40" s="408">
        <v>57398.07</v>
      </c>
    </row>
    <row r="41" spans="1:4" x14ac:dyDescent="0.2">
      <c r="A41" s="57">
        <v>37061</v>
      </c>
      <c r="C41" s="48"/>
      <c r="D41" s="138">
        <f>+D40+D39</f>
        <v>157881.04999999999</v>
      </c>
    </row>
    <row r="42" spans="1:4" x14ac:dyDescent="0.2">
      <c r="D42" s="24"/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3">
        <v>-1</v>
      </c>
      <c r="C5" s="90">
        <v>-7125</v>
      </c>
      <c r="D5" s="90">
        <f>+C5-B5</f>
        <v>-7124</v>
      </c>
      <c r="E5" s="287"/>
      <c r="F5" s="285"/>
    </row>
    <row r="6" spans="1:13" x14ac:dyDescent="0.2">
      <c r="A6" s="87">
        <v>500046</v>
      </c>
      <c r="B6" s="90"/>
      <c r="C6" s="90">
        <v>-428</v>
      </c>
      <c r="D6" s="90">
        <f t="shared" ref="D6:D11" si="0">+C6-B6</f>
        <v>-428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>
        <v>-246</v>
      </c>
      <c r="C8" s="90">
        <v>-287</v>
      </c>
      <c r="D8" s="90">
        <f t="shared" si="0"/>
        <v>-41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7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-7593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3.26</v>
      </c>
      <c r="E13" s="289"/>
      <c r="F13" s="285"/>
    </row>
    <row r="14" spans="1:13" x14ac:dyDescent="0.2">
      <c r="A14" s="87"/>
      <c r="B14" s="88"/>
      <c r="C14" s="88"/>
      <c r="D14" s="96">
        <f>+D13*D12</f>
        <v>-24753.179999999997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8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37058</v>
      </c>
      <c r="B18" s="88"/>
      <c r="C18" s="88"/>
      <c r="D18" s="359">
        <f>+D16+D14</f>
        <v>-868696.20000000007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158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-245900</v>
      </c>
      <c r="C37" s="11">
        <f>SUM(C6:C36)</f>
        <v>-287297</v>
      </c>
      <c r="D37" s="25">
        <f>SUM(D6:D36)</f>
        <v>-41397</v>
      </c>
    </row>
    <row r="38" spans="1:4" x14ac:dyDescent="0.2">
      <c r="A38" s="26"/>
      <c r="C38" s="14"/>
      <c r="D38" s="424"/>
    </row>
    <row r="39" spans="1:4" x14ac:dyDescent="0.2">
      <c r="D39" s="138"/>
    </row>
    <row r="40" spans="1:4" x14ac:dyDescent="0.2">
      <c r="A40" s="57">
        <v>37042</v>
      </c>
      <c r="C40" s="15"/>
      <c r="D40" s="406">
        <v>27926</v>
      </c>
    </row>
    <row r="41" spans="1:4" x14ac:dyDescent="0.2">
      <c r="A41" s="57">
        <v>37061</v>
      </c>
      <c r="C41" s="48"/>
      <c r="D41" s="25">
        <f>+D40+D37</f>
        <v>-13471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7" workbookViewId="3">
      <selection activeCell="C51" sqref="C5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148998</v>
      </c>
      <c r="C17" s="11">
        <v>147884</v>
      </c>
      <c r="D17" s="25">
        <f t="shared" si="0"/>
        <v>-1114</v>
      </c>
    </row>
    <row r="18" spans="1:4" x14ac:dyDescent="0.2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">
      <c r="A23" s="10">
        <v>17</v>
      </c>
      <c r="B23" s="11">
        <v>165132</v>
      </c>
      <c r="C23" s="11">
        <v>163829</v>
      </c>
      <c r="D23" s="25">
        <f t="shared" si="0"/>
        <v>-1303</v>
      </c>
    </row>
    <row r="24" spans="1:4" x14ac:dyDescent="0.2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">
      <c r="A25" s="10">
        <v>19</v>
      </c>
      <c r="B25" s="11">
        <v>143789</v>
      </c>
      <c r="C25" s="11">
        <v>142715</v>
      </c>
      <c r="D25" s="25">
        <f t="shared" si="0"/>
        <v>-1074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2799881</v>
      </c>
      <c r="C38" s="11">
        <f>SUM(C7:C37)</f>
        <v>2801845</v>
      </c>
      <c r="D38" s="11">
        <f>SUM(D7:D37)</f>
        <v>1964</v>
      </c>
    </row>
    <row r="39" spans="1:4" x14ac:dyDescent="0.2">
      <c r="A39" s="26"/>
      <c r="C39" s="14"/>
      <c r="D39" s="106">
        <f>+summary!P10</f>
        <v>2.62</v>
      </c>
    </row>
    <row r="40" spans="1:4" x14ac:dyDescent="0.2">
      <c r="D40" s="138">
        <f>+D39*D38</f>
        <v>5145.68</v>
      </c>
    </row>
    <row r="41" spans="1:4" x14ac:dyDescent="0.2">
      <c r="A41" s="57">
        <v>37042</v>
      </c>
      <c r="C41" s="15"/>
      <c r="D41" s="419">
        <v>0</v>
      </c>
    </row>
    <row r="42" spans="1:4" x14ac:dyDescent="0.2">
      <c r="A42" s="57">
        <v>37061</v>
      </c>
      <c r="D42" s="363">
        <f>+D41+D40</f>
        <v>5145.68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workbookViewId="3">
      <selection activeCell="B18" sqref="B18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157</v>
      </c>
      <c r="E23" s="11">
        <v>6000</v>
      </c>
      <c r="F23" s="11">
        <f t="shared" si="0"/>
        <v>-5843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287123</v>
      </c>
      <c r="C36" s="44">
        <f>SUM(C5:C35)</f>
        <v>23286</v>
      </c>
      <c r="D36" s="43">
        <f>SUM(D5:D35)</f>
        <v>215865</v>
      </c>
      <c r="E36" s="44">
        <f>SUM(E5:E35)</f>
        <v>482800</v>
      </c>
      <c r="F36" s="11">
        <f>SUM(F5:F35)</f>
        <v>-3098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263837</v>
      </c>
      <c r="D37" s="24"/>
      <c r="E37" s="24">
        <f>+D36-E36</f>
        <v>-266935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37061</v>
      </c>
      <c r="C42" s="14"/>
      <c r="D42" s="50"/>
      <c r="E42" s="50"/>
      <c r="F42" s="51">
        <f>+F41+F36</f>
        <v>58797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C47" sqref="C47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">
      <c r="A21" s="10">
        <v>18</v>
      </c>
      <c r="B21" s="11">
        <v>58054</v>
      </c>
      <c r="C21" s="11">
        <v>58951</v>
      </c>
      <c r="D21" s="25">
        <f t="shared" si="0"/>
        <v>897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1982326</v>
      </c>
      <c r="C35" s="11">
        <f>SUM(C4:C34)</f>
        <v>1998224</v>
      </c>
      <c r="D35" s="11">
        <f>SUM(D4:D34)</f>
        <v>15898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37060</v>
      </c>
      <c r="D40" s="24">
        <f>+D38+D35</f>
        <v>5853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workbookViewId="3">
      <selection activeCell="E21" sqref="E21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13509986</v>
      </c>
      <c r="C35" s="11">
        <f>SUM(C4:C34)</f>
        <v>13495238</v>
      </c>
      <c r="D35" s="11">
        <f>SUM(D4:D34)</f>
        <v>231500</v>
      </c>
      <c r="E35" s="11">
        <f>SUM(E4:E34)</f>
        <v>272714</v>
      </c>
      <c r="F35" s="11">
        <f>SUM(F4:F34)</f>
        <v>26466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7">
        <v>-21565</v>
      </c>
    </row>
    <row r="39" spans="1:45" x14ac:dyDescent="0.2">
      <c r="A39" s="2"/>
      <c r="F39" s="24"/>
    </row>
    <row r="40" spans="1:45" x14ac:dyDescent="0.2">
      <c r="A40" s="57">
        <v>37060</v>
      </c>
      <c r="F40" s="51">
        <f>+F38+F35</f>
        <v>4901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30" workbookViewId="3">
      <selection activeCell="B47" sqref="B4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-12509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121878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442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117664</v>
      </c>
      <c r="C17" s="11">
        <v>53077</v>
      </c>
      <c r="D17" s="11"/>
      <c r="E17" s="11">
        <v>63264</v>
      </c>
      <c r="F17" s="11"/>
      <c r="G17" s="11"/>
      <c r="H17" s="11">
        <f t="shared" si="0"/>
        <v>1323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135506</v>
      </c>
      <c r="C18" s="11">
        <v>93618</v>
      </c>
      <c r="D18" s="11"/>
      <c r="E18" s="11">
        <v>38265</v>
      </c>
      <c r="F18" s="11"/>
      <c r="G18" s="11"/>
      <c r="H18" s="11">
        <f t="shared" si="0"/>
        <v>3623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128015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-29245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126287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8667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146693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9514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139355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16345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2542273</v>
      </c>
      <c r="C35" s="44">
        <f t="shared" si="1"/>
        <v>2022515</v>
      </c>
      <c r="D35" s="11">
        <f t="shared" si="1"/>
        <v>477663</v>
      </c>
      <c r="E35" s="44">
        <f t="shared" si="1"/>
        <v>998216</v>
      </c>
      <c r="F35" s="11">
        <f t="shared" si="1"/>
        <v>0</v>
      </c>
      <c r="G35" s="11">
        <f t="shared" si="1"/>
        <v>0</v>
      </c>
      <c r="H35" s="11">
        <f t="shared" si="1"/>
        <v>-795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3.26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-2591.6999999999998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8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37061</v>
      </c>
      <c r="F39" s="47"/>
      <c r="G39" s="47"/>
      <c r="H39" s="137">
        <f>+H38+H37</f>
        <v>234921.34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B35" sqref="B35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355412</v>
      </c>
      <c r="E19" s="11">
        <v>356344</v>
      </c>
      <c r="F19" s="11"/>
      <c r="G19" s="11"/>
      <c r="H19" s="24">
        <f t="shared" si="0"/>
        <v>-932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303963</v>
      </c>
      <c r="E23" s="11">
        <v>314900</v>
      </c>
      <c r="F23" s="11"/>
      <c r="G23" s="11"/>
      <c r="H23" s="24">
        <f t="shared" si="0"/>
        <v>-10937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6152512</v>
      </c>
      <c r="E36" s="11">
        <f t="shared" si="15"/>
        <v>6298043</v>
      </c>
      <c r="F36" s="11">
        <f t="shared" si="15"/>
        <v>0</v>
      </c>
      <c r="G36" s="11">
        <f t="shared" si="15"/>
        <v>0</v>
      </c>
      <c r="H36" s="11">
        <f t="shared" si="15"/>
        <v>-145531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12">
        <v>47545</v>
      </c>
      <c r="D37" s="364"/>
      <c r="E37" s="413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37061</v>
      </c>
      <c r="B38" s="2" t="s">
        <v>47</v>
      </c>
      <c r="C38" s="131">
        <f>+C37+C36-B36</f>
        <v>47545</v>
      </c>
      <c r="D38" s="260"/>
      <c r="E38" s="131">
        <f>+E37+D36-E36</f>
        <v>155429</v>
      </c>
      <c r="F38" s="260"/>
      <c r="G38" s="131"/>
      <c r="H38" s="131">
        <f>+H37+H36</f>
        <v>202974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4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6" workbookViewId="3">
      <selection activeCell="C50" sqref="C5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2213068</v>
      </c>
      <c r="C37" s="11">
        <f>SUM(C6:C36)</f>
        <v>2194884</v>
      </c>
      <c r="D37" s="11">
        <f>SUM(D6:D36)</f>
        <v>-18184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37061</v>
      </c>
      <c r="C40" s="48"/>
      <c r="D40" s="25">
        <f>+D39+D37</f>
        <v>76671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23</vt:i4>
      </vt:variant>
    </vt:vector>
  </HeadingPairs>
  <TitlesOfParts>
    <vt:vector size="58" baseType="lpstr">
      <vt:lpstr>summary</vt:lpstr>
      <vt:lpstr>by type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2001-06-20T16:52:34Z</cp:lastPrinted>
  <dcterms:created xsi:type="dcterms:W3CDTF">2000-03-28T16:52:23Z</dcterms:created>
  <dcterms:modified xsi:type="dcterms:W3CDTF">2023-09-14T17:32:54Z</dcterms:modified>
</cp:coreProperties>
</file>