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A1C0BE-3664-45DA-898C-004E3DA5122B}" xr6:coauthVersionLast="47" xr6:coauthVersionMax="47" xr10:uidLastSave="{00000000-0000-0000-0000-000000000000}"/>
  <bookViews>
    <workbookView xWindow="-120" yWindow="-120" windowWidth="38640" windowHeight="15720" tabRatio="686" firstSheet="10" activeTab="15"/>
    <workbookView xWindow="-120" yWindow="-120" windowWidth="38640" windowHeight="15720" tabRatio="895" activeTab="2"/>
    <workbookView xWindow="-120" yWindow="-120" windowWidth="38640" windowHeight="15720" firstSheet="27" activeTab="32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B8" i="8"/>
  <c r="D8" i="8"/>
  <c r="D9" i="8"/>
  <c r="D10" i="8"/>
  <c r="B11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D11" i="64"/>
  <c r="B12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O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<sst xmlns="http://schemas.openxmlformats.org/spreadsheetml/2006/main" count="584" uniqueCount="172">
  <si>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</si>
  <si>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</si>
  <si>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</si>
  <si>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</si>
  <si>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</si>
  <si>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</si>
  <si>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</si>
  <si>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</si>
  <si>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</si>
  <si>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</si>
  <si>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</si>
  <si>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</si>
  <si>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</si>
  <si>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</si>
  <si>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</si>
  <si>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</si>
  <si>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</si>
  <si>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</si>
  <si>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</si>
  <si>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</si>
  <si>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</si>
  <si>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</si>
  <si>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</si>
  <si>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</si>
  <si>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</si>
  <si>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</si>
  <si>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</si>
  <si>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</si>
  <si>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</si>
  <si>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</si>
  <si>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</si>
  <si>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</si>
  <si>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</si>
  <si>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</si>
  <si>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</si>
  <si>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</si>
  <si>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</si>
  <si>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</si>
  <si>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</si>
  <si>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</si>
  <si>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</si>
  <si>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</si>
  <si>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</si>
  <si>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</si>
  <si>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</si>
  <si>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</si>
  <si>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</si>
  <si>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</si>
  <si>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</si>
  <si>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</si>
  <si>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</si>
  <si>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</si>
  <si>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</si>
  <si>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</si>
  <si>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</si>
  <si>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</si>
  <si>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</si>
  <si>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</si>
  <si>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</si>
  <si>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</si>
  <si>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</si>
  <si>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</si>
  <si>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</si>
  <si>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</si>
  <si>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</si>
  <si>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</si>
  <si>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</si>
  <si>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</si>
  <si>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</si>
  <si>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</si>
  <si>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</si>
  <si>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</si>
  <si>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</si>
  <si>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</si>
  <si>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</si>
  <si>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</si>
  <si>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</si>
  <si>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</si>
  <si>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</si>
  <si>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</si>
  <si>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</si>
  <si>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</si>
  <si>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</si>
  <si>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</si>
  <si>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</si>
  <si>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</si>
  <si>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</si>
  <si>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</si>
  <si>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</si>
  <si>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</si>
  <si>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</si>
  <si>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</si>
  <si>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</si>
  <si>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</si>
  <si>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</si>
  <si>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</si>
  <si>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</si>
  <si>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</si>
  <si>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</si>
  <si>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</si>
  <si>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</si>
  <si>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</si>
  <si>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</si>
  <si>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</si>
  <si>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</si>
  <si>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</si>
  <si>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</si>
  <si>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</si>
  <si>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</si>
  <si>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</si>
  <si>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</si>
  <si>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</si>
  <si>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</si>
  <si>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</si>
  <si>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</si>
  <si>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</si>
  <si>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</si>
  <si>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</si>
  <si>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</si>
  <si>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</si>
  <si>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</si>
  <si>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</si>
  <si>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</si>
  <si>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</si>
  <si>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</si>
  <si>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</si>
  <si>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</si>
  <si>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</si>
  <si>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</si>
  <si>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</si>
  <si>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</si>
  <si>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</si>
  <si>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</si>
  <si>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</si>
  <si>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</si>
  <si>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</si>
  <si>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</si>
  <si>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</si>
  <si>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</si>
  <si>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</si>
  <si>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</si>
  <si>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</si>
  <si>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</si>
  <si>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</si>
  <si>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</si>
  <si>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</si>
  <si>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</si>
  <si>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</si>
  <si>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</si>
  <si>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</si>
  <si>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</si>
  <si>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</si>
  <si>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</si>
  <si>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</si>
  <si>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</si>
  <si>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</si>
  <si>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</si>
  <si>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</si>
  <si>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</si>
  <si>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</si>
  <si>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</si>
  <si>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</si>
  <si>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</si>
  <si>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</si>
  <si>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</si>
  <si>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</si>
  <si>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</si>
  <si>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Kyestone</t>
  </si>
  <si>
    <t>Milagro, Ignacio, Valverde, Kutz</t>
  </si>
  <si>
    <t>Zia and Maljamar</t>
  </si>
  <si>
    <t>Keystone - to be cashed out</t>
  </si>
  <si>
    <t>Ignacio, Valverde, Kutz, and 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</si>
</sst>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2.59</v>
          </cell>
          <cell r="M39">
            <v>3.24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abSelected="1" topLeftCell="A8" workbookViewId="3">
      <selection activeCell="D16" sqref="D1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8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" customHeight="1" x14ac:dyDescent="0.2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170</v>
      </c>
    </row>
    <row r="14" spans="1:20" ht="15" customHeight="1" x14ac:dyDescent="0.2">
      <c r="A14" s="355" t="s">
        <v>87</v>
      </c>
      <c r="B14" s="374">
        <f>+PNM!$D$23</f>
        <v>717066.66999999993</v>
      </c>
      <c r="C14" s="386">
        <f>+B14/$P$11</f>
        <v>221316.87345679008</v>
      </c>
      <c r="D14" s="65">
        <f>+PNM!A23</f>
        <v>37066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673191.2300000001</v>
      </c>
      <c r="C15" s="369">
        <f>+B15/$P$10</f>
        <v>259919.39382239387</v>
      </c>
      <c r="D15" s="317">
        <f>+'Red C'!B43</f>
        <v>37066</v>
      </c>
      <c r="E15" t="s">
        <v>90</v>
      </c>
      <c r="F15" t="s">
        <v>125</v>
      </c>
    </row>
    <row r="16" spans="1:20" ht="15" customHeight="1" x14ac:dyDescent="0.2">
      <c r="A16" s="355" t="s">
        <v>3</v>
      </c>
      <c r="B16" s="374">
        <f>+'Amoco Abo'!$F$43</f>
        <v>575403.87</v>
      </c>
      <c r="C16" s="386">
        <f>+B16/$P$11</f>
        <v>177593.78703703702</v>
      </c>
      <c r="D16" s="65">
        <f>+'Amoco Abo'!A43</f>
        <v>37065</v>
      </c>
      <c r="E16" t="s">
        <v>90</v>
      </c>
      <c r="F16" t="s">
        <v>109</v>
      </c>
      <c r="T16" s="269"/>
    </row>
    <row r="17" spans="1:20" ht="15" customHeight="1" x14ac:dyDescent="0.2">
      <c r="A17" s="355" t="s">
        <v>84</v>
      </c>
      <c r="B17" s="374">
        <f>+Conoco!$F$41</f>
        <v>537307.95000000042</v>
      </c>
      <c r="C17" s="386">
        <f>+B17/$P$10</f>
        <v>207454.80694980713</v>
      </c>
      <c r="D17" s="317">
        <f>+Conoco!A41</f>
        <v>37066</v>
      </c>
      <c r="E17" t="s">
        <v>90</v>
      </c>
      <c r="F17" t="s">
        <v>109</v>
      </c>
      <c r="G17" t="s">
        <v>169</v>
      </c>
      <c r="T17" s="269"/>
    </row>
    <row r="18" spans="1:20" ht="15" customHeight="1" x14ac:dyDescent="0.2">
      <c r="A18" s="355" t="s">
        <v>117</v>
      </c>
      <c r="B18" s="374">
        <f>+KN_Westar!F41</f>
        <v>514570.17</v>
      </c>
      <c r="C18" s="386">
        <f t="shared" ref="C18:C29" si="0">+B18/$P$11</f>
        <v>158817.95370370368</v>
      </c>
      <c r="D18" s="65">
        <f>+KN_Westar!A41</f>
        <v>37066</v>
      </c>
      <c r="E18" t="s">
        <v>90</v>
      </c>
      <c r="F18" t="s">
        <v>110</v>
      </c>
    </row>
    <row r="19" spans="1:20" ht="15" customHeight="1" x14ac:dyDescent="0.2">
      <c r="A19" s="355" t="s">
        <v>2</v>
      </c>
      <c r="B19" s="374">
        <f>+mewborne!$J$43</f>
        <v>360133.85</v>
      </c>
      <c r="C19" s="386">
        <f t="shared" si="0"/>
        <v>111152.42283950617</v>
      </c>
      <c r="D19" s="65">
        <f>+mewborne!A43</f>
        <v>37065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351812.14999999997</v>
      </c>
      <c r="C20" s="386">
        <f t="shared" si="0"/>
        <v>108583.99691358022</v>
      </c>
      <c r="D20" s="317">
        <f>+EOG!A41</f>
        <v>37065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100850.30864197531</v>
      </c>
      <c r="D21" s="65">
        <f>+CIG!A43</f>
        <v>37065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294371.8</v>
      </c>
      <c r="C22" s="386">
        <f t="shared" si="0"/>
        <v>90855.493827160491</v>
      </c>
      <c r="D22" s="65">
        <f>+PGETX!E39</f>
        <v>37065</v>
      </c>
      <c r="E22" t="s">
        <v>90</v>
      </c>
      <c r="F22" t="s">
        <v>112</v>
      </c>
    </row>
    <row r="23" spans="1:20" ht="15" customHeight="1" x14ac:dyDescent="0.2">
      <c r="A23" s="355" t="s">
        <v>75</v>
      </c>
      <c r="B23" s="368">
        <f>+transcol!$D$43</f>
        <v>54911.799999999996</v>
      </c>
      <c r="C23" s="369">
        <f t="shared" si="0"/>
        <v>16948.086419753083</v>
      </c>
      <c r="D23" s="65">
        <f>+transcol!A43</f>
        <v>37066</v>
      </c>
      <c r="E23" t="s">
        <v>90</v>
      </c>
      <c r="F23" t="s">
        <v>125</v>
      </c>
    </row>
    <row r="24" spans="1:20" ht="15" customHeight="1" x14ac:dyDescent="0.2">
      <c r="A24" s="356" t="s">
        <v>104</v>
      </c>
      <c r="B24" s="374">
        <f>+burlington!D42</f>
        <v>7433.2999999999993</v>
      </c>
      <c r="C24" s="386">
        <f>+B24/$P$10</f>
        <v>2870</v>
      </c>
      <c r="D24" s="317">
        <f>+burlington!A42</f>
        <v>37066</v>
      </c>
      <c r="E24" s="314" t="s">
        <v>90</v>
      </c>
      <c r="F24" t="s">
        <v>109</v>
      </c>
      <c r="G24" t="s">
        <v>157</v>
      </c>
    </row>
    <row r="25" spans="1:20" ht="15" customHeight="1" x14ac:dyDescent="0.2">
      <c r="A25" s="355" t="s">
        <v>138</v>
      </c>
      <c r="B25" s="374">
        <f>+DEFS!F54</f>
        <v>-3094.4699999999721</v>
      </c>
      <c r="C25" s="400">
        <f>+B25/$P$11</f>
        <v>-955.08333333332462</v>
      </c>
      <c r="D25" s="65">
        <f>+DEFS!A40</f>
        <v>37065</v>
      </c>
      <c r="E25" t="s">
        <v>90</v>
      </c>
      <c r="F25" t="s">
        <v>110</v>
      </c>
      <c r="G25" s="32" t="s">
        <v>128</v>
      </c>
    </row>
    <row r="26" spans="1:20" ht="15" customHeight="1" x14ac:dyDescent="0.2">
      <c r="A26" s="355" t="s">
        <v>143</v>
      </c>
      <c r="B26" s="374">
        <f>+EPFS!D41</f>
        <v>-12987.649999999994</v>
      </c>
      <c r="C26" s="400">
        <f>+B26/$P$12</f>
        <v>-3637.9971988795505</v>
      </c>
      <c r="D26" s="317">
        <f>+EPFS!A41</f>
        <v>37066</v>
      </c>
      <c r="E26" t="s">
        <v>90</v>
      </c>
      <c r="F26" t="s">
        <v>110</v>
      </c>
    </row>
    <row r="27" spans="1:20" ht="15" customHeight="1" x14ac:dyDescent="0.2">
      <c r="A27" s="355" t="s">
        <v>119</v>
      </c>
      <c r="B27" s="374">
        <f>+Continental!F43</f>
        <v>-19047.649999999998</v>
      </c>
      <c r="C27" s="400">
        <f>+B27/$P$11</f>
        <v>-5878.9043209876536</v>
      </c>
      <c r="D27" s="65">
        <f>+Continental!A43</f>
        <v>37065</v>
      </c>
      <c r="E27" t="s">
        <v>90</v>
      </c>
      <c r="F27" t="s">
        <v>125</v>
      </c>
    </row>
    <row r="28" spans="1:20" ht="15" customHeight="1" x14ac:dyDescent="0.2">
      <c r="A28" s="356" t="s">
        <v>83</v>
      </c>
      <c r="B28" s="374">
        <f>+Agave!$D$24</f>
        <v>-34853.280000000028</v>
      </c>
      <c r="C28" s="400">
        <f>+B28/$P$11</f>
        <v>-10757.185185185193</v>
      </c>
      <c r="D28" s="317">
        <f>+Agave!A24</f>
        <v>37065</v>
      </c>
      <c r="E28" s="314" t="s">
        <v>90</v>
      </c>
      <c r="F28" s="314" t="s">
        <v>112</v>
      </c>
    </row>
    <row r="29" spans="1:20" ht="15" customHeight="1" x14ac:dyDescent="0.2">
      <c r="A29" s="355" t="s">
        <v>154</v>
      </c>
      <c r="B29" s="374">
        <f>+'Citizens-Griffith'!D41</f>
        <v>-71012.850000000006</v>
      </c>
      <c r="C29" s="386">
        <f t="shared" si="0"/>
        <v>-21917.546296296296</v>
      </c>
      <c r="D29" s="317">
        <f>+'Citizens-Griffith'!A41</f>
        <v>37066</v>
      </c>
      <c r="E29" t="s">
        <v>90</v>
      </c>
      <c r="F29" t="s">
        <v>109</v>
      </c>
    </row>
    <row r="30" spans="1:20" ht="15" customHeight="1" x14ac:dyDescent="0.2">
      <c r="A30" s="356" t="s">
        <v>140</v>
      </c>
      <c r="B30" s="374">
        <f>+Calpine!D41</f>
        <v>-327489.73</v>
      </c>
      <c r="C30" s="400">
        <f>+B30/$P$11</f>
        <v>-101077.07716049382</v>
      </c>
      <c r="D30" s="317">
        <f>+Calpine!A41</f>
        <v>37066</v>
      </c>
      <c r="E30" s="314" t="s">
        <v>90</v>
      </c>
      <c r="F30" s="314" t="s">
        <v>109</v>
      </c>
      <c r="G30" s="301"/>
    </row>
    <row r="31" spans="1:20" ht="15" customHeight="1" x14ac:dyDescent="0.2">
      <c r="A31" s="355" t="s">
        <v>147</v>
      </c>
      <c r="B31" s="374">
        <f>+'NS Steel'!D41</f>
        <v>-343167.28</v>
      </c>
      <c r="C31" s="400">
        <f>+B31/$P$10</f>
        <v>-132497.01930501932</v>
      </c>
      <c r="D31" s="65">
        <f>+'NS Steel'!A41</f>
        <v>37066</v>
      </c>
      <c r="E31" t="s">
        <v>90</v>
      </c>
      <c r="F31" t="s">
        <v>110</v>
      </c>
      <c r="G31" s="301"/>
    </row>
    <row r="32" spans="1:20" ht="15" customHeight="1" x14ac:dyDescent="0.2">
      <c r="A32" s="356" t="s">
        <v>149</v>
      </c>
      <c r="B32" s="387">
        <f>+Citizens!D18</f>
        <v>-876106.5</v>
      </c>
      <c r="C32" s="401">
        <f>+B32/$P$11</f>
        <v>-270403.24074074073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4654435.72</v>
      </c>
      <c r="C33" s="298">
        <f>SUM(C12:C32)</f>
        <v>1504682.6935275609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740001.85</v>
      </c>
      <c r="C36" s="386">
        <f>+williams!J40</f>
        <v>285715</v>
      </c>
      <c r="D36" s="317">
        <f>+williams!A40</f>
        <v>37066</v>
      </c>
      <c r="E36" s="314" t="s">
        <v>89</v>
      </c>
      <c r="F36" s="314" t="s">
        <v>125</v>
      </c>
      <c r="G36" t="s">
        <v>171</v>
      </c>
    </row>
    <row r="37" spans="1:7" ht="15" customHeight="1" x14ac:dyDescent="0.2">
      <c r="A37" s="355" t="s">
        <v>97</v>
      </c>
      <c r="B37" s="374">
        <f>+C37*$P$11</f>
        <v>594727.92000000004</v>
      </c>
      <c r="C37" s="386">
        <f>+NGPL!F38</f>
        <v>183558</v>
      </c>
      <c r="D37" s="65">
        <f>+NGPL!A38</f>
        <v>37066</v>
      </c>
      <c r="E37" t="s">
        <v>89</v>
      </c>
      <c r="F37" t="s">
        <v>125</v>
      </c>
    </row>
    <row r="38" spans="1:7" ht="15" customHeight="1" x14ac:dyDescent="0.2">
      <c r="A38" s="355" t="s">
        <v>35</v>
      </c>
      <c r="B38" s="374">
        <f>+'El Paso'!E38*summary!P10+'El Paso'!C38*summary!P11</f>
        <v>556256.88</v>
      </c>
      <c r="C38" s="386">
        <f>+'El Paso'!H38</f>
        <v>202487</v>
      </c>
      <c r="D38" s="65">
        <f>+'El Paso'!A38</f>
        <v>37066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33</v>
      </c>
      <c r="B39" s="374">
        <f>+C39*$P$11</f>
        <v>212582.88</v>
      </c>
      <c r="C39" s="386">
        <f>+Lonestar!F42</f>
        <v>65612</v>
      </c>
      <c r="D39" s="317">
        <f>+Lonestar!B42</f>
        <v>37066</v>
      </c>
      <c r="E39" t="s">
        <v>89</v>
      </c>
      <c r="F39" t="s">
        <v>112</v>
      </c>
    </row>
    <row r="40" spans="1:7" ht="15" customHeight="1" x14ac:dyDescent="0.2">
      <c r="A40" s="355" t="s">
        <v>7</v>
      </c>
      <c r="B40" s="374">
        <f>+C40*$P$10</f>
        <v>177922.63999999998</v>
      </c>
      <c r="C40" s="386">
        <f>+Amoco!D40</f>
        <v>68696</v>
      </c>
      <c r="D40" s="65">
        <f>+Amoco!A40</f>
        <v>37066</v>
      </c>
      <c r="E40" t="s">
        <v>89</v>
      </c>
      <c r="F40" t="s">
        <v>125</v>
      </c>
    </row>
    <row r="41" spans="1:7" ht="15" customHeight="1" x14ac:dyDescent="0.2">
      <c r="A41" s="355" t="s">
        <v>159</v>
      </c>
      <c r="B41" s="368">
        <f>+C41*$P$11</f>
        <v>175209.48</v>
      </c>
      <c r="C41" s="369">
        <f>+PEPL!D41</f>
        <v>54077</v>
      </c>
      <c r="D41" s="65">
        <f>+PEPL!A41</f>
        <v>37127</v>
      </c>
      <c r="E41" t="s">
        <v>89</v>
      </c>
      <c r="F41" t="s">
        <v>112</v>
      </c>
      <c r="G41" t="s">
        <v>129</v>
      </c>
    </row>
    <row r="42" spans="1:7" ht="15" customHeight="1" x14ac:dyDescent="0.2">
      <c r="A42" s="355" t="s">
        <v>1</v>
      </c>
      <c r="B42" s="374">
        <f>+C42*$P$10</f>
        <v>70549.009999999995</v>
      </c>
      <c r="C42" s="400">
        <f>+NW!$F$41</f>
        <v>27239</v>
      </c>
      <c r="D42" s="317">
        <f>+NW!B41</f>
        <v>37066</v>
      </c>
      <c r="E42" t="s">
        <v>89</v>
      </c>
      <c r="F42" t="s">
        <v>109</v>
      </c>
    </row>
    <row r="43" spans="1:7" ht="15" customHeight="1" x14ac:dyDescent="0.2">
      <c r="A43" s="355" t="s">
        <v>8</v>
      </c>
      <c r="B43" s="374">
        <f>+C43*$P$11</f>
        <v>50382</v>
      </c>
      <c r="C43" s="400">
        <f>+Oasis!D40</f>
        <v>15550</v>
      </c>
      <c r="D43" s="65">
        <f>+Oasis!B40</f>
        <v>37066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33615</v>
      </c>
      <c r="C44" s="386">
        <f>+Mojave!D40</f>
        <v>10375</v>
      </c>
      <c r="D44" s="65">
        <f>+Mojave!A40</f>
        <v>37066</v>
      </c>
      <c r="E44" t="s">
        <v>89</v>
      </c>
      <c r="F44" t="s">
        <v>110</v>
      </c>
    </row>
    <row r="45" spans="1:7" ht="15" customHeight="1" x14ac:dyDescent="0.2">
      <c r="A45" s="355" t="s">
        <v>34</v>
      </c>
      <c r="B45" s="374">
        <f>+C45*$P$11</f>
        <v>-53634.960000000006</v>
      </c>
      <c r="C45" s="400">
        <f>+SoCal!F40</f>
        <v>-16554</v>
      </c>
      <c r="D45" s="385">
        <f>+SoCal!A40</f>
        <v>37066</v>
      </c>
      <c r="E45" t="s">
        <v>89</v>
      </c>
      <c r="F45" t="s">
        <v>108</v>
      </c>
    </row>
    <row r="46" spans="1:7" ht="15" customHeight="1" x14ac:dyDescent="0.2">
      <c r="A46" s="355" t="s">
        <v>124</v>
      </c>
      <c r="B46" s="387">
        <f>+C46*$P$11</f>
        <v>-51198.48</v>
      </c>
      <c r="C46" s="401">
        <f>+'PG&amp;E'!D40</f>
        <v>-15802</v>
      </c>
      <c r="D46" s="65">
        <f>+'PG&amp;E'!A40</f>
        <v>37066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2506414.2199999997</v>
      </c>
      <c r="C47" s="400">
        <f>SUM(C36:C46)</f>
        <v>880953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7160849.9399999995</v>
      </c>
      <c r="C49" s="423">
        <f>+C47+C33</f>
        <v>2385635.6935275607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0" workbookViewId="3">
      <selection activeCell="C32" sqref="C3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171163</v>
      </c>
      <c r="C31" s="150">
        <v>171076</v>
      </c>
      <c r="D31" s="150">
        <v>12405</v>
      </c>
      <c r="E31" s="150">
        <v>13033</v>
      </c>
      <c r="F31" s="11">
        <f t="shared" si="5"/>
        <v>541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3975824</v>
      </c>
      <c r="C39" s="150">
        <f>SUM(C8:C38)</f>
        <v>4014970</v>
      </c>
      <c r="D39" s="150">
        <f>SUM(D8:D38)</f>
        <v>310499</v>
      </c>
      <c r="E39" s="150">
        <f>SUM(E8:E38)</f>
        <v>315366</v>
      </c>
      <c r="F39" s="11">
        <f t="shared" si="5"/>
        <v>44013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113993.67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37066</v>
      </c>
      <c r="C43" s="142"/>
      <c r="D43" s="142"/>
      <c r="E43" s="142"/>
      <c r="F43" s="252">
        <f>+F42+F41</f>
        <v>673191.2300000001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18" workbookViewId="3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2231876</v>
      </c>
      <c r="C36" s="24">
        <f>SUM(C5:C35)</f>
        <v>2246119</v>
      </c>
      <c r="D36" s="24">
        <f t="shared" si="0"/>
        <v>14243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37066</v>
      </c>
      <c r="C40" s="24"/>
      <c r="D40" s="195">
        <f>+D36+D38</f>
        <v>15550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B24" sqref="B2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717076</v>
      </c>
      <c r="C5" s="90">
        <v>774860</v>
      </c>
      <c r="D5" s="90">
        <f>+C5-B5</f>
        <v>57784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709036</v>
      </c>
      <c r="C7" s="90">
        <v>710067</v>
      </c>
      <c r="D7" s="90">
        <f t="shared" si="0"/>
        <v>1031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f>817187+35829</f>
        <v>853016</v>
      </c>
      <c r="C8" s="90">
        <v>874261</v>
      </c>
      <c r="D8" s="90">
        <f t="shared" si="0"/>
        <v>21245</v>
      </c>
      <c r="E8" s="287"/>
      <c r="F8" s="285"/>
    </row>
    <row r="9" spans="1:13" x14ac:dyDescent="0.2">
      <c r="A9" s="87">
        <v>500293</v>
      </c>
      <c r="B9" s="92">
        <v>364411</v>
      </c>
      <c r="C9" s="90">
        <v>465324</v>
      </c>
      <c r="D9" s="90">
        <f t="shared" si="0"/>
        <v>100913</v>
      </c>
      <c r="E9" s="287"/>
      <c r="F9" s="285"/>
    </row>
    <row r="10" spans="1:13" x14ac:dyDescent="0.2">
      <c r="A10" s="87">
        <v>500302</v>
      </c>
      <c r="B10" s="331">
        <v>8629</v>
      </c>
      <c r="C10" s="331"/>
      <c r="D10" s="90">
        <f t="shared" si="0"/>
        <v>-8629</v>
      </c>
      <c r="E10" s="287"/>
      <c r="F10" s="285"/>
    </row>
    <row r="11" spans="1:13" x14ac:dyDescent="0.2">
      <c r="A11" s="87">
        <v>500303</v>
      </c>
      <c r="B11" s="331">
        <f>157940+6928</f>
        <v>164868</v>
      </c>
      <c r="C11" s="90">
        <v>255445</v>
      </c>
      <c r="D11" s="90">
        <f t="shared" si="0"/>
        <v>90577</v>
      </c>
      <c r="E11" s="287"/>
      <c r="F11" s="285"/>
    </row>
    <row r="12" spans="1:13" x14ac:dyDescent="0.2">
      <c r="A12" s="91">
        <v>500305</v>
      </c>
      <c r="B12" s="331">
        <v>776750</v>
      </c>
      <c r="C12" s="90">
        <v>1042887</v>
      </c>
      <c r="D12" s="90">
        <f t="shared" si="0"/>
        <v>266137</v>
      </c>
      <c r="E12" s="288"/>
      <c r="F12" s="285"/>
    </row>
    <row r="13" spans="1:13" x14ac:dyDescent="0.2">
      <c r="A13" s="87">
        <v>500307</v>
      </c>
      <c r="B13" s="331">
        <v>50122</v>
      </c>
      <c r="C13" s="90">
        <v>49795</v>
      </c>
      <c r="D13" s="90">
        <f t="shared" si="0"/>
        <v>-327</v>
      </c>
      <c r="E13" s="287"/>
      <c r="F13" s="285"/>
    </row>
    <row r="14" spans="1:13" x14ac:dyDescent="0.2">
      <c r="A14" s="87">
        <v>500313</v>
      </c>
      <c r="B14" s="90"/>
      <c r="C14" s="331">
        <v>2365</v>
      </c>
      <c r="D14" s="90">
        <f t="shared" si="0"/>
        <v>2365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561514</v>
      </c>
      <c r="C16" s="90"/>
      <c r="D16" s="90">
        <f t="shared" si="0"/>
        <v>-561514</v>
      </c>
      <c r="E16" s="287"/>
      <c r="F16" s="285"/>
    </row>
    <row r="17" spans="1:6" x14ac:dyDescent="0.2">
      <c r="A17" s="87">
        <v>500657</v>
      </c>
      <c r="B17" s="359">
        <v>164543</v>
      </c>
      <c r="C17" s="88">
        <v>137550</v>
      </c>
      <c r="D17" s="94">
        <f t="shared" si="0"/>
        <v>-26993</v>
      </c>
      <c r="E17" s="287"/>
      <c r="F17" s="285"/>
    </row>
    <row r="18" spans="1:6" x14ac:dyDescent="0.2">
      <c r="A18" s="87"/>
      <c r="B18" s="88"/>
      <c r="C18" s="88"/>
      <c r="D18" s="88">
        <f>SUM(D5:D17)</f>
        <v>-57411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3.24</v>
      </c>
      <c r="E19" s="289"/>
      <c r="F19" s="285"/>
    </row>
    <row r="20" spans="1:6" x14ac:dyDescent="0.2">
      <c r="A20" s="87"/>
      <c r="B20" s="88"/>
      <c r="C20" s="88"/>
      <c r="D20" s="96">
        <f>+D19*D18</f>
        <v>-186011.64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37065</v>
      </c>
      <c r="B24" s="88"/>
      <c r="C24" s="88"/>
      <c r="D24" s="358">
        <f>+D22+D20</f>
        <v>-34853.280000000028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0" workbookViewId="3">
      <selection activeCell="D26" sqref="D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42833</v>
      </c>
      <c r="C27" s="11">
        <v>42578</v>
      </c>
      <c r="D27" s="11">
        <v>29054</v>
      </c>
      <c r="E27" s="11">
        <v>40826</v>
      </c>
      <c r="F27" s="25">
        <f t="shared" si="0"/>
        <v>11517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1003976</v>
      </c>
      <c r="C35" s="11">
        <f>SUM(C4:C34)</f>
        <v>1022208</v>
      </c>
      <c r="D35" s="11">
        <f>SUM(D4:D34)</f>
        <v>788531</v>
      </c>
      <c r="E35" s="11">
        <f>SUM(E4:E34)</f>
        <v>821450</v>
      </c>
      <c r="F35" s="11">
        <f>+E35-D35+C35-B35</f>
        <v>51151</v>
      </c>
    </row>
    <row r="36" spans="1:7" x14ac:dyDescent="0.2">
      <c r="A36" s="45"/>
      <c r="C36" s="14">
        <f>+C35-B35</f>
        <v>18232</v>
      </c>
      <c r="D36" s="14"/>
      <c r="E36" s="14">
        <f>+E35-D35</f>
        <v>32919</v>
      </c>
      <c r="F36" s="47"/>
    </row>
    <row r="37" spans="1:7" x14ac:dyDescent="0.2">
      <c r="C37" s="15">
        <f>+summary!P11</f>
        <v>3.24</v>
      </c>
      <c r="D37" s="15"/>
      <c r="E37" s="15">
        <f>+C37</f>
        <v>3.24</v>
      </c>
      <c r="F37" s="24"/>
    </row>
    <row r="38" spans="1:7" x14ac:dyDescent="0.2">
      <c r="C38" s="48">
        <f>+C37*C36</f>
        <v>59071.68</v>
      </c>
      <c r="D38" s="47"/>
      <c r="E38" s="48">
        <f>+E37*E36</f>
        <v>106657.56000000001</v>
      </c>
      <c r="F38" s="46">
        <f>+E38+C38</f>
        <v>165729.24000000002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37066</v>
      </c>
      <c r="C41" s="106">
        <f>+C40+C38</f>
        <v>2503077.5700000003</v>
      </c>
      <c r="D41" s="106"/>
      <c r="E41" s="106">
        <f>+E40+E38</f>
        <v>-1965769.6199999999</v>
      </c>
      <c r="F41" s="106">
        <f>+E41+C41</f>
        <v>537307.95000000042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8" workbookViewId="3">
      <selection activeCell="C29" sqref="C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4639301</v>
      </c>
      <c r="C36" s="11">
        <f>SUM(C5:C35)</f>
        <v>5083257</v>
      </c>
      <c r="D36" s="11">
        <f>SUM(D5:D35)</f>
        <v>0</v>
      </c>
      <c r="E36" s="11">
        <f>SUM(E5:E35)</f>
        <v>416331</v>
      </c>
      <c r="F36" s="11">
        <f>SUM(F5:F35)</f>
        <v>27625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37066</v>
      </c>
      <c r="F41" s="383">
        <f>+F39+F36</f>
        <v>27239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2" sqref="C3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2424759</v>
      </c>
      <c r="C39" s="11">
        <f>SUM(C8:C38)</f>
        <v>2412854</v>
      </c>
      <c r="D39" s="11">
        <f>SUM(D8:D38)</f>
        <v>-11905</v>
      </c>
      <c r="E39" s="10"/>
      <c r="F39" s="11"/>
      <c r="G39" s="11"/>
      <c r="H39" s="11"/>
    </row>
    <row r="40" spans="1:8" x14ac:dyDescent="0.2">
      <c r="A40" s="26"/>
      <c r="D40" s="75">
        <f>+summary!P11</f>
        <v>3.24</v>
      </c>
      <c r="E40" s="26"/>
      <c r="H40" s="75"/>
    </row>
    <row r="41" spans="1:8" x14ac:dyDescent="0.2">
      <c r="D41" s="197">
        <f>+D40*D39</f>
        <v>-38572.200000000004</v>
      </c>
      <c r="F41" s="253"/>
      <c r="H41" s="197"/>
    </row>
    <row r="42" spans="1:8" x14ac:dyDescent="0.2">
      <c r="A42" s="57">
        <v>37042</v>
      </c>
      <c r="D42" s="420">
        <v>93484</v>
      </c>
      <c r="E42" s="57"/>
      <c r="H42" s="197"/>
    </row>
    <row r="43" spans="1:8" x14ac:dyDescent="0.2">
      <c r="A43" s="57">
        <v>37066</v>
      </c>
      <c r="D43" s="198">
        <f>+D42+D41</f>
        <v>54911.799999999996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5" sqref="B1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37065</v>
      </c>
      <c r="G7" s="32"/>
      <c r="H7" s="15"/>
      <c r="I7" s="32"/>
      <c r="J7" s="32"/>
    </row>
    <row r="8" spans="1:10" x14ac:dyDescent="0.2">
      <c r="A8" s="254">
        <v>60874</v>
      </c>
      <c r="B8" s="424">
        <v>3425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6">
        <f>17376-25477</f>
        <v>-8101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11719-13996</f>
        <v>-2277</v>
      </c>
      <c r="G11" s="32"/>
      <c r="H11" s="15"/>
      <c r="I11" s="32"/>
      <c r="J11" s="32"/>
    </row>
    <row r="12" spans="1:10" x14ac:dyDescent="0.2">
      <c r="A12" s="254">
        <v>500254</v>
      </c>
      <c r="B12" s="354">
        <f>1378-3353</f>
        <v>-1975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">
      <c r="A15" s="292">
        <v>500267</v>
      </c>
      <c r="B15" s="425">
        <f>1360307-1307738</f>
        <v>52569</v>
      </c>
      <c r="G15" s="32"/>
      <c r="H15" s="15"/>
      <c r="I15" s="32"/>
      <c r="J15" s="32"/>
    </row>
    <row r="16" spans="1:10" x14ac:dyDescent="0.2">
      <c r="B16" s="14">
        <f>SUM(B8:B15)</f>
        <v>39994</v>
      </c>
      <c r="G16" s="32"/>
      <c r="H16" s="15"/>
      <c r="I16" s="32"/>
      <c r="J16" s="32"/>
    </row>
    <row r="17" spans="1:10" x14ac:dyDescent="0.2">
      <c r="B17" s="15">
        <f>+B30</f>
        <v>3.24</v>
      </c>
      <c r="C17" s="201">
        <f>+B17*B16</f>
        <v>129580.56000000001</v>
      </c>
      <c r="G17" s="32"/>
      <c r="H17" s="15"/>
      <c r="I17" s="32"/>
      <c r="J17" s="32"/>
    </row>
    <row r="18" spans="1:10" x14ac:dyDescent="0.2">
      <c r="C18" s="363">
        <f>+C17+C5</f>
        <v>877930.16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37065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3.24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18">
        <v>663620.68999999994</v>
      </c>
      <c r="E38" s="15"/>
      <c r="F38" s="269"/>
    </row>
    <row r="40" spans="1:6" x14ac:dyDescent="0.2">
      <c r="A40" s="250">
        <v>37065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7084</v>
      </c>
    </row>
    <row r="43" spans="1:6" x14ac:dyDescent="0.2">
      <c r="A43" s="32">
        <v>500392</v>
      </c>
      <c r="B43" s="258">
        <v>1669</v>
      </c>
    </row>
    <row r="44" spans="1:6" x14ac:dyDescent="0.2">
      <c r="B44" s="14">
        <f>SUM(B41:B43)</f>
        <v>8753</v>
      </c>
    </row>
    <row r="45" spans="1:6" x14ac:dyDescent="0.2">
      <c r="B45" s="201">
        <f>+B30</f>
        <v>3.24</v>
      </c>
      <c r="C45" s="201">
        <f>+B45*B44</f>
        <v>28359.72</v>
      </c>
    </row>
    <row r="46" spans="1:6" x14ac:dyDescent="0.2">
      <c r="C46" s="363">
        <f>+C45+C38</f>
        <v>691980.40999999992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6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2063339.75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">
      <c r="A21" s="10">
        <v>18</v>
      </c>
      <c r="B21" s="129">
        <v>133</v>
      </c>
      <c r="C21" s="11"/>
      <c r="D21" s="11">
        <v>23083</v>
      </c>
      <c r="E21" s="11">
        <v>23536</v>
      </c>
      <c r="F21" s="11">
        <f t="shared" si="0"/>
        <v>320</v>
      </c>
      <c r="G21" s="11"/>
      <c r="H21" s="24"/>
    </row>
    <row r="22" spans="1:8" x14ac:dyDescent="0.2">
      <c r="A22" s="10">
        <v>19</v>
      </c>
      <c r="B22" s="11"/>
      <c r="C22" s="11"/>
      <c r="D22" s="11">
        <v>21160</v>
      </c>
      <c r="E22" s="11">
        <v>24000</v>
      </c>
      <c r="F22" s="11">
        <f t="shared" si="0"/>
        <v>2840</v>
      </c>
      <c r="G22" s="11"/>
      <c r="H22" s="24"/>
    </row>
    <row r="23" spans="1:8" x14ac:dyDescent="0.2">
      <c r="A23" s="10">
        <v>20</v>
      </c>
      <c r="B23" s="11"/>
      <c r="C23" s="11"/>
      <c r="D23" s="11">
        <v>24574</v>
      </c>
      <c r="E23" s="11">
        <v>24000</v>
      </c>
      <c r="F23" s="11">
        <f t="shared" si="0"/>
        <v>-574</v>
      </c>
      <c r="G23" s="11"/>
      <c r="H23" s="24"/>
    </row>
    <row r="24" spans="1:8" x14ac:dyDescent="0.2">
      <c r="A24" s="10">
        <v>21</v>
      </c>
      <c r="B24" s="11"/>
      <c r="C24" s="11"/>
      <c r="D24" s="11">
        <v>23984</v>
      </c>
      <c r="E24" s="11">
        <v>24000</v>
      </c>
      <c r="F24" s="11">
        <f t="shared" si="0"/>
        <v>16</v>
      </c>
      <c r="G24" s="11"/>
      <c r="H24" s="24"/>
    </row>
    <row r="25" spans="1:8" x14ac:dyDescent="0.2">
      <c r="A25" s="10">
        <v>22</v>
      </c>
      <c r="B25" s="11"/>
      <c r="C25" s="11"/>
      <c r="D25" s="11">
        <v>24493</v>
      </c>
      <c r="E25" s="11">
        <v>24000</v>
      </c>
      <c r="F25" s="11">
        <f t="shared" si="0"/>
        <v>-493</v>
      </c>
      <c r="G25" s="11"/>
      <c r="H25" s="24"/>
    </row>
    <row r="26" spans="1:8" x14ac:dyDescent="0.2">
      <c r="A26" s="10">
        <v>23</v>
      </c>
      <c r="B26" s="11"/>
      <c r="C26" s="11"/>
      <c r="D26" s="11">
        <v>24575</v>
      </c>
      <c r="E26" s="11">
        <v>22829</v>
      </c>
      <c r="F26" s="11">
        <f t="shared" si="0"/>
        <v>-1746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1154</v>
      </c>
      <c r="C35" s="11">
        <f>SUM(C4:C34)</f>
        <v>0</v>
      </c>
      <c r="D35" s="11">
        <f>SUM(D4:D34)</f>
        <v>546399</v>
      </c>
      <c r="E35" s="11">
        <f>SUM(E4:E34)</f>
        <v>534346</v>
      </c>
      <c r="F35" s="11">
        <f>SUM(F4:F34)</f>
        <v>-13207</v>
      </c>
      <c r="G35" s="11"/>
      <c r="H35" s="11"/>
    </row>
    <row r="36" spans="1:8" x14ac:dyDescent="0.2">
      <c r="C36" s="25">
        <f>+C35-B35</f>
        <v>-1154</v>
      </c>
      <c r="E36" s="25">
        <f>+E35-D35</f>
        <v>-12053</v>
      </c>
      <c r="F36" s="25">
        <f>+E36+C36</f>
        <v>-13207</v>
      </c>
    </row>
    <row r="37" spans="1:8" x14ac:dyDescent="0.2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">
      <c r="C38" s="138">
        <f>+C37*C36</f>
        <v>-4119.78</v>
      </c>
      <c r="E38" s="138">
        <f>+E37*E36</f>
        <v>-43029.21</v>
      </c>
      <c r="F38" s="138">
        <f>+F37*F36</f>
        <v>-47148.99</v>
      </c>
    </row>
    <row r="39" spans="1:8" x14ac:dyDescent="0.2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/>
    </row>
    <row r="40" spans="1:8" x14ac:dyDescent="0.2">
      <c r="A40" s="57">
        <v>37065</v>
      </c>
      <c r="B40" s="2" t="s">
        <v>47</v>
      </c>
      <c r="C40" s="351">
        <f>+C39+C38</f>
        <v>-1027212.67</v>
      </c>
      <c r="D40" s="260"/>
      <c r="E40" s="351">
        <f>+E39+E38</f>
        <v>-409701.84</v>
      </c>
      <c r="F40" s="351">
        <f>+F39+F38</f>
        <v>-1436914.51</v>
      </c>
      <c r="G40" s="131"/>
      <c r="H40" s="131"/>
    </row>
    <row r="41" spans="1:8" x14ac:dyDescent="0.2">
      <c r="C41" s="377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-2066434.22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2063339.75</v>
      </c>
    </row>
    <row r="54" spans="2:7" x14ac:dyDescent="0.2">
      <c r="F54" s="104">
        <f>+F52+F50</f>
        <v>-3094.4699999999721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1" workbookViewId="3">
      <selection activeCell="D29" sqref="D2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1263</v>
      </c>
      <c r="G30" s="11">
        <v>1178</v>
      </c>
      <c r="H30" s="11">
        <v>1388</v>
      </c>
      <c r="I30" s="11">
        <v>1619</v>
      </c>
      <c r="J30" s="25">
        <f t="shared" si="0"/>
        <v>146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20854</v>
      </c>
      <c r="G39" s="11">
        <f t="shared" si="1"/>
        <v>27094</v>
      </c>
      <c r="H39" s="11">
        <f t="shared" si="1"/>
        <v>42481</v>
      </c>
      <c r="I39" s="11">
        <f t="shared" si="1"/>
        <v>37237</v>
      </c>
      <c r="J39" s="25">
        <f t="shared" si="1"/>
        <v>-606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-1963.44</v>
      </c>
      <c r="L41"/>
      <c r="R41" s="138"/>
      <c r="X41" s="138"/>
    </row>
    <row r="42" spans="1:24" x14ac:dyDescent="0.2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37065</v>
      </c>
      <c r="C43" s="48"/>
      <c r="J43" s="138">
        <f>+J42+J41</f>
        <v>360133.85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1" sqref="D31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11429</v>
      </c>
      <c r="C26" s="11">
        <v>11113</v>
      </c>
      <c r="D26" s="11">
        <v>-651</v>
      </c>
      <c r="E26" s="11"/>
      <c r="F26" s="25">
        <f t="shared" si="0"/>
        <v>335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11584</v>
      </c>
      <c r="C27" s="11">
        <v>11113</v>
      </c>
      <c r="D27" s="11">
        <v>-690</v>
      </c>
      <c r="E27" s="11"/>
      <c r="F27" s="25">
        <f t="shared" si="0"/>
        <v>219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11606</v>
      </c>
      <c r="C28" s="11">
        <v>11037</v>
      </c>
      <c r="D28" s="11">
        <v>-707</v>
      </c>
      <c r="E28" s="11"/>
      <c r="F28" s="25">
        <f t="shared" si="0"/>
        <v>138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12644</v>
      </c>
      <c r="C29" s="11">
        <v>11113</v>
      </c>
      <c r="D29" s="11">
        <v>-225</v>
      </c>
      <c r="E29" s="11"/>
      <c r="F29" s="25">
        <f t="shared" si="0"/>
        <v>-1306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12722</v>
      </c>
      <c r="C30" s="11">
        <v>10700</v>
      </c>
      <c r="D30" s="11">
        <v>-202</v>
      </c>
      <c r="E30" s="11"/>
      <c r="F30" s="25">
        <f t="shared" si="0"/>
        <v>-1820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297178</v>
      </c>
      <c r="C39" s="11">
        <f>SUM(C8:C38)</f>
        <v>250786</v>
      </c>
      <c r="D39" s="11">
        <f>SUM(D8:D38)</f>
        <v>-10452</v>
      </c>
      <c r="E39" s="11">
        <f>SUM(E8:E38)</f>
        <v>0</v>
      </c>
      <c r="F39" s="11">
        <f>SUM(F8:F38)</f>
        <v>-35940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-116445.6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37065</v>
      </c>
      <c r="C43" s="48"/>
      <c r="D43" s="48"/>
      <c r="E43" s="48"/>
      <c r="F43" s="110">
        <f>+F42+F41</f>
        <v>575403.87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8" workbookViewId="3">
      <selection activeCell="G29" sqref="G29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.95" customHeight="1" x14ac:dyDescent="0.2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167</v>
      </c>
    </row>
    <row r="14" spans="1:20" ht="15.95" customHeight="1" x14ac:dyDescent="0.2">
      <c r="A14" s="356" t="s">
        <v>30</v>
      </c>
      <c r="B14" s="374">
        <f>+C14*$P$10</f>
        <v>740001.85</v>
      </c>
      <c r="C14" s="386">
        <f>+williams!J40</f>
        <v>285715</v>
      </c>
      <c r="D14" s="317">
        <f>+williams!A40</f>
        <v>37066</v>
      </c>
      <c r="E14" s="314" t="s">
        <v>89</v>
      </c>
      <c r="F14" s="314" t="s">
        <v>125</v>
      </c>
      <c r="G14" t="s">
        <v>168</v>
      </c>
    </row>
    <row r="15" spans="1:20" ht="15.95" customHeight="1" x14ac:dyDescent="0.2">
      <c r="A15" s="355" t="s">
        <v>87</v>
      </c>
      <c r="B15" s="374">
        <f>+PNM!$D$23</f>
        <v>717066.66999999993</v>
      </c>
      <c r="C15" s="386">
        <f>+B15/$P$11</f>
        <v>221316.87345679008</v>
      </c>
      <c r="D15" s="65">
        <f>+PNM!A23</f>
        <v>37066</v>
      </c>
      <c r="E15" t="s">
        <v>90</v>
      </c>
      <c r="F15" t="s">
        <v>108</v>
      </c>
    </row>
    <row r="16" spans="1:20" ht="15.95" customHeight="1" x14ac:dyDescent="0.2">
      <c r="A16" s="355" t="s">
        <v>25</v>
      </c>
      <c r="B16" s="368">
        <f>+'Red C'!$F$43</f>
        <v>673191.2300000001</v>
      </c>
      <c r="C16" s="369">
        <f>+B16/$P$10</f>
        <v>259919.39382239387</v>
      </c>
      <c r="D16" s="317">
        <f>+'Red C'!B43</f>
        <v>37066</v>
      </c>
      <c r="E16" t="s">
        <v>90</v>
      </c>
      <c r="F16" t="s">
        <v>125</v>
      </c>
      <c r="T16" s="269"/>
    </row>
    <row r="17" spans="1:20" ht="15.95" customHeight="1" x14ac:dyDescent="0.2">
      <c r="A17" s="355" t="s">
        <v>97</v>
      </c>
      <c r="B17" s="374">
        <f>+C17*$P$11</f>
        <v>594727.92000000004</v>
      </c>
      <c r="C17" s="386">
        <f>+NGPL!F38</f>
        <v>183558</v>
      </c>
      <c r="D17" s="65">
        <f>+NGPL!A38</f>
        <v>37066</v>
      </c>
      <c r="E17" t="s">
        <v>89</v>
      </c>
      <c r="F17" t="s">
        <v>125</v>
      </c>
      <c r="T17" s="269"/>
    </row>
    <row r="18" spans="1:20" ht="15.95" customHeight="1" x14ac:dyDescent="0.2">
      <c r="A18" s="355" t="s">
        <v>3</v>
      </c>
      <c r="B18" s="374">
        <f>+'Amoco Abo'!$F$43</f>
        <v>575403.87</v>
      </c>
      <c r="C18" s="386">
        <f>+B18/$P$11</f>
        <v>177593.78703703702</v>
      </c>
      <c r="D18" s="65">
        <f>+'Amoco Abo'!A43</f>
        <v>37065</v>
      </c>
      <c r="E18" t="s">
        <v>90</v>
      </c>
      <c r="F18" t="s">
        <v>109</v>
      </c>
    </row>
    <row r="19" spans="1:20" ht="15.95" customHeight="1" x14ac:dyDescent="0.2">
      <c r="A19" s="355" t="s">
        <v>35</v>
      </c>
      <c r="B19" s="374">
        <f>+'El Paso'!E38*summary!P10+'El Paso'!C38*summary!P11</f>
        <v>556256.88</v>
      </c>
      <c r="C19" s="386">
        <f>+'El Paso'!H38</f>
        <v>202487</v>
      </c>
      <c r="D19" s="65">
        <f>+'El Paso'!A38</f>
        <v>37066</v>
      </c>
      <c r="E19" t="s">
        <v>89</v>
      </c>
      <c r="F19" t="s">
        <v>110</v>
      </c>
      <c r="G19" t="s">
        <v>129</v>
      </c>
    </row>
    <row r="20" spans="1:20" ht="15.95" customHeight="1" x14ac:dyDescent="0.2">
      <c r="A20" s="355" t="s">
        <v>84</v>
      </c>
      <c r="B20" s="374">
        <f>+Conoco!$F$41</f>
        <v>537307.95000000042</v>
      </c>
      <c r="C20" s="386">
        <f>+B20/$P$10</f>
        <v>207454.80694980713</v>
      </c>
      <c r="D20" s="317">
        <f>+Conoco!A41</f>
        <v>37066</v>
      </c>
      <c r="E20" t="s">
        <v>90</v>
      </c>
      <c r="F20" t="s">
        <v>109</v>
      </c>
      <c r="G20" t="s">
        <v>169</v>
      </c>
    </row>
    <row r="21" spans="1:20" ht="15.95" customHeight="1" x14ac:dyDescent="0.2">
      <c r="A21" s="355" t="s">
        <v>117</v>
      </c>
      <c r="B21" s="374">
        <f>+KN_Westar!F41</f>
        <v>514570.17</v>
      </c>
      <c r="C21" s="386">
        <f>+B21/$P$11</f>
        <v>158817.95370370368</v>
      </c>
      <c r="D21" s="65">
        <f>+KN_Westar!A41</f>
        <v>37066</v>
      </c>
      <c r="E21" t="s">
        <v>90</v>
      </c>
      <c r="F21" t="s">
        <v>110</v>
      </c>
    </row>
    <row r="22" spans="1:20" ht="15.95" customHeight="1" x14ac:dyDescent="0.2">
      <c r="A22" s="355" t="s">
        <v>2</v>
      </c>
      <c r="B22" s="374">
        <f>+mewborne!$J$43</f>
        <v>360133.85</v>
      </c>
      <c r="C22" s="386">
        <f>+B22/$P$11</f>
        <v>111152.42283950617</v>
      </c>
      <c r="D22" s="65">
        <f>+mewborne!A43</f>
        <v>37065</v>
      </c>
      <c r="E22" t="s">
        <v>90</v>
      </c>
      <c r="F22" t="s">
        <v>109</v>
      </c>
    </row>
    <row r="23" spans="1:20" ht="15.95" customHeight="1" x14ac:dyDescent="0.2">
      <c r="A23" s="355" t="s">
        <v>113</v>
      </c>
      <c r="B23" s="374">
        <f>+EOG!J41</f>
        <v>351812.14999999997</v>
      </c>
      <c r="C23" s="386">
        <f>+B23/$P$11</f>
        <v>108583.99691358022</v>
      </c>
      <c r="D23" s="317">
        <f>+EOG!A41</f>
        <v>37065</v>
      </c>
      <c r="E23" t="s">
        <v>90</v>
      </c>
      <c r="F23" t="s">
        <v>112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100850.30864197531</v>
      </c>
      <c r="D24" s="65">
        <f>+CIG!A43</f>
        <v>37065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141</v>
      </c>
      <c r="B25" s="374">
        <f>+PGETX!$H$39</f>
        <v>294371.8</v>
      </c>
      <c r="C25" s="386">
        <f>+B25/$P$11</f>
        <v>90855.493827160491</v>
      </c>
      <c r="D25" s="65">
        <f>+PGETX!E39</f>
        <v>37065</v>
      </c>
      <c r="E25" t="s">
        <v>90</v>
      </c>
      <c r="F25" t="s">
        <v>112</v>
      </c>
    </row>
    <row r="26" spans="1:20" ht="15.95" customHeight="1" x14ac:dyDescent="0.2">
      <c r="A26" s="355" t="s">
        <v>33</v>
      </c>
      <c r="B26" s="374">
        <f>+C26*$P$11</f>
        <v>212582.88</v>
      </c>
      <c r="C26" s="386">
        <f>+Lonestar!F42</f>
        <v>65612</v>
      </c>
      <c r="D26" s="317">
        <f>+Lonestar!B42</f>
        <v>37066</v>
      </c>
      <c r="E26" t="s">
        <v>89</v>
      </c>
      <c r="F26" t="s">
        <v>112</v>
      </c>
    </row>
    <row r="27" spans="1:20" ht="15.95" customHeight="1" x14ac:dyDescent="0.2">
      <c r="A27" s="355" t="s">
        <v>7</v>
      </c>
      <c r="B27" s="374">
        <f>+C27*$P$10</f>
        <v>177922.63999999998</v>
      </c>
      <c r="C27" s="386">
        <f>+Amoco!D40</f>
        <v>68696</v>
      </c>
      <c r="D27" s="65">
        <f>+Amoco!A40</f>
        <v>37066</v>
      </c>
      <c r="E27" t="s">
        <v>89</v>
      </c>
      <c r="F27" t="s">
        <v>125</v>
      </c>
    </row>
    <row r="28" spans="1:20" ht="15.95" customHeight="1" x14ac:dyDescent="0.2">
      <c r="A28" s="355" t="s">
        <v>159</v>
      </c>
      <c r="B28" s="368">
        <f>+C28*$P$11</f>
        <v>175209.48</v>
      </c>
      <c r="C28" s="369">
        <f>+PEPL!D41</f>
        <v>54077</v>
      </c>
      <c r="D28" s="65">
        <f>+PEPL!A41</f>
        <v>37127</v>
      </c>
      <c r="E28" t="s">
        <v>89</v>
      </c>
      <c r="F28" t="s">
        <v>112</v>
      </c>
      <c r="G28" t="s">
        <v>158</v>
      </c>
    </row>
    <row r="29" spans="1:20" ht="15.95" customHeight="1" x14ac:dyDescent="0.2">
      <c r="A29" s="355" t="s">
        <v>1</v>
      </c>
      <c r="B29" s="374">
        <f>+C29*$P$10</f>
        <v>70549.009999999995</v>
      </c>
      <c r="C29" s="400">
        <f>+NW!$F$41</f>
        <v>27239</v>
      </c>
      <c r="D29" s="317">
        <f>+NW!B41</f>
        <v>37066</v>
      </c>
      <c r="E29" t="s">
        <v>89</v>
      </c>
      <c r="F29" t="s">
        <v>109</v>
      </c>
    </row>
    <row r="30" spans="1:20" ht="15.95" customHeight="1" x14ac:dyDescent="0.2">
      <c r="A30" s="355" t="s">
        <v>75</v>
      </c>
      <c r="B30" s="368">
        <f>+transcol!$D$43</f>
        <v>54911.799999999996</v>
      </c>
      <c r="C30" s="369">
        <f>+B30/$P$11</f>
        <v>16948.086419753083</v>
      </c>
      <c r="D30" s="65">
        <f>+transcol!A43</f>
        <v>37066</v>
      </c>
      <c r="E30" t="s">
        <v>90</v>
      </c>
      <c r="F30" t="s">
        <v>125</v>
      </c>
    </row>
    <row r="31" spans="1:20" ht="15.95" customHeight="1" x14ac:dyDescent="0.2">
      <c r="A31" s="355" t="s">
        <v>8</v>
      </c>
      <c r="B31" s="374">
        <f>+C31*$P$11</f>
        <v>50382</v>
      </c>
      <c r="C31" s="400">
        <f>+Oasis!D40</f>
        <v>15550</v>
      </c>
      <c r="D31" s="65">
        <f>+Oasis!B40</f>
        <v>37066</v>
      </c>
      <c r="E31" t="s">
        <v>89</v>
      </c>
      <c r="F31" t="s">
        <v>112</v>
      </c>
    </row>
    <row r="32" spans="1:20" ht="15.95" customHeight="1" x14ac:dyDescent="0.2">
      <c r="A32" s="355" t="s">
        <v>103</v>
      </c>
      <c r="B32" s="374">
        <f>+C32*$P$11</f>
        <v>33615</v>
      </c>
      <c r="C32" s="386">
        <f>+Mojave!D40</f>
        <v>10375</v>
      </c>
      <c r="D32" s="65">
        <f>+Mojave!A40</f>
        <v>37066</v>
      </c>
      <c r="E32" t="s">
        <v>89</v>
      </c>
      <c r="F32" t="s">
        <v>110</v>
      </c>
    </row>
    <row r="33" spans="1:15" ht="15.95" customHeight="1" x14ac:dyDescent="0.2">
      <c r="A33" s="356" t="s">
        <v>104</v>
      </c>
      <c r="B33" s="387">
        <f>+burlington!D42</f>
        <v>7433.2999999999993</v>
      </c>
      <c r="C33" s="402">
        <f>+B33/$P$10</f>
        <v>2870</v>
      </c>
      <c r="D33" s="317">
        <f>+burlington!A42</f>
        <v>37066</v>
      </c>
      <c r="E33" s="314" t="s">
        <v>90</v>
      </c>
      <c r="F33" t="s">
        <v>109</v>
      </c>
      <c r="G33" t="s">
        <v>157</v>
      </c>
    </row>
    <row r="34" spans="1:15" ht="18" customHeight="1" x14ac:dyDescent="0.2">
      <c r="A34" s="297" t="s">
        <v>105</v>
      </c>
      <c r="B34" s="388">
        <f>SUM(B12:B33)</f>
        <v>8953442.790000001</v>
      </c>
      <c r="C34" s="389">
        <f>SUM(C12:C33)</f>
        <v>2965115.7470684974</v>
      </c>
    </row>
    <row r="35" spans="1:15" ht="18" customHeight="1" x14ac:dyDescent="0.2">
      <c r="F35" s="364"/>
      <c r="O35">
        <v>50</v>
      </c>
    </row>
    <row r="36" spans="1:15" ht="18" customHeight="1" x14ac:dyDescent="0.2">
      <c r="O36">
        <v>79</v>
      </c>
    </row>
    <row r="37" spans="1:15" ht="18" customHeight="1" x14ac:dyDescent="0.2">
      <c r="A37" s="301" t="s">
        <v>98</v>
      </c>
      <c r="B37" s="302" t="s">
        <v>18</v>
      </c>
      <c r="C37" s="303" t="s">
        <v>0</v>
      </c>
      <c r="D37" s="304" t="s">
        <v>85</v>
      </c>
      <c r="E37" s="301" t="s">
        <v>99</v>
      </c>
      <c r="F37" s="334" t="s">
        <v>111</v>
      </c>
      <c r="G37" s="301" t="s">
        <v>107</v>
      </c>
      <c r="O37">
        <f>+O36*O35</f>
        <v>3950</v>
      </c>
    </row>
    <row r="38" spans="1:15" ht="18" customHeight="1" x14ac:dyDescent="0.2">
      <c r="A38" s="356" t="s">
        <v>149</v>
      </c>
      <c r="B38" s="374">
        <f>+Citizens!D18</f>
        <v>-876106.5</v>
      </c>
      <c r="C38" s="400">
        <f>+B38/$P$11</f>
        <v>-270403.24074074073</v>
      </c>
      <c r="D38" s="317">
        <f>+Citizens!A18</f>
        <v>37065</v>
      </c>
      <c r="E38" s="314" t="s">
        <v>90</v>
      </c>
      <c r="F38" s="314" t="s">
        <v>108</v>
      </c>
      <c r="G38" s="301"/>
    </row>
    <row r="39" spans="1:15" ht="18" customHeight="1" x14ac:dyDescent="0.2">
      <c r="A39" s="355" t="s">
        <v>147</v>
      </c>
      <c r="B39" s="374">
        <f>+'NS Steel'!D41</f>
        <v>-343167.28</v>
      </c>
      <c r="C39" s="400">
        <f>+B39/$P$10</f>
        <v>-132497.01930501932</v>
      </c>
      <c r="D39" s="65">
        <f>+'NS Steel'!A41</f>
        <v>37066</v>
      </c>
      <c r="E39" t="s">
        <v>90</v>
      </c>
      <c r="F39" t="s">
        <v>110</v>
      </c>
      <c r="G39" s="301"/>
    </row>
    <row r="40" spans="1:15" ht="18" customHeight="1" x14ac:dyDescent="0.2">
      <c r="A40" s="356" t="s">
        <v>140</v>
      </c>
      <c r="B40" s="374">
        <f>+Calpine!D41</f>
        <v>-327489.73</v>
      </c>
      <c r="C40" s="400">
        <f>+B40/$P$11</f>
        <v>-101077.07716049382</v>
      </c>
      <c r="D40" s="317">
        <f>+Calpine!A41</f>
        <v>37066</v>
      </c>
      <c r="E40" s="314" t="s">
        <v>90</v>
      </c>
      <c r="F40" s="314" t="s">
        <v>109</v>
      </c>
      <c r="G40" s="301"/>
    </row>
    <row r="41" spans="1:15" ht="18" customHeight="1" x14ac:dyDescent="0.2">
      <c r="A41" s="355" t="s">
        <v>154</v>
      </c>
      <c r="B41" s="374">
        <f>+'Citizens-Griffith'!D41</f>
        <v>-71012.850000000006</v>
      </c>
      <c r="C41" s="386">
        <f>+B41/$P$11</f>
        <v>-21917.546296296296</v>
      </c>
      <c r="D41" s="317">
        <f>+'Citizens-Griffith'!A41</f>
        <v>37066</v>
      </c>
      <c r="E41" t="s">
        <v>90</v>
      </c>
      <c r="F41" t="s">
        <v>109</v>
      </c>
    </row>
    <row r="42" spans="1:15" ht="18" customHeight="1" x14ac:dyDescent="0.2">
      <c r="A42" s="356" t="s">
        <v>34</v>
      </c>
      <c r="B42" s="374">
        <f>+C42*$P$11</f>
        <v>-53634.960000000006</v>
      </c>
      <c r="C42" s="400">
        <f>+SoCal!F40</f>
        <v>-16554</v>
      </c>
      <c r="D42" s="422">
        <f>+SoCal!A40</f>
        <v>37066</v>
      </c>
      <c r="E42" s="314" t="s">
        <v>89</v>
      </c>
      <c r="F42" s="314" t="s">
        <v>108</v>
      </c>
    </row>
    <row r="43" spans="1:15" ht="18" customHeight="1" x14ac:dyDescent="0.2">
      <c r="A43" s="355" t="s">
        <v>124</v>
      </c>
      <c r="B43" s="374">
        <f>+C43*$P$11</f>
        <v>-51198.48</v>
      </c>
      <c r="C43" s="400">
        <f>+'PG&amp;E'!D40</f>
        <v>-15802</v>
      </c>
      <c r="D43" s="65">
        <f>+'PG&amp;E'!A40</f>
        <v>37066</v>
      </c>
      <c r="E43" t="s">
        <v>89</v>
      </c>
      <c r="F43" t="s">
        <v>112</v>
      </c>
    </row>
    <row r="44" spans="1:15" ht="18" customHeight="1" x14ac:dyDescent="0.2">
      <c r="A44" s="356" t="s">
        <v>83</v>
      </c>
      <c r="B44" s="374">
        <f>+Agave!$D$24</f>
        <v>-34853.280000000028</v>
      </c>
      <c r="C44" s="400">
        <f>+B44/$P$11</f>
        <v>-10757.185185185193</v>
      </c>
      <c r="D44" s="317">
        <f>+Agave!A24</f>
        <v>37065</v>
      </c>
      <c r="E44" s="314" t="s">
        <v>90</v>
      </c>
      <c r="F44" s="314" t="s">
        <v>112</v>
      </c>
    </row>
    <row r="45" spans="1:15" ht="18" customHeight="1" x14ac:dyDescent="0.2">
      <c r="A45" s="355" t="s">
        <v>119</v>
      </c>
      <c r="B45" s="374">
        <f>+Continental!F43</f>
        <v>-19047.649999999998</v>
      </c>
      <c r="C45" s="400">
        <f>+B45/$P$11</f>
        <v>-5878.9043209876536</v>
      </c>
      <c r="D45" s="65">
        <f>+Continental!A43</f>
        <v>37065</v>
      </c>
      <c r="E45" t="s">
        <v>90</v>
      </c>
      <c r="F45" t="s">
        <v>125</v>
      </c>
    </row>
    <row r="46" spans="1:15" ht="18" customHeight="1" x14ac:dyDescent="0.2">
      <c r="A46" s="355" t="s">
        <v>143</v>
      </c>
      <c r="B46" s="374">
        <f>+EPFS!D41</f>
        <v>-12987.649999999994</v>
      </c>
      <c r="C46" s="400">
        <f>+B46/$P$12</f>
        <v>-3637.9971988795505</v>
      </c>
      <c r="D46" s="317">
        <f>+EPFS!A41</f>
        <v>37066</v>
      </c>
      <c r="E46" t="s">
        <v>90</v>
      </c>
      <c r="F46" t="s">
        <v>110</v>
      </c>
    </row>
    <row r="47" spans="1:15" ht="18" customHeight="1" x14ac:dyDescent="0.2">
      <c r="A47" s="355" t="s">
        <v>138</v>
      </c>
      <c r="B47" s="387">
        <f>+DEFS!F54</f>
        <v>-3094.4699999999721</v>
      </c>
      <c r="C47" s="401">
        <f>+B47/$P$11</f>
        <v>-955.08333333332462</v>
      </c>
      <c r="D47" s="65">
        <f>+DEFS!A40</f>
        <v>37065</v>
      </c>
      <c r="E47" t="s">
        <v>90</v>
      </c>
      <c r="F47" t="s">
        <v>110</v>
      </c>
      <c r="G47" t="s">
        <v>128</v>
      </c>
    </row>
    <row r="48" spans="1:15" ht="18" customHeight="1" x14ac:dyDescent="0.2">
      <c r="A48" s="297" t="s">
        <v>106</v>
      </c>
      <c r="B48" s="374">
        <f>SUM(B38:B47)</f>
        <v>-1792592.8499999999</v>
      </c>
      <c r="C48" s="400">
        <f>SUM(C38:C47)</f>
        <v>-579480.05354093597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+B48+B34</f>
        <v>7160849.9400000013</v>
      </c>
      <c r="C50" s="391">
        <f>+C48+C34</f>
        <v>2385635.6935275616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3" sqref="A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-987094-49907</f>
        <v>-1037001</v>
      </c>
      <c r="C8" s="80">
        <v>-56295</v>
      </c>
      <c r="D8" s="80">
        <f t="shared" si="0"/>
        <v>980706</v>
      </c>
      <c r="H8" s="255"/>
    </row>
    <row r="9" spans="1:8" x14ac:dyDescent="0.2">
      <c r="A9" s="32">
        <v>60749</v>
      </c>
      <c r="B9" s="337">
        <f>540168+48866</f>
        <v>589034</v>
      </c>
      <c r="C9" s="80">
        <v>-729623</v>
      </c>
      <c r="D9" s="80">
        <f t="shared" si="0"/>
        <v>-1318657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-137538</v>
      </c>
      <c r="C11" s="80"/>
      <c r="D11" s="80">
        <f t="shared" si="0"/>
        <v>137538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-48520</v>
      </c>
    </row>
    <row r="19" spans="1:5" x14ac:dyDescent="0.2">
      <c r="A19" s="32" t="s">
        <v>86</v>
      </c>
      <c r="B19" s="69"/>
      <c r="C19" s="69"/>
      <c r="D19" s="73">
        <f>+summary!P11</f>
        <v>3.24</v>
      </c>
    </row>
    <row r="20" spans="1:5" x14ac:dyDescent="0.2">
      <c r="B20" s="69"/>
      <c r="C20" s="69"/>
      <c r="D20" s="75">
        <f>+D19*D18</f>
        <v>-157204.80000000002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37066</v>
      </c>
      <c r="B24" s="69"/>
      <c r="C24" s="69"/>
      <c r="D24" s="381">
        <f>+D22+D20</f>
        <v>1019890.78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7">
        <f>-41702-2035-2035-2035</f>
        <v>-47807</v>
      </c>
      <c r="C5" s="90">
        <v>-44020</v>
      </c>
      <c r="D5" s="90">
        <f t="shared" ref="D5:D13" si="0">+C5-B5</f>
        <v>3787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7">
        <f>-2405567-104671</f>
        <v>-2510238</v>
      </c>
      <c r="C7" s="90">
        <v>-2414541</v>
      </c>
      <c r="D7" s="90">
        <f t="shared" si="0"/>
        <v>95697</v>
      </c>
      <c r="E7" s="287"/>
      <c r="F7" s="70"/>
    </row>
    <row r="8" spans="1:13" x14ac:dyDescent="0.2">
      <c r="A8" s="87">
        <v>58710</v>
      </c>
      <c r="B8" s="427">
        <v>-78159</v>
      </c>
      <c r="C8" s="90">
        <v>-41897</v>
      </c>
      <c r="D8" s="90">
        <f t="shared" si="0"/>
        <v>36262</v>
      </c>
      <c r="E8" s="287"/>
      <c r="F8" s="70"/>
    </row>
    <row r="9" spans="1:13" x14ac:dyDescent="0.2">
      <c r="A9" s="87">
        <v>60921</v>
      </c>
      <c r="B9" s="331">
        <f>1720250+90021</f>
        <v>1810271</v>
      </c>
      <c r="C9" s="90">
        <v>1667119</v>
      </c>
      <c r="D9" s="90">
        <f t="shared" si="0"/>
        <v>-143152</v>
      </c>
      <c r="E9" s="287"/>
      <c r="F9" s="70"/>
    </row>
    <row r="10" spans="1:13" x14ac:dyDescent="0.2">
      <c r="A10" s="87">
        <v>78026</v>
      </c>
      <c r="B10" s="427">
        <v>19288</v>
      </c>
      <c r="C10" s="90">
        <v>73214</v>
      </c>
      <c r="D10" s="90">
        <f t="shared" si="0"/>
        <v>53926</v>
      </c>
      <c r="E10" s="287"/>
      <c r="F10" s="285"/>
    </row>
    <row r="11" spans="1:13" x14ac:dyDescent="0.2">
      <c r="A11" s="87">
        <v>500084</v>
      </c>
      <c r="B11" s="427">
        <v>-8383</v>
      </c>
      <c r="C11" s="90">
        <v>-24000</v>
      </c>
      <c r="D11" s="90">
        <f t="shared" si="0"/>
        <v>-15617</v>
      </c>
      <c r="E11" s="288"/>
      <c r="F11" s="285"/>
    </row>
    <row r="12" spans="1:13" x14ac:dyDescent="0.2">
      <c r="A12" s="357">
        <v>500085</v>
      </c>
      <c r="B12" s="427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36879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3.24</v>
      </c>
      <c r="E18" s="289"/>
      <c r="F18" s="285"/>
    </row>
    <row r="19" spans="1:7" x14ac:dyDescent="0.2">
      <c r="A19" s="87"/>
      <c r="B19" s="88"/>
      <c r="C19" s="88"/>
      <c r="D19" s="96">
        <f>+D18*D17</f>
        <v>119487.96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37066</v>
      </c>
      <c r="B23" s="88"/>
      <c r="C23" s="88"/>
      <c r="D23" s="358">
        <f>+D21+D19</f>
        <v>717066.66999999993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27" sqref="C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">
      <c r="A12">
        <v>10</v>
      </c>
      <c r="B12" s="90">
        <v>55568</v>
      </c>
      <c r="C12" s="90">
        <v>53798</v>
      </c>
      <c r="D12" s="90">
        <v>-60083</v>
      </c>
      <c r="E12" s="90">
        <v>-29491</v>
      </c>
      <c r="F12" s="90">
        <f t="shared" si="0"/>
        <v>28822</v>
      </c>
    </row>
    <row r="13" spans="1:6" x14ac:dyDescent="0.2">
      <c r="A13">
        <v>11</v>
      </c>
      <c r="B13" s="90">
        <v>56114</v>
      </c>
      <c r="C13" s="90">
        <v>54900</v>
      </c>
      <c r="D13" s="90">
        <v>-66780</v>
      </c>
      <c r="E13" s="90">
        <v>-29491</v>
      </c>
      <c r="F13" s="90">
        <f t="shared" si="0"/>
        <v>36075</v>
      </c>
    </row>
    <row r="14" spans="1:6" x14ac:dyDescent="0.2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">
      <c r="A24">
        <v>22</v>
      </c>
      <c r="B24" s="375">
        <v>54059</v>
      </c>
      <c r="C24" s="375">
        <v>52369</v>
      </c>
      <c r="D24" s="14">
        <v>-2776</v>
      </c>
      <c r="E24" s="14"/>
      <c r="F24" s="90">
        <f t="shared" si="0"/>
        <v>1086</v>
      </c>
    </row>
    <row r="25" spans="1:6" x14ac:dyDescent="0.2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1270438</v>
      </c>
      <c r="C34" s="299">
        <f>SUM(C3:C33)</f>
        <v>1294672</v>
      </c>
      <c r="D34" s="14">
        <f>SUM(D3:D33)</f>
        <v>-155270</v>
      </c>
      <c r="E34" s="14">
        <f>SUM(E3:E33)</f>
        <v>-88473</v>
      </c>
      <c r="F34" s="14">
        <f>SUM(F3:F33)</f>
        <v>91031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">
      <c r="A38" s="264">
        <v>37066</v>
      </c>
      <c r="B38" s="14"/>
      <c r="C38" s="14"/>
      <c r="D38" s="14"/>
      <c r="E38" s="14"/>
      <c r="F38" s="150">
        <f>+F37+F34</f>
        <v>183558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8" sqref="C28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776783</v>
      </c>
      <c r="C35" s="11">
        <f>SUM(C4:C34)</f>
        <v>783208</v>
      </c>
      <c r="D35" s="11">
        <f>SUM(D4:D34)</f>
        <v>6425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37066</v>
      </c>
      <c r="D40" s="51">
        <f>+D38+D35</f>
        <v>10375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23161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5110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22572</v>
      </c>
      <c r="C22" s="11">
        <v>22000</v>
      </c>
      <c r="D22" s="11">
        <v>10007</v>
      </c>
      <c r="E22" s="11">
        <v>9000</v>
      </c>
      <c r="F22" s="11">
        <v>9847</v>
      </c>
      <c r="G22" s="11">
        <v>10000</v>
      </c>
      <c r="H22" s="11"/>
      <c r="I22" s="11"/>
      <c r="J22" s="11">
        <f t="shared" si="0"/>
        <v>-1426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22335</v>
      </c>
      <c r="C23" s="11">
        <v>22000</v>
      </c>
      <c r="D23" s="11">
        <v>9658</v>
      </c>
      <c r="E23" s="11">
        <v>9000</v>
      </c>
      <c r="F23" s="11">
        <v>9735</v>
      </c>
      <c r="G23" s="11">
        <v>6286</v>
      </c>
      <c r="H23" s="11"/>
      <c r="I23" s="11"/>
      <c r="J23" s="11">
        <f t="shared" si="0"/>
        <v>-4442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22387</v>
      </c>
      <c r="C24" s="11">
        <v>22000</v>
      </c>
      <c r="D24" s="11">
        <v>9336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-1447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22164</v>
      </c>
      <c r="C25" s="11">
        <v>22000</v>
      </c>
      <c r="D25" s="11">
        <v>9237</v>
      </c>
      <c r="E25" s="11">
        <v>9000</v>
      </c>
      <c r="F25" s="11">
        <v>9749</v>
      </c>
      <c r="G25" s="11">
        <v>9147</v>
      </c>
      <c r="H25" s="11"/>
      <c r="I25" s="11"/>
      <c r="J25" s="11">
        <f t="shared" si="0"/>
        <v>-1003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21953</v>
      </c>
      <c r="C26" s="11">
        <v>22000</v>
      </c>
      <c r="D26" s="11">
        <v>9344</v>
      </c>
      <c r="E26" s="11">
        <v>9000</v>
      </c>
      <c r="F26" s="11">
        <v>9536</v>
      </c>
      <c r="G26" s="11">
        <v>9308</v>
      </c>
      <c r="H26" s="11"/>
      <c r="I26" s="11"/>
      <c r="J26" s="11">
        <f t="shared" si="0"/>
        <v>-525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534717</v>
      </c>
      <c r="C35" s="11">
        <f t="shared" ref="C35:I35" si="1">SUM(C4:C34)</f>
        <v>508854</v>
      </c>
      <c r="D35" s="11">
        <f t="shared" si="1"/>
        <v>214262</v>
      </c>
      <c r="E35" s="11">
        <f t="shared" si="1"/>
        <v>208537</v>
      </c>
      <c r="F35" s="11">
        <f t="shared" si="1"/>
        <v>201642</v>
      </c>
      <c r="G35" s="11">
        <f t="shared" si="1"/>
        <v>216773</v>
      </c>
      <c r="H35" s="11">
        <f t="shared" si="1"/>
        <v>1334</v>
      </c>
      <c r="I35" s="11">
        <f t="shared" si="1"/>
        <v>0</v>
      </c>
      <c r="J35" s="11">
        <f>SUM(J4:J34)</f>
        <v>-17791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-57642.840000000004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37065</v>
      </c>
      <c r="J41" s="361">
        <f>+J39+J37</f>
        <v>351812.14999999997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1434780</v>
      </c>
      <c r="E37" s="24">
        <f>SUM(E6:E36)</f>
        <v>1492467</v>
      </c>
      <c r="F37" s="24">
        <f>SUM(F6:F36)</f>
        <v>57687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186905.88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37066</v>
      </c>
      <c r="E41" s="14"/>
      <c r="F41" s="104">
        <f>+F40+F39</f>
        <v>514570.17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27" sqref="D2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187</v>
      </c>
      <c r="E39" s="11">
        <f>SUM(E8:E38)</f>
        <v>40</v>
      </c>
      <c r="F39" s="25">
        <f>SUM(F8:F38)</f>
        <v>-147</v>
      </c>
    </row>
    <row r="40" spans="1:6" x14ac:dyDescent="0.2">
      <c r="A40" s="26"/>
      <c r="C40" s="14"/>
      <c r="F40" s="261">
        <f>+summary!P11</f>
        <v>3.24</v>
      </c>
    </row>
    <row r="41" spans="1:6" x14ac:dyDescent="0.2">
      <c r="F41" s="138">
        <f>+F40*F39</f>
        <v>-476.28000000000003</v>
      </c>
    </row>
    <row r="42" spans="1:6" x14ac:dyDescent="0.2">
      <c r="A42" s="57">
        <v>37042</v>
      </c>
      <c r="C42" s="15"/>
      <c r="F42" s="405">
        <v>-18571.37</v>
      </c>
    </row>
    <row r="43" spans="1:6" x14ac:dyDescent="0.2">
      <c r="A43" s="57">
        <v>37065</v>
      </c>
      <c r="C43" s="48"/>
      <c r="F43" s="138">
        <f>+F42+F41</f>
        <v>-19047.649999999998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3.24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5">
        <v>326755</v>
      </c>
    </row>
    <row r="43" spans="1:4" x14ac:dyDescent="0.2">
      <c r="A43" s="57">
        <v>37065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18" workbookViewId="3">
      <selection activeCell="C30" sqref="C3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-1292016</v>
      </c>
      <c r="C37" s="11">
        <f>SUM(C6:C36)</f>
        <v>-1282878</v>
      </c>
      <c r="D37" s="25">
        <f>SUM(D6:D36)</f>
        <v>9138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29607.120000000003</v>
      </c>
    </row>
    <row r="40" spans="1:4" x14ac:dyDescent="0.2">
      <c r="A40" s="57">
        <v>37042</v>
      </c>
      <c r="C40" s="15"/>
      <c r="D40" s="405">
        <v>-357096.85</v>
      </c>
    </row>
    <row r="41" spans="1:4" x14ac:dyDescent="0.2">
      <c r="A41" s="57">
        <v>37066</v>
      </c>
      <c r="C41" s="48"/>
      <c r="D41" s="138">
        <f>+D40+D39</f>
        <v>-327489.73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414226</v>
      </c>
      <c r="C37" s="11">
        <f>SUM(C6:C36)</f>
        <v>441997</v>
      </c>
      <c r="D37" s="25">
        <f>SUM(D6:D36)</f>
        <v>27771</v>
      </c>
    </row>
    <row r="38" spans="1:4" x14ac:dyDescent="0.2">
      <c r="A38" s="26"/>
      <c r="C38" s="14"/>
      <c r="D38" s="373">
        <f>+summary!P12</f>
        <v>3.57</v>
      </c>
    </row>
    <row r="39" spans="1:4" x14ac:dyDescent="0.2">
      <c r="D39" s="138">
        <f>+D38*D37</f>
        <v>99142.47</v>
      </c>
    </row>
    <row r="40" spans="1:4" x14ac:dyDescent="0.2">
      <c r="A40" s="57">
        <v>37042</v>
      </c>
      <c r="C40" s="15"/>
      <c r="D40" s="405">
        <v>-112130.12</v>
      </c>
    </row>
    <row r="41" spans="1:4" x14ac:dyDescent="0.2">
      <c r="A41" s="57">
        <v>37066</v>
      </c>
      <c r="C41" s="48"/>
      <c r="D41" s="138">
        <f>+D40+D39</f>
        <v>-12987.649999999994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281426</v>
      </c>
      <c r="C27" s="11">
        <v>300369</v>
      </c>
      <c r="D27" s="11">
        <v>53793</v>
      </c>
      <c r="E27" s="11">
        <v>56387</v>
      </c>
      <c r="F27" s="11">
        <v>56074</v>
      </c>
      <c r="G27" s="11">
        <v>50201</v>
      </c>
      <c r="H27" s="11">
        <v>92973</v>
      </c>
      <c r="I27" s="11">
        <v>76969</v>
      </c>
      <c r="J27" s="11">
        <f t="shared" si="0"/>
        <v>-340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7718686</v>
      </c>
      <c r="C35" s="11">
        <f t="shared" ref="C35:I35" si="1">SUM(C4:C34)</f>
        <v>8002150</v>
      </c>
      <c r="D35" s="11">
        <f t="shared" si="1"/>
        <v>1359497</v>
      </c>
      <c r="E35" s="11">
        <f t="shared" si="1"/>
        <v>1270222</v>
      </c>
      <c r="F35" s="11">
        <f t="shared" si="1"/>
        <v>1692517</v>
      </c>
      <c r="G35" s="11">
        <f t="shared" si="1"/>
        <v>1588108</v>
      </c>
      <c r="H35" s="11">
        <f t="shared" si="1"/>
        <v>1888119</v>
      </c>
      <c r="I35" s="11">
        <f t="shared" si="1"/>
        <v>1805275</v>
      </c>
      <c r="J35" s="11">
        <f>SUM(J4:J34)</f>
        <v>6936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37066</v>
      </c>
      <c r="J40" s="51">
        <f>+J38+J35</f>
        <v>285715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1298671</v>
      </c>
      <c r="C37" s="11">
        <f>SUM(C6:C36)</f>
        <v>1326875</v>
      </c>
      <c r="D37" s="25">
        <f>SUM(D6:D36)</f>
        <v>28204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91380.96</v>
      </c>
    </row>
    <row r="40" spans="1:4" x14ac:dyDescent="0.2">
      <c r="A40" s="57">
        <v>37042</v>
      </c>
      <c r="C40" s="15"/>
      <c r="D40" s="405">
        <v>817965.6</v>
      </c>
    </row>
    <row r="41" spans="1:4" x14ac:dyDescent="0.2">
      <c r="A41" s="57">
        <v>37066</v>
      </c>
      <c r="C41" s="48"/>
      <c r="D41" s="138">
        <f>+D40+D39</f>
        <v>909346.55999999994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-41827</v>
      </c>
      <c r="C37" s="11">
        <f>SUM(C6:C36)</f>
        <v>-53774</v>
      </c>
      <c r="D37" s="25">
        <f>SUM(D6:D36)</f>
        <v>-11947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-38708.280000000006</v>
      </c>
    </row>
    <row r="40" spans="1:4" x14ac:dyDescent="0.2">
      <c r="A40" s="57">
        <v>37042</v>
      </c>
      <c r="C40" s="15"/>
      <c r="D40" s="405">
        <v>-304459</v>
      </c>
    </row>
    <row r="41" spans="1:4" x14ac:dyDescent="0.2">
      <c r="A41" s="57">
        <v>37066</v>
      </c>
      <c r="C41" s="48"/>
      <c r="D41" s="138">
        <f>+D40+D39</f>
        <v>-343167.28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1" workbookViewId="3">
      <selection activeCell="C30" sqref="C30"/>
    </sheetView>
  </sheetViews>
  <sheetFormatPr defaultRowHeight="12.75" x14ac:dyDescent="0.2"/>
  <cols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-901934</v>
      </c>
      <c r="C37" s="11">
        <f>SUM(C6:C36)</f>
        <v>-941567</v>
      </c>
      <c r="D37" s="25">
        <f>SUM(D6:D36)</f>
        <v>-39633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-128410.92000000001</v>
      </c>
    </row>
    <row r="40" spans="1:4" x14ac:dyDescent="0.2">
      <c r="A40" s="57">
        <v>37042</v>
      </c>
      <c r="C40" s="15"/>
      <c r="D40" s="405">
        <v>57398.07</v>
      </c>
    </row>
    <row r="41" spans="1:4" x14ac:dyDescent="0.2">
      <c r="A41" s="57">
        <v>37066</v>
      </c>
      <c r="C41" s="48"/>
      <c r="D41" s="138">
        <f>+D40+D39</f>
        <v>-71012.850000000006</v>
      </c>
    </row>
    <row r="42" spans="1:4" x14ac:dyDescent="0.2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B8" sqref="B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-9927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3.24</v>
      </c>
      <c r="E13" s="289"/>
      <c r="F13" s="285"/>
    </row>
    <row r="14" spans="1:13" x14ac:dyDescent="0.2">
      <c r="A14" s="87"/>
      <c r="B14" s="88"/>
      <c r="C14" s="88"/>
      <c r="D14" s="96">
        <f>+D13*D12</f>
        <v>-32163.480000000003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37065</v>
      </c>
      <c r="B18" s="88"/>
      <c r="C18" s="88"/>
      <c r="D18" s="358">
        <f>+D16+D14</f>
        <v>-876106.5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">
      <c r="A38" s="26"/>
      <c r="C38" s="14"/>
      <c r="D38" s="421"/>
    </row>
    <row r="39" spans="1:4" x14ac:dyDescent="0.2">
      <c r="D39" s="138"/>
    </row>
    <row r="40" spans="1:4" x14ac:dyDescent="0.2">
      <c r="A40" s="57">
        <v>37042</v>
      </c>
      <c r="C40" s="15"/>
      <c r="D40" s="403">
        <v>27926</v>
      </c>
    </row>
    <row r="41" spans="1:4" x14ac:dyDescent="0.2">
      <c r="A41" s="57">
        <v>37127</v>
      </c>
      <c r="C41" s="48"/>
      <c r="D41" s="25">
        <f>+D40+D37</f>
        <v>54077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3703101</v>
      </c>
      <c r="C38" s="11">
        <f>SUM(C7:C37)</f>
        <v>3705971</v>
      </c>
      <c r="D38" s="11">
        <f>SUM(D7:D37)</f>
        <v>2870</v>
      </c>
    </row>
    <row r="39" spans="1:4" x14ac:dyDescent="0.2">
      <c r="A39" s="26"/>
      <c r="C39" s="14"/>
      <c r="D39" s="106">
        <f>+summary!P10</f>
        <v>2.59</v>
      </c>
    </row>
    <row r="40" spans="1:4" x14ac:dyDescent="0.2">
      <c r="D40" s="138">
        <f>+D39*D38</f>
        <v>7433.2999999999993</v>
      </c>
    </row>
    <row r="41" spans="1:4" x14ac:dyDescent="0.2">
      <c r="A41" s="57">
        <v>37042</v>
      </c>
      <c r="C41" s="15"/>
      <c r="D41" s="416">
        <v>0</v>
      </c>
    </row>
    <row r="42" spans="1:4" x14ac:dyDescent="0.2">
      <c r="A42" s="57">
        <v>37066</v>
      </c>
      <c r="D42" s="361">
        <f>+D41+D40</f>
        <v>7433.2999999999993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2" workbookViewId="3">
      <selection activeCell="B29" sqref="B29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44990</v>
      </c>
      <c r="C28" s="11"/>
      <c r="D28" s="11">
        <v>40010</v>
      </c>
      <c r="E28" s="11">
        <v>81399</v>
      </c>
      <c r="F28" s="11">
        <f t="shared" si="0"/>
        <v>3601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419674</v>
      </c>
      <c r="C36" s="44">
        <f>SUM(C5:C35)</f>
        <v>23286</v>
      </c>
      <c r="D36" s="43">
        <f>SUM(D5:D35)</f>
        <v>292118</v>
      </c>
      <c r="E36" s="44">
        <f>SUM(E5:E35)</f>
        <v>684789</v>
      </c>
      <c r="F36" s="11">
        <f>SUM(F5:F35)</f>
        <v>3717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396388</v>
      </c>
      <c r="D37" s="24"/>
      <c r="E37" s="24">
        <f>+D36-E36</f>
        <v>-392671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37066</v>
      </c>
      <c r="C42" s="14"/>
      <c r="D42" s="50"/>
      <c r="E42" s="50"/>
      <c r="F42" s="51">
        <f>+F41+F36</f>
        <v>65612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1" workbookViewId="3">
      <selection activeCell="C32" sqref="C3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60523</v>
      </c>
      <c r="D21" s="25">
        <f t="shared" si="0"/>
        <v>2469</v>
      </c>
    </row>
    <row r="22" spans="1:4" x14ac:dyDescent="0.2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2586649</v>
      </c>
      <c r="C35" s="11">
        <f>SUM(C4:C34)</f>
        <v>2580892</v>
      </c>
      <c r="D35" s="11">
        <f>SUM(D4:D34)</f>
        <v>-5757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37066</v>
      </c>
      <c r="D40" s="24">
        <f>+D38+D35</f>
        <v>-15802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28" sqref="E2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17927770</v>
      </c>
      <c r="C35" s="11">
        <f>SUM(C4:C34)</f>
        <v>17866361</v>
      </c>
      <c r="D35" s="11">
        <f>SUM(D4:D34)</f>
        <v>301500</v>
      </c>
      <c r="E35" s="11">
        <f>SUM(E4:E34)</f>
        <v>367920</v>
      </c>
      <c r="F35" s="11">
        <f>SUM(F4:F34)</f>
        <v>5011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4">
        <v>-21565</v>
      </c>
    </row>
    <row r="39" spans="1:45" x14ac:dyDescent="0.2">
      <c r="A39" s="2"/>
      <c r="F39" s="24"/>
    </row>
    <row r="40" spans="1:45" x14ac:dyDescent="0.2">
      <c r="A40" s="57">
        <v>37066</v>
      </c>
      <c r="F40" s="51">
        <f>+F38+F35</f>
        <v>-16554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C56" sqref="C5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140264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17254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113588</v>
      </c>
      <c r="C23" s="11">
        <v>65289</v>
      </c>
      <c r="D23" s="11"/>
      <c r="E23" s="11">
        <v>31550</v>
      </c>
      <c r="F23" s="11"/>
      <c r="G23" s="11"/>
      <c r="H23" s="11">
        <f t="shared" si="0"/>
        <v>16749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128624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-2322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111047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-2789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143024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5797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3039465</v>
      </c>
      <c r="C35" s="44">
        <f t="shared" si="1"/>
        <v>2428886</v>
      </c>
      <c r="D35" s="11">
        <f t="shared" si="1"/>
        <v>618020</v>
      </c>
      <c r="E35" s="44">
        <f t="shared" si="1"/>
        <v>1211050</v>
      </c>
      <c r="F35" s="11">
        <f t="shared" si="1"/>
        <v>0</v>
      </c>
      <c r="G35" s="11">
        <f t="shared" si="1"/>
        <v>0</v>
      </c>
      <c r="H35" s="11">
        <f t="shared" si="1"/>
        <v>17549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56858.76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37065</v>
      </c>
      <c r="F39" s="47"/>
      <c r="G39" s="47"/>
      <c r="H39" s="137">
        <f>+H38+H37</f>
        <v>294371.8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20" sqref="E2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598</v>
      </c>
      <c r="C36" s="11">
        <f t="shared" si="15"/>
        <v>2000</v>
      </c>
      <c r="D36" s="11">
        <f t="shared" si="15"/>
        <v>7529566</v>
      </c>
      <c r="E36" s="11">
        <f t="shared" si="15"/>
        <v>7676986</v>
      </c>
      <c r="F36" s="11">
        <f t="shared" si="15"/>
        <v>0</v>
      </c>
      <c r="G36" s="11">
        <f t="shared" si="15"/>
        <v>0</v>
      </c>
      <c r="H36" s="11">
        <f t="shared" si="15"/>
        <v>-146018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37066</v>
      </c>
      <c r="B38" s="2" t="s">
        <v>47</v>
      </c>
      <c r="C38" s="131">
        <f>+C37+C36-B36</f>
        <v>48947</v>
      </c>
      <c r="D38" s="260"/>
      <c r="E38" s="131">
        <f>+E37+D36-E36</f>
        <v>153540</v>
      </c>
      <c r="F38" s="260"/>
      <c r="G38" s="131"/>
      <c r="H38" s="131">
        <f>+H37+H36</f>
        <v>202487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19" workbookViewId="3">
      <selection activeCell="C30" sqref="C3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2666393</v>
      </c>
      <c r="C37" s="11">
        <f>SUM(C6:C36)</f>
        <v>2640234</v>
      </c>
      <c r="D37" s="11">
        <f>SUM(D6:D36)</f>
        <v>-26159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37066</v>
      </c>
      <c r="C40" s="48"/>
      <c r="D40" s="25">
        <f>+D39+D37</f>
        <v>68696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2001-06-25T23:30:15Z</cp:lastPrinted>
  <dcterms:created xsi:type="dcterms:W3CDTF">2000-03-28T16:52:23Z</dcterms:created>
  <dcterms:modified xsi:type="dcterms:W3CDTF">2023-09-14T17:33:05Z</dcterms:modified>
</cp:coreProperties>
</file>