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68E975B-77A1-4FF3-B351-29C4C210E1BD}" xr6:coauthVersionLast="47" xr6:coauthVersionMax="47" xr10:uidLastSave="{00000000-0000-0000-0000-000000000000}"/>
  <bookViews>
    <workbookView xWindow="-120" yWindow="-120" windowWidth="38640" windowHeight="15720" tabRatio="686" firstSheet="8" activeTab="15"/>
    <workbookView xWindow="-120" yWindow="-120" windowWidth="38640" windowHeight="15720" tabRatio="895" activeTab="2"/>
    <workbookView xWindow="-120" yWindow="-120" windowWidth="38640" windowHeight="15720" activeTab="1"/>
    <workbookView xWindow="-120" yWindow="-120" windowWidth="38640" windowHeight="15720" tabRatio="601" activeTab="1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Abo'!$A$6:$F$43</definedName>
    <definedName name="_xlnm.Print_Area" localSheetId="0">'by type'!$A$2:$M$81</definedName>
    <definedName name="_xlnm.Print_Area" localSheetId="27">Calpine!$A$3:$D$48</definedName>
    <definedName name="_xlnm.Print_Area" localSheetId="12">Conoco!$A$2:$F$44</definedName>
    <definedName name="_xlnm.Print_Area" localSheetId="16">DEFS!$A$1:$J$53</definedName>
    <definedName name="_xlnm.Print_Area" localSheetId="15">Duke!$A$2:$C$54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PGETX!$K$4:$P$19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summary!$A$2:$I$48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 iterate="1" iterateCount="5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B40" i="80"/>
  <c r="C40" i="80"/>
  <c r="D40" i="80"/>
  <c r="E40" i="80"/>
  <c r="J46" i="80"/>
  <c r="K46" i="80"/>
  <c r="J47" i="80"/>
  <c r="J48" i="80"/>
  <c r="B55" i="80"/>
  <c r="C55" i="80"/>
  <c r="D55" i="80"/>
  <c r="E55" i="80"/>
  <c r="F55" i="80"/>
  <c r="B56" i="80"/>
  <c r="C56" i="80"/>
  <c r="D56" i="80"/>
  <c r="E56" i="80"/>
  <c r="F56" i="80"/>
  <c r="B57" i="80"/>
  <c r="C57" i="80"/>
  <c r="D57" i="80"/>
  <c r="E57" i="80"/>
  <c r="F57" i="80"/>
  <c r="B58" i="80"/>
  <c r="C58" i="80"/>
  <c r="D58" i="80"/>
  <c r="E58" i="80"/>
  <c r="F58" i="80"/>
  <c r="B59" i="80"/>
  <c r="C59" i="80"/>
  <c r="D59" i="80"/>
  <c r="E59" i="80"/>
  <c r="B62" i="80"/>
  <c r="C62" i="80"/>
  <c r="D62" i="80"/>
  <c r="E62" i="80"/>
  <c r="F62" i="80"/>
  <c r="B63" i="80"/>
  <c r="C63" i="80"/>
  <c r="D63" i="80"/>
  <c r="E63" i="80"/>
  <c r="F63" i="80"/>
  <c r="B64" i="80"/>
  <c r="C64" i="80"/>
  <c r="D64" i="80"/>
  <c r="E64" i="80"/>
  <c r="F64" i="80"/>
  <c r="B65" i="80"/>
  <c r="C65" i="80"/>
  <c r="D65" i="80"/>
  <c r="E65" i="80"/>
  <c r="F65" i="80"/>
  <c r="B66" i="80"/>
  <c r="C66" i="80"/>
  <c r="D66" i="80"/>
  <c r="E66" i="80"/>
  <c r="F66" i="80"/>
  <c r="B67" i="80"/>
  <c r="C67" i="80"/>
  <c r="D67" i="80"/>
  <c r="E67" i="80"/>
  <c r="B70" i="80"/>
  <c r="C70" i="80"/>
  <c r="D70" i="80"/>
  <c r="E70" i="80"/>
  <c r="F70" i="80"/>
  <c r="B71" i="80"/>
  <c r="C71" i="80"/>
  <c r="D71" i="80"/>
  <c r="E71" i="80"/>
  <c r="F71" i="80"/>
  <c r="B72" i="80"/>
  <c r="C72" i="80"/>
  <c r="D72" i="80"/>
  <c r="E72" i="80"/>
  <c r="F72" i="80"/>
  <c r="B73" i="80"/>
  <c r="C73" i="80"/>
  <c r="D73" i="80"/>
  <c r="E73" i="80"/>
  <c r="F73" i="80"/>
  <c r="B74" i="80"/>
  <c r="C74" i="80"/>
  <c r="D74" i="80"/>
  <c r="E74" i="80"/>
  <c r="B76" i="80"/>
  <c r="C76" i="80"/>
  <c r="D76" i="80"/>
  <c r="E76" i="80"/>
  <c r="B79" i="80"/>
  <c r="C79" i="80"/>
  <c r="B80" i="80"/>
  <c r="C80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D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F49" i="73"/>
  <c r="K49" i="73"/>
  <c r="F51" i="73"/>
  <c r="M51" i="73"/>
  <c r="F53" i="73"/>
  <c r="M53" i="73"/>
  <c r="B9" i="20"/>
  <c r="B11" i="20"/>
  <c r="B12" i="20"/>
  <c r="B13" i="20"/>
  <c r="B14" i="20"/>
  <c r="B15" i="20"/>
  <c r="B16" i="20"/>
  <c r="E16" i="20"/>
  <c r="B17" i="20"/>
  <c r="B18" i="20"/>
  <c r="C18" i="20"/>
  <c r="C19" i="20"/>
  <c r="B30" i="20"/>
  <c r="B31" i="20"/>
  <c r="C31" i="20"/>
  <c r="C32" i="20"/>
  <c r="E37" i="20"/>
  <c r="E38" i="20"/>
  <c r="F38" i="20"/>
  <c r="G38" i="20"/>
  <c r="H38" i="20"/>
  <c r="F39" i="20"/>
  <c r="G39" i="20"/>
  <c r="H39" i="20"/>
  <c r="I39" i="20"/>
  <c r="B45" i="20"/>
  <c r="B46" i="20"/>
  <c r="C46" i="20"/>
  <c r="C47" i="20"/>
  <c r="C56" i="20"/>
  <c r="I56" i="20"/>
  <c r="D5" i="11"/>
  <c r="H5" i="11"/>
  <c r="D6" i="11"/>
  <c r="H6" i="11"/>
  <c r="D7" i="11"/>
  <c r="H7" i="11"/>
  <c r="D8" i="11"/>
  <c r="H8" i="11"/>
  <c r="AB8" i="11"/>
  <c r="AC8" i="11"/>
  <c r="AF8" i="11"/>
  <c r="AI8" i="11"/>
  <c r="AL8" i="11"/>
  <c r="AM8" i="11"/>
  <c r="AN8" i="11"/>
  <c r="AO8" i="11"/>
  <c r="AP8" i="11"/>
  <c r="D9" i="11"/>
  <c r="H9" i="11"/>
  <c r="AC9" i="11"/>
  <c r="AF9" i="11"/>
  <c r="AI9" i="11"/>
  <c r="AL9" i="11"/>
  <c r="AM9" i="11"/>
  <c r="AN9" i="11"/>
  <c r="AO9" i="11"/>
  <c r="AP9" i="11"/>
  <c r="D10" i="11"/>
  <c r="H10" i="11"/>
  <c r="AC10" i="11"/>
  <c r="AF10" i="11"/>
  <c r="AI10" i="11"/>
  <c r="AL10" i="11"/>
  <c r="AM10" i="11"/>
  <c r="AN10" i="11"/>
  <c r="AO10" i="11"/>
  <c r="AP10" i="11"/>
  <c r="D11" i="11"/>
  <c r="H11" i="11"/>
  <c r="AC11" i="11"/>
  <c r="AF11" i="11"/>
  <c r="AI11" i="11"/>
  <c r="AL11" i="11"/>
  <c r="AM11" i="11"/>
  <c r="AN11" i="11"/>
  <c r="AO11" i="11"/>
  <c r="AP11" i="11"/>
  <c r="D12" i="11"/>
  <c r="H12" i="11"/>
  <c r="AC12" i="11"/>
  <c r="AF12" i="11"/>
  <c r="AI12" i="11"/>
  <c r="AL12" i="11"/>
  <c r="AM12" i="11"/>
  <c r="AN12" i="11"/>
  <c r="AO12" i="11"/>
  <c r="AP12" i="11"/>
  <c r="D13" i="11"/>
  <c r="H13" i="11"/>
  <c r="AC13" i="11"/>
  <c r="AF13" i="11"/>
  <c r="AI13" i="11"/>
  <c r="AL13" i="11"/>
  <c r="AM13" i="11"/>
  <c r="AN13" i="11"/>
  <c r="AO13" i="11"/>
  <c r="AP13" i="11"/>
  <c r="D14" i="11"/>
  <c r="H14" i="11"/>
  <c r="AC14" i="11"/>
  <c r="AF14" i="11"/>
  <c r="AI14" i="11"/>
  <c r="AL14" i="11"/>
  <c r="AM14" i="11"/>
  <c r="AN14" i="11"/>
  <c r="AO14" i="11"/>
  <c r="AP14" i="11"/>
  <c r="D15" i="11"/>
  <c r="H15" i="11"/>
  <c r="AC15" i="11"/>
  <c r="AF15" i="11"/>
  <c r="AI15" i="11"/>
  <c r="AL15" i="11"/>
  <c r="AM15" i="11"/>
  <c r="AN15" i="11"/>
  <c r="AO15" i="11"/>
  <c r="AP15" i="11"/>
  <c r="D16" i="11"/>
  <c r="H16" i="11"/>
  <c r="AA16" i="11"/>
  <c r="AC16" i="11"/>
  <c r="AF16" i="11"/>
  <c r="AI16" i="11"/>
  <c r="AL16" i="11"/>
  <c r="AM16" i="11"/>
  <c r="AN16" i="11"/>
  <c r="AO16" i="11"/>
  <c r="AP16" i="11"/>
  <c r="D17" i="11"/>
  <c r="H17" i="11"/>
  <c r="AC17" i="11"/>
  <c r="AF17" i="11"/>
  <c r="AI17" i="11"/>
  <c r="AL17" i="11"/>
  <c r="AM17" i="11"/>
  <c r="AN17" i="11"/>
  <c r="AO17" i="11"/>
  <c r="AP17" i="11"/>
  <c r="D18" i="11"/>
  <c r="H18" i="11"/>
  <c r="AC18" i="11"/>
  <c r="AF18" i="11"/>
  <c r="AI18" i="11"/>
  <c r="AL18" i="11"/>
  <c r="AM18" i="11"/>
  <c r="AN18" i="11"/>
  <c r="AO18" i="11"/>
  <c r="AP18" i="11"/>
  <c r="D19" i="11"/>
  <c r="H19" i="11"/>
  <c r="AC19" i="11"/>
  <c r="AF19" i="11"/>
  <c r="AI19" i="11"/>
  <c r="AL19" i="11"/>
  <c r="AM19" i="11"/>
  <c r="AN19" i="11"/>
  <c r="AO19" i="11"/>
  <c r="AP19" i="11"/>
  <c r="D20" i="11"/>
  <c r="H20" i="11"/>
  <c r="AC20" i="11"/>
  <c r="AE20" i="11"/>
  <c r="AF20" i="11"/>
  <c r="AI20" i="11"/>
  <c r="AL20" i="11"/>
  <c r="AM20" i="11"/>
  <c r="AN20" i="11"/>
  <c r="AO20" i="11"/>
  <c r="AP20" i="11"/>
  <c r="D21" i="11"/>
  <c r="H21" i="11"/>
  <c r="AC21" i="11"/>
  <c r="AF21" i="11"/>
  <c r="AI21" i="11"/>
  <c r="AL21" i="11"/>
  <c r="AM21" i="11"/>
  <c r="AN21" i="11"/>
  <c r="AO21" i="11"/>
  <c r="AP21" i="11"/>
  <c r="D22" i="11"/>
  <c r="H22" i="11"/>
  <c r="AC22" i="11"/>
  <c r="AF22" i="11"/>
  <c r="AI22" i="11"/>
  <c r="AL22" i="11"/>
  <c r="AM22" i="11"/>
  <c r="AN22" i="11"/>
  <c r="AO22" i="11"/>
  <c r="AP22" i="11"/>
  <c r="D23" i="11"/>
  <c r="H23" i="11"/>
  <c r="AC23" i="11"/>
  <c r="AF23" i="11"/>
  <c r="AI23" i="11"/>
  <c r="AL23" i="11"/>
  <c r="AM23" i="11"/>
  <c r="AN23" i="11"/>
  <c r="AO23" i="11"/>
  <c r="AP23" i="11"/>
  <c r="D24" i="11"/>
  <c r="H24" i="11"/>
  <c r="AC24" i="11"/>
  <c r="AF24" i="11"/>
  <c r="AI24" i="11"/>
  <c r="AL24" i="11"/>
  <c r="AM24" i="11"/>
  <c r="AN24" i="11"/>
  <c r="AO24" i="11"/>
  <c r="AP24" i="11"/>
  <c r="D25" i="11"/>
  <c r="H25" i="11"/>
  <c r="AC25" i="11"/>
  <c r="AF25" i="11"/>
  <c r="AI25" i="11"/>
  <c r="AL25" i="11"/>
  <c r="AM25" i="11"/>
  <c r="AN25" i="11"/>
  <c r="AO25" i="11"/>
  <c r="AP25" i="11"/>
  <c r="D26" i="11"/>
  <c r="H26" i="11"/>
  <c r="AC26" i="11"/>
  <c r="AF26" i="11"/>
  <c r="AI26" i="11"/>
  <c r="AL26" i="11"/>
  <c r="AM26" i="11"/>
  <c r="AN26" i="11"/>
  <c r="AO26" i="11"/>
  <c r="AP26" i="11"/>
  <c r="D27" i="11"/>
  <c r="H27" i="11"/>
  <c r="AC27" i="11"/>
  <c r="AE27" i="11"/>
  <c r="AF27" i="11"/>
  <c r="AI27" i="11"/>
  <c r="AL27" i="11"/>
  <c r="AM27" i="11"/>
  <c r="AN27" i="11"/>
  <c r="AO27" i="11"/>
  <c r="AP27" i="11"/>
  <c r="D28" i="11"/>
  <c r="H28" i="11"/>
  <c r="AC28" i="11"/>
  <c r="AF28" i="11"/>
  <c r="AI28" i="11"/>
  <c r="AL28" i="11"/>
  <c r="AM28" i="11"/>
  <c r="AN28" i="11"/>
  <c r="AO28" i="11"/>
  <c r="AP28" i="11"/>
  <c r="D29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E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A47" i="5"/>
  <c r="A48" i="5"/>
  <c r="D48" i="5"/>
  <c r="D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A43" i="67"/>
  <c r="D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B47" i="9"/>
  <c r="E47" i="9"/>
  <c r="E48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D29" i="64"/>
  <c r="D30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3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B45" i="63"/>
  <c r="C45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P5" i="2"/>
  <c r="R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J13" i="2"/>
  <c r="P13" i="2"/>
  <c r="R13" i="2"/>
  <c r="J14" i="2"/>
  <c r="J15" i="2"/>
  <c r="J16" i="2"/>
  <c r="J17" i="2"/>
  <c r="P17" i="2"/>
  <c r="R17" i="2"/>
  <c r="J18" i="2"/>
  <c r="J19" i="2"/>
  <c r="J20" i="2"/>
  <c r="J21" i="2"/>
  <c r="J22" i="2"/>
  <c r="P22" i="2"/>
  <c r="R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</calcChain>
</file>

<file path=xl/sharedStrings.xml><?xml version="1.0" encoding="utf-8"?>
<sst xmlns="http://schemas.openxmlformats.org/spreadsheetml/2006/main" count="666" uniqueCount="204">
  <si>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</si>
  <si>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</si>
  <si>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</si>
  <si>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</si>
  <si>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</si>
  <si>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</si>
  <si>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</si>
  <si>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</si>
  <si>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</si>
  <si>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</si>
  <si>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</si>
  <si>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</si>
  <si>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</si>
  <si>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</si>
  <si>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</si>
  <si>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</si>
  <si>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</si>
  <si>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</si>
  <si>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</si>
  <si>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</si>
  <si>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</si>
  <si>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</si>
  <si>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</si>
  <si>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</si>
  <si>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</si>
  <si>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</si>
  <si>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</si>
  <si>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</si>
  <si>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</si>
  <si>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</si>
  <si>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</si>
  <si>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</si>
  <si>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</si>
  <si>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</si>
  <si>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</si>
  <si>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</si>
  <si>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</si>
  <si>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</si>
  <si>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</si>
  <si>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</si>
  <si>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</si>
  <si>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</si>
  <si>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</si>
  <si>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</si>
  <si>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</si>
  <si>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</si>
  <si>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</si>
  <si>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</si>
  <si>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</si>
  <si>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</si>
  <si>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</si>
  <si>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</si>
  <si>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</si>
  <si>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</si>
  <si>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</si>
  <si>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</si>
  <si>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</si>
  <si>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</si>
  <si>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</si>
  <si>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</si>
  <si>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</si>
  <si>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</si>
  <si>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</si>
  <si>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</si>
  <si>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</si>
  <si>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</si>
  <si>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</si>
  <si>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</si>
  <si>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</si>
  <si>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</si>
  <si>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</si>
  <si>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</si>
  <si>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</si>
  <si>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</si>
  <si>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</si>
  <si>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</si>
  <si>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</si>
  <si>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</si>
  <si>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</si>
  <si>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</si>
  <si>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</si>
  <si>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</si>
  <si>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</si>
  <si>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</si>
  <si>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</si>
  <si>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</si>
  <si>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</si>
  <si>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</si>
  <si>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</si>
  <si>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</si>
  <si>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</si>
  <si>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</si>
  <si>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</si>
  <si>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</si>
  <si>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</si>
  <si>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</si>
  <si>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</si>
  <si>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</si>
  <si>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</si>
  <si>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</si>
  <si>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</si>
  <si>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</si>
  <si>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</si>
  <si>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</si>
  <si>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</si>
  <si>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</si>
  <si>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</si>
  <si>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</si>
  <si>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</si>
  <si>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</si>
  <si>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</si>
  <si>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</si>
  <si>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</si>
  <si>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</si>
  <si>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</si>
  <si>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</si>
  <si>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</si>
  <si>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</si>
  <si>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</si>
  <si>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</si>
  <si>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</si>
  <si>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</si>
  <si>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</si>
  <si>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</si>
  <si>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</si>
  <si>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</si>
  <si>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</si>
  <si>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</si>
  <si>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</si>
  <si>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</si>
  <si>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</si>
  <si>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</si>
  <si>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</si>
  <si>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</si>
  <si>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</si>
  <si>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</si>
  <si>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</si>
  <si>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</si>
  <si>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</si>
  <si>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</si>
  <si>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</si>
  <si>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</si>
  <si>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</si>
  <si>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</si>
  <si>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</si>
  <si>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</si>
  <si>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</si>
  <si>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</si>
  <si>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</si>
  <si>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</si>
  <si>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</si>
  <si>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</si>
  <si>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</si>
  <si>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</si>
  <si>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</si>
  <si>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</si>
  <si>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</t>
  </si>
  <si>
    <t>CBS Volume</t>
  </si>
  <si>
    <t>CBS Dollars</t>
  </si>
  <si>
    <t>Mrktg rep</t>
  </si>
  <si>
    <t>TK Lohman</t>
  </si>
  <si>
    <t>L Lindberg</t>
  </si>
  <si>
    <t>M Lokay</t>
  </si>
  <si>
    <t>$Value</t>
  </si>
  <si>
    <t>less CBS vol</t>
  </si>
  <si>
    <t xml:space="preserve">Calc vol </t>
  </si>
  <si>
    <t>Calc$ @curr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</si>
  <si>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</si>
  <si>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</si>
  <si>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</si>
  <si>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</si>
  <si>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</si>
  <si>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</si>
  <si>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</si>
  <si>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</si>
  <si>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</si>
  <si>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</si>
  <si>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Calc vol @</t>
  </si>
  <si>
    <t>curr mo pr</t>
  </si>
  <si>
    <t>DOLLAR VALUED IMBALANCES</t>
  </si>
  <si>
    <t>VOLUMETRIC IMBALANCES</t>
  </si>
  <si>
    <t>Total Volumetric imbals</t>
  </si>
  <si>
    <t>Mo prices</t>
  </si>
  <si>
    <t>If $valued</t>
  </si>
  <si>
    <t>amount</t>
  </si>
  <si>
    <t>Calc$ less</t>
  </si>
  <si>
    <t>if $valued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</si>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</sst>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7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37" fontId="33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4" fillId="0" borderId="0" xfId="0" applyFont="1"/>
    <xf numFmtId="5" fontId="34" fillId="0" borderId="0" xfId="0" applyNumberFormat="1" applyFont="1" applyAlignment="1">
      <alignment horizontal="right"/>
    </xf>
    <xf numFmtId="37" fontId="34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37" fontId="35" fillId="0" borderId="0" xfId="1" applyNumberFormat="1" applyFont="1" applyFill="1"/>
    <xf numFmtId="0" fontId="20" fillId="0" borderId="0" xfId="0" applyFont="1"/>
    <xf numFmtId="0" fontId="34" fillId="0" borderId="0" xfId="0" applyFont="1" applyAlignment="1">
      <alignment horizontal="center"/>
    </xf>
    <xf numFmtId="43" fontId="0" fillId="0" borderId="0" xfId="1" applyFont="1"/>
    <xf numFmtId="5" fontId="36" fillId="0" borderId="1" xfId="0" applyNumberFormat="1" applyFont="1" applyFill="1" applyBorder="1"/>
    <xf numFmtId="5" fontId="36" fillId="0" borderId="0" xfId="1" applyNumberFormat="1" applyFont="1" applyFill="1"/>
    <xf numFmtId="5" fontId="36" fillId="0" borderId="0" xfId="0" applyNumberFormat="1" applyFont="1" applyFill="1"/>
    <xf numFmtId="7" fontId="36" fillId="0" borderId="0" xfId="0" applyNumberFormat="1" applyFont="1" applyFill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7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166" fontId="25" fillId="0" borderId="1" xfId="1" applyNumberFormat="1" applyFont="1" applyFill="1" applyBorder="1"/>
    <xf numFmtId="5" fontId="22" fillId="0" borderId="0" xfId="1" applyNumberFormat="1" applyFont="1"/>
    <xf numFmtId="166" fontId="25" fillId="0" borderId="1" xfId="0" applyNumberFormat="1" applyFont="1" applyFill="1" applyBorder="1"/>
    <xf numFmtId="37" fontId="25" fillId="0" borderId="0" xfId="1" applyNumberFormat="1" applyFont="1" applyFill="1"/>
    <xf numFmtId="37" fontId="25" fillId="0" borderId="0" xfId="1" applyNumberFormat="1" applyFont="1" applyFill="1" applyBorder="1"/>
    <xf numFmtId="5" fontId="22" fillId="0" borderId="0" xfId="0" applyNumberFormat="1" applyFont="1"/>
    <xf numFmtId="5" fontId="25" fillId="0" borderId="0" xfId="1" applyNumberFormat="1" applyFont="1" applyAlignment="1"/>
    <xf numFmtId="166" fontId="25" fillId="0" borderId="0" xfId="1" applyNumberFormat="1" applyFont="1" applyFill="1" applyBorder="1"/>
    <xf numFmtId="5" fontId="25" fillId="0" borderId="1" xfId="1" applyNumberFormat="1" applyFont="1" applyFill="1" applyBorder="1"/>
    <xf numFmtId="7" fontId="25" fillId="0" borderId="1" xfId="0" applyNumberFormat="1" applyFont="1" applyFill="1" applyBorder="1"/>
    <xf numFmtId="5" fontId="25" fillId="0" borderId="0" xfId="1" applyNumberFormat="1" applyFont="1" applyFill="1"/>
    <xf numFmtId="7" fontId="25" fillId="0" borderId="0" xfId="1" applyNumberFormat="1" applyFont="1" applyFill="1"/>
    <xf numFmtId="44" fontId="25" fillId="0" borderId="0" xfId="2" applyFont="1" applyFill="1"/>
    <xf numFmtId="7" fontId="38" fillId="0" borderId="1" xfId="1" applyNumberFormat="1" applyFont="1" applyFill="1" applyBorder="1"/>
    <xf numFmtId="192" fontId="25" fillId="0" borderId="0" xfId="0" applyNumberFormat="1" applyFont="1" applyFill="1"/>
    <xf numFmtId="7" fontId="25" fillId="0" borderId="0" xfId="0" applyNumberFormat="1" applyFont="1" applyFill="1"/>
    <xf numFmtId="5" fontId="25" fillId="0" borderId="0" xfId="0" applyNumberFormat="1" applyFont="1" applyFill="1"/>
    <xf numFmtId="5" fontId="25" fillId="0" borderId="0" xfId="0" applyNumberFormat="1" applyFont="1" applyFill="1" applyAlignment="1">
      <alignment horizontal="left" indent="2"/>
    </xf>
    <xf numFmtId="5" fontId="25" fillId="3" borderId="1" xfId="0" applyNumberFormat="1" applyFont="1" applyFill="1" applyBorder="1"/>
    <xf numFmtId="5" fontId="9" fillId="0" borderId="0" xfId="2" applyNumberFormat="1" applyFont="1" applyBorder="1" applyAlignment="1">
      <alignment horizontal="right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5" fontId="25" fillId="0" borderId="0" xfId="0" applyNumberFormat="1" applyFont="1" applyFill="1" applyBorder="1"/>
    <xf numFmtId="43" fontId="0" fillId="0" borderId="0" xfId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08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701"/>
    </sheetNames>
    <sheetDataSet>
      <sheetData sheetId="0">
        <row r="39">
          <cell r="H39">
            <v>2.93</v>
          </cell>
          <cell r="K39">
            <v>2.66</v>
          </cell>
          <cell r="M39">
            <v>2.84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workbookViewId="0"/>
    <sheetView workbookViewId="1"/>
    <sheetView topLeftCell="A46" workbookViewId="2">
      <selection activeCell="G50" sqref="G50"/>
    </sheetView>
    <sheetView topLeftCell="A30" workbookViewId="3">
      <selection activeCell="A41" sqref="A41:IV42"/>
    </sheetView>
  </sheetViews>
  <sheetFormatPr defaultRowHeight="12.75" outlineLevelRow="2" x14ac:dyDescent="0.2"/>
  <cols>
    <col min="1" max="1" width="18.85546875" style="295" customWidth="1"/>
    <col min="2" max="2" width="11.140625" style="252" bestFit="1" customWidth="1"/>
    <col min="3" max="3" width="9.42578125" style="296" customWidth="1"/>
    <col min="4" max="4" width="9.85546875" bestFit="1" customWidth="1"/>
    <col min="5" max="5" width="10.7109375" bestFit="1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0.42578125" bestFit="1" customWidth="1"/>
    <col min="13" max="13" width="34.42578125" customWidth="1"/>
  </cols>
  <sheetData>
    <row r="1" spans="1:32" ht="15" x14ac:dyDescent="0.25">
      <c r="A1" s="365"/>
    </row>
    <row r="2" spans="1:32" ht="12.95" customHeight="1" x14ac:dyDescent="0.2">
      <c r="A2" s="34" t="s">
        <v>145</v>
      </c>
      <c r="D2" s="7"/>
      <c r="I2" s="416" t="s">
        <v>81</v>
      </c>
      <c r="J2" s="419"/>
      <c r="K2" s="32"/>
    </row>
    <row r="3" spans="1:32" ht="12.95" customHeight="1" x14ac:dyDescent="0.2">
      <c r="D3" s="7"/>
      <c r="I3" s="417" t="s">
        <v>30</v>
      </c>
      <c r="J3" s="420">
        <f>+summary!H3</f>
        <v>2.66</v>
      </c>
      <c r="K3" s="437">
        <f ca="1">NOW()</f>
        <v>37130.462157060188</v>
      </c>
    </row>
    <row r="4" spans="1:32" ht="12.95" customHeight="1" x14ac:dyDescent="0.2">
      <c r="A4" s="34" t="s">
        <v>152</v>
      </c>
      <c r="C4" s="34" t="s">
        <v>5</v>
      </c>
      <c r="D4" s="7"/>
      <c r="I4" s="418" t="s">
        <v>31</v>
      </c>
      <c r="J4" s="420">
        <f>+summary!H4</f>
        <v>2.84</v>
      </c>
      <c r="K4" s="32"/>
    </row>
    <row r="5" spans="1:32" ht="12.95" customHeight="1" x14ac:dyDescent="0.2">
      <c r="D5" s="7"/>
      <c r="I5" s="417" t="s">
        <v>120</v>
      </c>
      <c r="J5" s="420">
        <f>+summary!H5</f>
        <v>2.93</v>
      </c>
      <c r="K5" s="32"/>
    </row>
    <row r="6" spans="1:32" ht="12" customHeight="1" x14ac:dyDescent="0.2"/>
    <row r="7" spans="1:32" ht="12.95" customHeight="1" x14ac:dyDescent="0.2">
      <c r="A7" s="435" t="s">
        <v>179</v>
      </c>
      <c r="B7" s="436"/>
      <c r="AD7" s="32"/>
      <c r="AE7" s="32"/>
      <c r="AF7" s="32"/>
    </row>
    <row r="8" spans="1:32" ht="15.95" customHeight="1" outlineLevel="2" x14ac:dyDescent="0.2">
      <c r="A8" s="32"/>
      <c r="B8" s="47"/>
      <c r="C8" s="433" t="s">
        <v>177</v>
      </c>
      <c r="D8" s="12" t="s">
        <v>156</v>
      </c>
      <c r="E8" s="12" t="s">
        <v>165</v>
      </c>
      <c r="F8" s="2" t="s">
        <v>155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99" t="s">
        <v>92</v>
      </c>
      <c r="B9" s="425" t="s">
        <v>163</v>
      </c>
      <c r="C9" s="434" t="s">
        <v>178</v>
      </c>
      <c r="D9" s="39" t="s">
        <v>0</v>
      </c>
      <c r="E9" s="39" t="s">
        <v>164</v>
      </c>
      <c r="F9" s="39" t="s">
        <v>153</v>
      </c>
      <c r="G9" s="423" t="s">
        <v>159</v>
      </c>
      <c r="H9" s="400" t="s">
        <v>104</v>
      </c>
      <c r="I9" s="399" t="s">
        <v>101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5" customHeight="1" outlineLevel="2" x14ac:dyDescent="0.2">
      <c r="A10" s="32"/>
      <c r="B10" s="47"/>
      <c r="C10" s="69"/>
      <c r="D10" s="32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99" t="s">
        <v>169</v>
      </c>
    </row>
    <row r="12" spans="1:32" ht="15.95" customHeight="1" outlineLevel="1" x14ac:dyDescent="0.2">
      <c r="A12" s="206" t="s">
        <v>132</v>
      </c>
      <c r="B12" s="375">
        <f>+Calpine!D41</f>
        <v>84719.44</v>
      </c>
      <c r="C12" s="402">
        <f>+B12/$J$4</f>
        <v>29830.788732394369</v>
      </c>
      <c r="D12" s="14">
        <f>+Calpine!D47</f>
        <v>131027</v>
      </c>
      <c r="E12" s="70">
        <f>+C12-D12</f>
        <v>-101196.21126760563</v>
      </c>
      <c r="F12" s="397">
        <f>+Calpine!A41</f>
        <v>37128</v>
      </c>
      <c r="G12" s="205"/>
      <c r="H12" s="206" t="s">
        <v>102</v>
      </c>
      <c r="I12" s="381"/>
      <c r="J12" s="70"/>
      <c r="K12" s="32"/>
    </row>
    <row r="13" spans="1:32" ht="15.95" customHeight="1" outlineLevel="2" x14ac:dyDescent="0.2">
      <c r="A13" s="32" t="s">
        <v>144</v>
      </c>
      <c r="B13" s="375">
        <f>+'Citizens-Griffith'!D41</f>
        <v>-211612.72</v>
      </c>
      <c r="C13" s="401">
        <f>+B13/$J$4</f>
        <v>-74511.521126760563</v>
      </c>
      <c r="D13" s="14">
        <f>+'Citizens-Griffith'!D48</f>
        <v>-101147</v>
      </c>
      <c r="E13" s="70">
        <f>+C13-D13</f>
        <v>26635.478873239437</v>
      </c>
      <c r="F13" s="397">
        <f>+'Citizens-Griffith'!A41</f>
        <v>37128</v>
      </c>
      <c r="G13" s="205" t="s">
        <v>162</v>
      </c>
      <c r="H13" s="32" t="s">
        <v>102</v>
      </c>
      <c r="I13" s="32"/>
      <c r="J13" s="32"/>
      <c r="K13" s="32"/>
    </row>
    <row r="14" spans="1:32" ht="15.95" customHeight="1" outlineLevel="2" x14ac:dyDescent="0.2">
      <c r="A14" s="32" t="s">
        <v>138</v>
      </c>
      <c r="B14" s="375">
        <f>+'NS Steel'!D41</f>
        <v>-438817.94</v>
      </c>
      <c r="C14" s="401">
        <f>+B14/$J$4</f>
        <v>-154513.35915492958</v>
      </c>
      <c r="D14" s="14">
        <f>+'NS Steel'!D50</f>
        <v>-83977</v>
      </c>
      <c r="E14" s="70">
        <f>+C14-D14</f>
        <v>-70536.359154929582</v>
      </c>
      <c r="F14" s="398">
        <f>+'NS Steel'!A41</f>
        <v>37128</v>
      </c>
      <c r="G14" s="205" t="s">
        <v>162</v>
      </c>
      <c r="H14" s="32" t="s">
        <v>103</v>
      </c>
      <c r="I14" s="32" t="s">
        <v>200</v>
      </c>
      <c r="J14" s="32"/>
      <c r="K14" s="32"/>
    </row>
    <row r="15" spans="1:32" ht="15.95" customHeight="1" outlineLevel="1" x14ac:dyDescent="0.2">
      <c r="A15" s="206" t="s">
        <v>140</v>
      </c>
      <c r="B15" s="378">
        <f>+Citizens!D18</f>
        <v>-788646.42</v>
      </c>
      <c r="C15" s="403">
        <f>+B15/$J$4</f>
        <v>-277692.40140845074</v>
      </c>
      <c r="D15" s="379">
        <f>+Citizens!D24</f>
        <v>-163917</v>
      </c>
      <c r="E15" s="72">
        <f>+C15-D15</f>
        <v>-113775.40140845074</v>
      </c>
      <c r="F15" s="397">
        <f>+Citizens!A18</f>
        <v>37128</v>
      </c>
      <c r="G15" s="205"/>
      <c r="H15" s="206" t="s">
        <v>102</v>
      </c>
      <c r="I15" s="474" t="s">
        <v>199</v>
      </c>
      <c r="J15" s="32"/>
      <c r="K15" s="32"/>
      <c r="T15" s="267"/>
    </row>
    <row r="16" spans="1:32" ht="15.95" customHeight="1" outlineLevel="2" x14ac:dyDescent="0.2">
      <c r="A16" s="153" t="s">
        <v>170</v>
      </c>
      <c r="B16" s="421">
        <f>SUBTOTAL(9,B12:B15)</f>
        <v>-1354357.6400000001</v>
      </c>
      <c r="C16" s="428">
        <f>SUBTOTAL(9,C12:C15)</f>
        <v>-476886.49295774649</v>
      </c>
      <c r="D16" s="429">
        <f>SUBTOTAL(9,D12:D15)</f>
        <v>-218014</v>
      </c>
      <c r="E16" s="430">
        <f>SUBTOTAL(9,E12:E15)</f>
        <v>-258872.49295774649</v>
      </c>
      <c r="F16" s="397"/>
      <c r="G16" s="205"/>
      <c r="H16" s="206"/>
      <c r="I16" s="381"/>
      <c r="J16" s="32"/>
      <c r="K16" s="32"/>
      <c r="T16" s="267"/>
    </row>
    <row r="17" spans="1:20" ht="12.95" customHeight="1" outlineLevel="2" x14ac:dyDescent="0.2">
      <c r="G17" s="7"/>
    </row>
    <row r="18" spans="1:20" ht="15.95" customHeight="1" outlineLevel="2" x14ac:dyDescent="0.2">
      <c r="A18" s="432" t="s">
        <v>59</v>
      </c>
      <c r="G18" s="7"/>
    </row>
    <row r="19" spans="1:20" ht="15.95" customHeight="1" outlineLevel="2" x14ac:dyDescent="0.2">
      <c r="A19" s="32" t="s">
        <v>74</v>
      </c>
      <c r="B19" s="376">
        <f>+transcol!$D$43</f>
        <v>13560.020000000002</v>
      </c>
      <c r="C19" s="401">
        <f>+B19/$J$4</f>
        <v>4774.6549295774657</v>
      </c>
      <c r="D19" s="14">
        <f>+transcol!D50</f>
        <v>-46307</v>
      </c>
      <c r="E19" s="70">
        <f>+C19-D19</f>
        <v>51081.654929577468</v>
      </c>
      <c r="F19" s="398">
        <f>+transcol!A43</f>
        <v>37128</v>
      </c>
      <c r="G19" s="205" t="s">
        <v>161</v>
      </c>
      <c r="H19" s="32" t="s">
        <v>118</v>
      </c>
      <c r="I19" s="32"/>
      <c r="J19" s="32"/>
      <c r="K19" s="32"/>
      <c r="T19" s="267"/>
    </row>
    <row r="20" spans="1:20" ht="15.95" customHeight="1" outlineLevel="2" x14ac:dyDescent="0.2">
      <c r="A20" s="206" t="s">
        <v>98</v>
      </c>
      <c r="B20" s="378">
        <f>+burlington!D42</f>
        <v>4218.260000000002</v>
      </c>
      <c r="C20" s="405">
        <f>+B20/$J$3</f>
        <v>1585.8120300751887</v>
      </c>
      <c r="D20" s="379">
        <f>+burlington!D49</f>
        <v>403</v>
      </c>
      <c r="E20" s="72">
        <f>+C20-D20</f>
        <v>1182.8120300751887</v>
      </c>
      <c r="F20" s="397">
        <f>+burlington!A42</f>
        <v>37128</v>
      </c>
      <c r="G20" s="205" t="s">
        <v>162</v>
      </c>
      <c r="H20" s="32" t="s">
        <v>116</v>
      </c>
      <c r="I20" s="32" t="s">
        <v>150</v>
      </c>
      <c r="J20" s="32"/>
      <c r="K20" s="32"/>
    </row>
    <row r="21" spans="1:20" ht="15.95" customHeight="1" outlineLevel="2" x14ac:dyDescent="0.2">
      <c r="A21" s="153" t="s">
        <v>172</v>
      </c>
      <c r="B21" s="421">
        <f>SUBTOTAL(9,B19:B20)</f>
        <v>17778.280000000006</v>
      </c>
      <c r="C21" s="422">
        <f>SUBTOTAL(9,C19:C20)</f>
        <v>6360.4669596526546</v>
      </c>
      <c r="D21" s="429">
        <f>SUBTOTAL(9,D19:D20)</f>
        <v>-45904</v>
      </c>
      <c r="E21" s="430">
        <f>SUBTOTAL(9,E19:E20)</f>
        <v>52264.466959652658</v>
      </c>
      <c r="F21" s="397"/>
      <c r="G21" s="32"/>
      <c r="H21" s="32"/>
      <c r="I21" s="32"/>
      <c r="J21" s="32"/>
      <c r="K21" s="32"/>
    </row>
    <row r="22" spans="1:20" ht="15.95" customHeight="1" outlineLevel="2" x14ac:dyDescent="0.2"/>
    <row r="23" spans="1:20" ht="15.95" customHeight="1" outlineLevel="2" x14ac:dyDescent="0.2">
      <c r="A23" s="399" t="s">
        <v>173</v>
      </c>
      <c r="G23" s="7"/>
    </row>
    <row r="24" spans="1:20" ht="15.95" customHeight="1" outlineLevel="2" x14ac:dyDescent="0.2">
      <c r="A24" s="206" t="s">
        <v>90</v>
      </c>
      <c r="B24" s="375">
        <f>+NNG!$D$24</f>
        <v>376371.49</v>
      </c>
      <c r="C24" s="401">
        <f t="shared" ref="C24:C35" si="0">+B24/$J$4</f>
        <v>132525.17253521128</v>
      </c>
      <c r="D24" s="14">
        <f>+NNG!D34</f>
        <v>-35340</v>
      </c>
      <c r="E24" s="70">
        <f t="shared" ref="E24:E37" si="1">+C24-D24</f>
        <v>167865.17253521128</v>
      </c>
      <c r="F24" s="397">
        <f>+NNG!A24</f>
        <v>37128</v>
      </c>
      <c r="G24" s="424" t="s">
        <v>160</v>
      </c>
      <c r="H24" s="206" t="s">
        <v>103</v>
      </c>
      <c r="I24" s="32"/>
      <c r="J24" s="32"/>
      <c r="K24" s="32"/>
    </row>
    <row r="25" spans="1:20" ht="15.95" customHeight="1" outlineLevel="2" x14ac:dyDescent="0.2">
      <c r="A25" s="32" t="s">
        <v>83</v>
      </c>
      <c r="B25" s="375">
        <f>+Conoco!$F$41</f>
        <v>548786.79</v>
      </c>
      <c r="C25" s="401">
        <f t="shared" si="0"/>
        <v>193234.78521126762</v>
      </c>
      <c r="D25" s="14">
        <f>+Conoco!D48</f>
        <v>72634</v>
      </c>
      <c r="E25" s="70">
        <f t="shared" si="1"/>
        <v>120600.78521126762</v>
      </c>
      <c r="F25" s="397">
        <f>+Conoco!A41</f>
        <v>37128</v>
      </c>
      <c r="G25" s="205" t="s">
        <v>162</v>
      </c>
      <c r="H25" s="32" t="s">
        <v>116</v>
      </c>
      <c r="I25" s="32" t="s">
        <v>195</v>
      </c>
      <c r="J25" s="32"/>
      <c r="K25" s="32"/>
    </row>
    <row r="26" spans="1:20" ht="15.95" customHeight="1" outlineLevel="2" x14ac:dyDescent="0.2">
      <c r="A26" s="32" t="s">
        <v>3</v>
      </c>
      <c r="B26" s="375">
        <f>+'Amoco Abo'!$F$43</f>
        <v>422262.44</v>
      </c>
      <c r="C26" s="401">
        <f t="shared" si="0"/>
        <v>148683.95774647887</v>
      </c>
      <c r="D26" s="14">
        <f>+'Amoco Abo'!D49</f>
        <v>-242790</v>
      </c>
      <c r="E26" s="70">
        <f t="shared" si="1"/>
        <v>391473.95774647885</v>
      </c>
      <c r="F26" s="398">
        <f>+'Amoco Abo'!A43</f>
        <v>37128</v>
      </c>
      <c r="G26" s="205" t="s">
        <v>161</v>
      </c>
      <c r="H26" s="32" t="s">
        <v>118</v>
      </c>
      <c r="I26" s="32" t="s">
        <v>196</v>
      </c>
      <c r="J26" s="32"/>
      <c r="K26" s="32"/>
    </row>
    <row r="27" spans="1:20" ht="15.95" customHeight="1" outlineLevel="2" x14ac:dyDescent="0.2">
      <c r="A27" s="32" t="s">
        <v>110</v>
      </c>
      <c r="B27" s="375">
        <f>+KN_Westar!F41</f>
        <v>445767.91</v>
      </c>
      <c r="C27" s="401">
        <f t="shared" si="0"/>
        <v>156960.53169014084</v>
      </c>
      <c r="D27" s="14">
        <f>+KN_Westar!D48</f>
        <v>20577</v>
      </c>
      <c r="E27" s="70">
        <f t="shared" si="1"/>
        <v>136383.53169014084</v>
      </c>
      <c r="F27" s="398">
        <f>+KN_Westar!A41</f>
        <v>37128</v>
      </c>
      <c r="G27" s="205" t="s">
        <v>162</v>
      </c>
      <c r="H27" s="32" t="s">
        <v>103</v>
      </c>
      <c r="I27" s="32"/>
      <c r="J27" s="32"/>
      <c r="K27" s="32"/>
    </row>
    <row r="28" spans="1:20" ht="15.95" customHeight="1" outlineLevel="2" x14ac:dyDescent="0.2">
      <c r="A28" s="32" t="s">
        <v>131</v>
      </c>
      <c r="B28" s="375">
        <f>+DEFS!F53</f>
        <v>289252.48000000045</v>
      </c>
      <c r="C28" s="402">
        <f t="shared" si="0"/>
        <v>101849.46478873256</v>
      </c>
      <c r="D28" s="14">
        <f>+DEFS!M53</f>
        <v>441790</v>
      </c>
      <c r="E28" s="70">
        <f t="shared" si="1"/>
        <v>-339940.53521126742</v>
      </c>
      <c r="F28" s="398">
        <f>+DEFS!A40</f>
        <v>37128</v>
      </c>
      <c r="G28" s="205" t="s">
        <v>161</v>
      </c>
      <c r="H28" s="32" t="s">
        <v>103</v>
      </c>
      <c r="I28" s="32" t="s">
        <v>121</v>
      </c>
      <c r="J28" s="32"/>
      <c r="K28" s="32"/>
    </row>
    <row r="29" spans="1:20" ht="15.95" customHeight="1" outlineLevel="2" x14ac:dyDescent="0.2">
      <c r="A29" s="32" t="s">
        <v>113</v>
      </c>
      <c r="B29" s="375">
        <f>+CIG!D43</f>
        <v>427495.48</v>
      </c>
      <c r="C29" s="401">
        <f t="shared" si="0"/>
        <v>150526.57746478874</v>
      </c>
      <c r="D29" s="14">
        <f>+CIG!D49</f>
        <v>41761</v>
      </c>
      <c r="E29" s="70">
        <f t="shared" si="1"/>
        <v>108765.57746478874</v>
      </c>
      <c r="F29" s="398">
        <f>+CIG!A43</f>
        <v>37125</v>
      </c>
      <c r="G29" s="205" t="s">
        <v>162</v>
      </c>
      <c r="H29" s="32" t="s">
        <v>116</v>
      </c>
      <c r="I29" s="32"/>
      <c r="J29" s="32"/>
      <c r="K29" s="32"/>
    </row>
    <row r="30" spans="1:20" ht="18" customHeight="1" outlineLevel="1" x14ac:dyDescent="0.2">
      <c r="A30" s="32" t="s">
        <v>2</v>
      </c>
      <c r="B30" s="375">
        <f>+mewborne!$J$43</f>
        <v>329216.64000000001</v>
      </c>
      <c r="C30" s="401">
        <f t="shared" si="0"/>
        <v>115921.35211267606</v>
      </c>
      <c r="D30" s="14">
        <f>+mewborne!D49</f>
        <v>131044</v>
      </c>
      <c r="E30" s="70">
        <f t="shared" si="1"/>
        <v>-15122.647887323939</v>
      </c>
      <c r="F30" s="398">
        <f>+mewborne!A43</f>
        <v>37128</v>
      </c>
      <c r="G30" s="205" t="s">
        <v>162</v>
      </c>
      <c r="H30" s="32" t="s">
        <v>102</v>
      </c>
      <c r="I30" s="32"/>
      <c r="J30" s="32"/>
      <c r="K30" s="32"/>
    </row>
    <row r="31" spans="1:20" ht="18" customHeight="1" x14ac:dyDescent="0.2">
      <c r="A31" s="32" t="s">
        <v>154</v>
      </c>
      <c r="B31" s="375">
        <f>+PGETX!$H$39</f>
        <v>485265.05</v>
      </c>
      <c r="C31" s="401">
        <f t="shared" si="0"/>
        <v>170867.97535211267</v>
      </c>
      <c r="D31" s="14">
        <f>+PGETX!E48</f>
        <v>119838</v>
      </c>
      <c r="E31" s="70">
        <f t="shared" si="1"/>
        <v>51029.975352112669</v>
      </c>
      <c r="F31" s="398">
        <f>+PGETX!E39</f>
        <v>37128</v>
      </c>
      <c r="G31" s="205" t="s">
        <v>160</v>
      </c>
      <c r="H31" s="32" t="s">
        <v>105</v>
      </c>
      <c r="I31" s="32" t="s">
        <v>198</v>
      </c>
      <c r="J31" s="32"/>
      <c r="K31" s="32"/>
    </row>
    <row r="32" spans="1:20" ht="17.100000000000001" customHeight="1" x14ac:dyDescent="0.2">
      <c r="A32" s="32" t="s">
        <v>85</v>
      </c>
      <c r="B32" s="375">
        <f>+PNM!$D$23</f>
        <v>139898.86999999997</v>
      </c>
      <c r="C32" s="401">
        <f t="shared" si="0"/>
        <v>49260.165492957734</v>
      </c>
      <c r="D32" s="14">
        <f>+PNM!D30</f>
        <v>12380</v>
      </c>
      <c r="E32" s="70">
        <f t="shared" si="1"/>
        <v>36880.165492957734</v>
      </c>
      <c r="F32" s="398">
        <f>+PNM!A23</f>
        <v>37128</v>
      </c>
      <c r="G32" s="205" t="s">
        <v>161</v>
      </c>
      <c r="H32" s="32" t="s">
        <v>118</v>
      </c>
      <c r="I32" s="32"/>
      <c r="J32" s="32"/>
      <c r="K32" s="32"/>
    </row>
    <row r="33" spans="1:12" ht="17.100000000000001" customHeight="1" x14ac:dyDescent="0.2">
      <c r="A33" s="32" t="s">
        <v>106</v>
      </c>
      <c r="B33" s="375">
        <f>+EOG!J41</f>
        <v>83993.16</v>
      </c>
      <c r="C33" s="401">
        <f t="shared" si="0"/>
        <v>29575.056338028171</v>
      </c>
      <c r="D33" s="14">
        <f>+EOG!D48</f>
        <v>-83298</v>
      </c>
      <c r="E33" s="70">
        <f t="shared" si="1"/>
        <v>112873.05633802817</v>
      </c>
      <c r="F33" s="397">
        <f>+EOG!A41</f>
        <v>37128</v>
      </c>
      <c r="G33" s="205" t="s">
        <v>162</v>
      </c>
      <c r="H33" s="32" t="s">
        <v>105</v>
      </c>
      <c r="I33" s="32"/>
      <c r="J33" s="32"/>
      <c r="K33" s="32"/>
    </row>
    <row r="34" spans="1:12" ht="17.100000000000001" customHeight="1" x14ac:dyDescent="0.2">
      <c r="A34" s="32" t="s">
        <v>136</v>
      </c>
      <c r="B34" s="375">
        <f>+SidR!D41</f>
        <v>10093.85</v>
      </c>
      <c r="C34" s="401">
        <f t="shared" si="0"/>
        <v>3554.172535211268</v>
      </c>
      <c r="D34" s="14">
        <f>+SidR!D48</f>
        <v>56808</v>
      </c>
      <c r="E34" s="70">
        <f t="shared" si="1"/>
        <v>-53253.82746478873</v>
      </c>
      <c r="F34" s="398">
        <f>+SidR!A41</f>
        <v>37128</v>
      </c>
      <c r="G34" s="205" t="s">
        <v>160</v>
      </c>
      <c r="H34" s="32" t="s">
        <v>105</v>
      </c>
      <c r="I34" s="32"/>
      <c r="J34" s="32"/>
      <c r="K34" s="32"/>
    </row>
    <row r="35" spans="1:12" ht="17.100000000000001" customHeight="1" x14ac:dyDescent="0.2">
      <c r="A35" s="32" t="s">
        <v>112</v>
      </c>
      <c r="B35" s="375">
        <f>+Continental!F43</f>
        <v>-5216.57</v>
      </c>
      <c r="C35" s="402">
        <f t="shared" si="0"/>
        <v>-1836.8204225352113</v>
      </c>
      <c r="D35" s="14">
        <f>+Continental!D50</f>
        <v>-17302</v>
      </c>
      <c r="E35" s="70">
        <f t="shared" si="1"/>
        <v>15465.179577464789</v>
      </c>
      <c r="F35" s="398">
        <f>+Continental!A43</f>
        <v>37128</v>
      </c>
      <c r="G35" s="205" t="s">
        <v>162</v>
      </c>
      <c r="H35" s="32" t="s">
        <v>118</v>
      </c>
      <c r="I35" s="32"/>
      <c r="J35" s="32"/>
      <c r="K35" s="32"/>
    </row>
    <row r="36" spans="1:12" ht="17.100000000000001" customHeight="1" x14ac:dyDescent="0.2">
      <c r="A36" s="32" t="s">
        <v>134</v>
      </c>
      <c r="B36" s="375">
        <f>+EPFS!D41</f>
        <v>-133506.75</v>
      </c>
      <c r="C36" s="402">
        <f>+B36/$J$5</f>
        <v>-45565.443686006824</v>
      </c>
      <c r="D36" s="14">
        <f>+EPFS!D47</f>
        <v>-34659</v>
      </c>
      <c r="E36" s="70">
        <f t="shared" si="1"/>
        <v>-10906.443686006824</v>
      </c>
      <c r="F36" s="397">
        <f>+EPFS!A41</f>
        <v>37128</v>
      </c>
      <c r="G36" s="205" t="s">
        <v>161</v>
      </c>
      <c r="H36" s="32" t="s">
        <v>105</v>
      </c>
      <c r="I36" s="32"/>
      <c r="J36" s="32"/>
      <c r="K36" s="32"/>
    </row>
    <row r="37" spans="1:12" ht="17.100000000000001" customHeight="1" x14ac:dyDescent="0.2">
      <c r="A37" s="206" t="s">
        <v>82</v>
      </c>
      <c r="B37" s="378">
        <f>+Agave!$D$24</f>
        <v>-179023.67</v>
      </c>
      <c r="C37" s="403">
        <f>+B37/$J$4</f>
        <v>-63036.503521126768</v>
      </c>
      <c r="D37" s="379">
        <f>+Agave!D31</f>
        <v>-98379</v>
      </c>
      <c r="E37" s="72">
        <f t="shared" si="1"/>
        <v>35342.496478873232</v>
      </c>
      <c r="F37" s="397">
        <f>+Agave!A24</f>
        <v>37128</v>
      </c>
      <c r="G37" s="205" t="s">
        <v>201</v>
      </c>
      <c r="H37" s="206" t="s">
        <v>105</v>
      </c>
      <c r="I37" s="32"/>
      <c r="J37" s="32"/>
      <c r="K37" s="32"/>
    </row>
    <row r="38" spans="1:12" ht="17.100000000000001" customHeight="1" x14ac:dyDescent="0.2">
      <c r="A38" s="153" t="s">
        <v>175</v>
      </c>
      <c r="B38" s="421">
        <f>SUBTOTAL(9,B24:B37)</f>
        <v>3240657.1700000009</v>
      </c>
      <c r="C38" s="428">
        <f>SUBTOTAL(9,C24:C37)</f>
        <v>1142520.4436379371</v>
      </c>
      <c r="D38" s="429">
        <f>SUBTOTAL(9,D24:D37)</f>
        <v>385064</v>
      </c>
      <c r="E38" s="430">
        <f>SUBTOTAL(9,E24:E37)</f>
        <v>757456.44363793696</v>
      </c>
      <c r="F38" s="397"/>
      <c r="G38" s="382"/>
      <c r="H38" s="32"/>
      <c r="I38" s="206"/>
      <c r="J38" s="32"/>
      <c r="K38" s="32"/>
      <c r="L38" s="32"/>
    </row>
    <row r="39" spans="1:12" ht="12" customHeight="1" x14ac:dyDescent="0.2">
      <c r="A39" s="206"/>
      <c r="H39" s="32"/>
      <c r="I39" s="206"/>
      <c r="J39" s="32"/>
      <c r="K39" s="32"/>
      <c r="L39" s="32"/>
    </row>
    <row r="40" spans="1:12" ht="17.100000000000001" customHeight="1" x14ac:dyDescent="0.2">
      <c r="A40" s="153" t="s">
        <v>176</v>
      </c>
      <c r="B40" s="421">
        <f>SUBTOTAL(9,B12:B37)</f>
        <v>1904077.810000001</v>
      </c>
      <c r="C40" s="428">
        <f>SUBTOTAL(9,C12:C37)</f>
        <v>671994.41763984319</v>
      </c>
      <c r="D40" s="429">
        <f>SUBTOTAL(9,D12:D37)</f>
        <v>121146</v>
      </c>
      <c r="E40" s="430">
        <f>SUBTOTAL(9,E12:E37)</f>
        <v>550848.41763984307</v>
      </c>
      <c r="F40" s="397"/>
      <c r="G40" s="206"/>
      <c r="H40" s="32"/>
      <c r="I40" s="206"/>
      <c r="J40" s="32"/>
      <c r="K40" s="32"/>
      <c r="L40" s="32"/>
    </row>
    <row r="41" spans="1:12" ht="12.95" customHeight="1" x14ac:dyDescent="0.2">
      <c r="A41" s="206"/>
      <c r="B41" s="375"/>
      <c r="C41" s="401"/>
      <c r="D41" s="401"/>
      <c r="E41" s="401"/>
      <c r="F41" s="382"/>
      <c r="G41" s="32"/>
      <c r="I41" s="32"/>
      <c r="J41" s="32"/>
      <c r="K41" s="32"/>
      <c r="L41" s="32"/>
    </row>
    <row r="42" spans="1:12" ht="14.1" customHeight="1" x14ac:dyDescent="0.2"/>
    <row r="43" spans="1:12" ht="12.95" customHeight="1" x14ac:dyDescent="0.2"/>
    <row r="44" spans="1:12" ht="13.5" customHeight="1" x14ac:dyDescent="0.2"/>
    <row r="45" spans="1:12" ht="13.5" customHeight="1" outlineLevel="2" x14ac:dyDescent="0.2">
      <c r="A45" s="34" t="s">
        <v>145</v>
      </c>
      <c r="D45" s="7"/>
      <c r="I45" s="416" t="s">
        <v>81</v>
      </c>
      <c r="J45" s="419"/>
      <c r="K45" s="32"/>
    </row>
    <row r="46" spans="1:12" ht="13.5" customHeight="1" outlineLevel="2" x14ac:dyDescent="0.2">
      <c r="D46" s="7"/>
      <c r="I46" s="417" t="s">
        <v>30</v>
      </c>
      <c r="J46" s="420">
        <f>+J3</f>
        <v>2.66</v>
      </c>
      <c r="K46" s="437">
        <f ca="1">NOW()</f>
        <v>37130.462157060188</v>
      </c>
    </row>
    <row r="47" spans="1:12" ht="13.5" customHeight="1" outlineLevel="2" x14ac:dyDescent="0.2">
      <c r="A47" s="34" t="s">
        <v>152</v>
      </c>
      <c r="C47" s="34" t="s">
        <v>5</v>
      </c>
      <c r="D47" s="7"/>
      <c r="I47" s="418" t="s">
        <v>31</v>
      </c>
      <c r="J47" s="420">
        <f>+J4</f>
        <v>2.84</v>
      </c>
      <c r="K47" s="32"/>
    </row>
    <row r="48" spans="1:12" ht="13.5" customHeight="1" outlineLevel="1" x14ac:dyDescent="0.2">
      <c r="D48" s="7"/>
      <c r="I48" s="417" t="s">
        <v>120</v>
      </c>
      <c r="J48" s="420">
        <f>+J5</f>
        <v>2.93</v>
      </c>
      <c r="K48" s="32"/>
    </row>
    <row r="49" spans="1:19" ht="13.5" customHeight="1" outlineLevel="2" x14ac:dyDescent="0.2"/>
    <row r="50" spans="1:19" ht="13.5" customHeight="1" outlineLevel="2" x14ac:dyDescent="0.2">
      <c r="A50" s="435" t="s">
        <v>180</v>
      </c>
      <c r="B50" s="436"/>
    </row>
    <row r="51" spans="1:19" ht="13.5" customHeight="1" outlineLevel="2" x14ac:dyDescent="0.2">
      <c r="A51" s="32"/>
      <c r="C51" s="438" t="s">
        <v>166</v>
      </c>
      <c r="D51" s="12" t="s">
        <v>183</v>
      </c>
      <c r="E51" s="12" t="s">
        <v>185</v>
      </c>
      <c r="F51" s="2" t="s">
        <v>155</v>
      </c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</row>
    <row r="52" spans="1:19" ht="13.5" customHeight="1" outlineLevel="2" x14ac:dyDescent="0.2">
      <c r="A52" s="399" t="s">
        <v>92</v>
      </c>
      <c r="B52" s="434" t="s">
        <v>0</v>
      </c>
      <c r="C52" s="411" t="s">
        <v>182</v>
      </c>
      <c r="D52" s="39" t="s">
        <v>184</v>
      </c>
      <c r="E52" s="39" t="s">
        <v>186</v>
      </c>
      <c r="F52" s="39" t="s">
        <v>153</v>
      </c>
      <c r="G52" s="423" t="s">
        <v>159</v>
      </c>
      <c r="H52" s="400" t="s">
        <v>104</v>
      </c>
      <c r="I52" s="399" t="s">
        <v>101</v>
      </c>
      <c r="J52" s="32"/>
      <c r="K52" s="32"/>
      <c r="L52" s="32"/>
      <c r="N52" s="32"/>
      <c r="O52" s="32"/>
      <c r="P52" s="32"/>
      <c r="Q52" s="32"/>
      <c r="R52" s="32"/>
      <c r="S52" s="32"/>
    </row>
    <row r="53" spans="1:19" ht="13.5" customHeight="1" outlineLevel="2" x14ac:dyDescent="0.2">
      <c r="B53" s="296"/>
      <c r="C53" s="252"/>
    </row>
    <row r="54" spans="1:19" ht="13.5" customHeight="1" outlineLevel="1" x14ac:dyDescent="0.2">
      <c r="A54" s="399" t="s">
        <v>169</v>
      </c>
      <c r="B54" s="296"/>
      <c r="C54" s="252"/>
    </row>
    <row r="55" spans="1:19" ht="13.5" customHeight="1" outlineLevel="2" x14ac:dyDescent="0.2">
      <c r="A55" s="32" t="s">
        <v>97</v>
      </c>
      <c r="B55" s="401">
        <f>+Mojave!D40</f>
        <v>150125</v>
      </c>
      <c r="C55" s="375">
        <f>+B55*$J$4</f>
        <v>426355</v>
      </c>
      <c r="D55" s="47">
        <f>+Mojave!D47</f>
        <v>122814.48</v>
      </c>
      <c r="E55" s="47">
        <f>+C55-D55</f>
        <v>303540.52</v>
      </c>
      <c r="F55" s="398">
        <f>+Mojave!A40</f>
        <v>37128</v>
      </c>
      <c r="H55" s="32" t="s">
        <v>103</v>
      </c>
      <c r="I55" s="32" t="s">
        <v>189</v>
      </c>
      <c r="J55" s="32"/>
      <c r="K55" s="32"/>
    </row>
    <row r="56" spans="1:19" ht="15" customHeight="1" outlineLevel="2" x14ac:dyDescent="0.2">
      <c r="A56" s="32" t="s">
        <v>33</v>
      </c>
      <c r="B56" s="402">
        <f>+SoCal!F40</f>
        <v>184491</v>
      </c>
      <c r="C56" s="375">
        <f>+B56*$J$4</f>
        <v>523954.44</v>
      </c>
      <c r="D56" s="47">
        <f>+SoCal!D47</f>
        <v>560278.66</v>
      </c>
      <c r="E56" s="47">
        <f>+C56-D56</f>
        <v>-36324.22000000003</v>
      </c>
      <c r="F56" s="398">
        <f>+SoCal!A40</f>
        <v>37128</v>
      </c>
      <c r="H56" s="32" t="s">
        <v>105</v>
      </c>
      <c r="I56" s="32"/>
      <c r="J56" s="32"/>
      <c r="K56" s="32"/>
    </row>
    <row r="57" spans="1:19" ht="15" customHeight="1" outlineLevel="2" x14ac:dyDescent="0.2">
      <c r="A57" s="32" t="s">
        <v>202</v>
      </c>
      <c r="B57" s="401">
        <f>+'El Paso'!C39</f>
        <v>64156</v>
      </c>
      <c r="C57" s="375">
        <f>+B57*$J$4</f>
        <v>182203.03999999998</v>
      </c>
      <c r="D57" s="47">
        <f>+'El Paso'!C46</f>
        <v>-1583281.92</v>
      </c>
      <c r="E57" s="47">
        <f>+C57-D57</f>
        <v>1765484.96</v>
      </c>
      <c r="F57" s="398">
        <f>+'El Paso'!A31</f>
        <v>27</v>
      </c>
      <c r="G57" s="475"/>
      <c r="H57" s="32" t="s">
        <v>103</v>
      </c>
      <c r="I57" s="32" t="s">
        <v>193</v>
      </c>
      <c r="J57" s="32"/>
      <c r="K57" s="32"/>
    </row>
    <row r="58" spans="1:19" ht="15" customHeight="1" outlineLevel="1" x14ac:dyDescent="0.2">
      <c r="A58" s="32" t="s">
        <v>117</v>
      </c>
      <c r="B58" s="403">
        <f>+'PG&amp;E'!D40</f>
        <v>39537</v>
      </c>
      <c r="C58" s="378">
        <f>+B58*$J$4</f>
        <v>112285.07999999999</v>
      </c>
      <c r="D58" s="378">
        <f>+'PG&amp;E'!D47</f>
        <v>-114514.30000000002</v>
      </c>
      <c r="E58" s="378">
        <f>+C58-D58</f>
        <v>226799.38</v>
      </c>
      <c r="F58" s="398">
        <f>+'PG&amp;E'!A40</f>
        <v>37128</v>
      </c>
      <c r="H58" s="32" t="s">
        <v>105</v>
      </c>
      <c r="I58" s="32"/>
      <c r="J58" s="32"/>
      <c r="K58" s="32"/>
    </row>
    <row r="59" spans="1:19" ht="15" customHeight="1" x14ac:dyDescent="0.2">
      <c r="A59" s="2" t="s">
        <v>170</v>
      </c>
      <c r="B59" s="428">
        <f>SUBTOTAL(9,B55:B58)</f>
        <v>438309</v>
      </c>
      <c r="C59" s="421">
        <f>SUBTOTAL(9,C55:C58)</f>
        <v>1244797.56</v>
      </c>
      <c r="D59" s="421">
        <f>SUBTOTAL(9,D55:D58)</f>
        <v>-1014703.08</v>
      </c>
      <c r="E59" s="421">
        <f>SUBTOTAL(9,E55:E58)</f>
        <v>2259500.64</v>
      </c>
      <c r="F59" s="398"/>
      <c r="G59" s="205"/>
      <c r="H59" s="32"/>
      <c r="I59" s="32"/>
      <c r="J59" s="32"/>
      <c r="K59" s="32"/>
    </row>
    <row r="60" spans="1:19" ht="12.95" customHeight="1" x14ac:dyDescent="0.2">
      <c r="B60" s="296"/>
      <c r="C60" s="252"/>
      <c r="G60" s="205"/>
    </row>
    <row r="61" spans="1:19" ht="15" customHeight="1" x14ac:dyDescent="0.2">
      <c r="A61" s="399" t="s">
        <v>59</v>
      </c>
      <c r="B61" s="296"/>
      <c r="C61" s="252"/>
      <c r="G61" s="205"/>
    </row>
    <row r="62" spans="1:19" x14ac:dyDescent="0.2">
      <c r="A62" s="206" t="s">
        <v>29</v>
      </c>
      <c r="B62" s="401">
        <f>+williams!J40</f>
        <v>294819</v>
      </c>
      <c r="C62" s="375">
        <f>+B62*$J$3</f>
        <v>784218.54</v>
      </c>
      <c r="D62" s="47">
        <f>+williams!D48</f>
        <v>1338175.23</v>
      </c>
      <c r="E62" s="47">
        <f>+C62-D62</f>
        <v>-553956.68999999994</v>
      </c>
      <c r="F62" s="397">
        <f>+williams!A40</f>
        <v>37128</v>
      </c>
      <c r="G62" s="205" t="s">
        <v>161</v>
      </c>
      <c r="H62" s="206" t="s">
        <v>151</v>
      </c>
      <c r="I62" s="32" t="s">
        <v>192</v>
      </c>
      <c r="J62" s="32"/>
      <c r="K62" s="32"/>
    </row>
    <row r="63" spans="1:19" x14ac:dyDescent="0.2">
      <c r="A63" s="32" t="s">
        <v>24</v>
      </c>
      <c r="B63" s="401">
        <f>+'Red C'!F43</f>
        <v>137593</v>
      </c>
      <c r="C63" s="376">
        <f>+B63*J3</f>
        <v>365997.38</v>
      </c>
      <c r="D63" s="202">
        <f>+'Red C'!D52</f>
        <v>664455.07999999996</v>
      </c>
      <c r="E63" s="47">
        <f>+C63-D63</f>
        <v>-298457.69999999995</v>
      </c>
      <c r="F63" s="397">
        <f>+'Red C'!B43</f>
        <v>37128</v>
      </c>
      <c r="G63" s="205" t="s">
        <v>161</v>
      </c>
      <c r="H63" s="32" t="s">
        <v>118</v>
      </c>
      <c r="I63" s="32" t="s">
        <v>190</v>
      </c>
      <c r="J63" s="32"/>
      <c r="K63" s="32"/>
    </row>
    <row r="64" spans="1:19" x14ac:dyDescent="0.2">
      <c r="A64" s="32" t="s">
        <v>6</v>
      </c>
      <c r="B64" s="401">
        <f>+Amoco!D40</f>
        <v>99365</v>
      </c>
      <c r="C64" s="375">
        <f>+B64*$J$3</f>
        <v>264310.90000000002</v>
      </c>
      <c r="D64" s="47">
        <f>+Amoco!D47</f>
        <v>530073.65</v>
      </c>
      <c r="E64" s="47">
        <f>+C64-D64</f>
        <v>-265762.75</v>
      </c>
      <c r="F64" s="398">
        <f>+Amoco!A40</f>
        <v>37128</v>
      </c>
      <c r="G64" s="205" t="s">
        <v>161</v>
      </c>
      <c r="H64" s="32" t="s">
        <v>118</v>
      </c>
      <c r="I64" s="32" t="s">
        <v>191</v>
      </c>
      <c r="J64" s="32"/>
      <c r="K64" s="32"/>
    </row>
    <row r="65" spans="1:12" x14ac:dyDescent="0.2">
      <c r="A65" s="32" t="s">
        <v>203</v>
      </c>
      <c r="B65" s="401">
        <f>+'El Paso'!E39</f>
        <v>-66707</v>
      </c>
      <c r="C65" s="375">
        <f>+B65*$J$3</f>
        <v>-177440.62</v>
      </c>
      <c r="D65" s="47">
        <f>+'El Paso'!F46</f>
        <v>-647391.2799999998</v>
      </c>
      <c r="E65" s="47">
        <f>+C65-D65</f>
        <v>469950.6599999998</v>
      </c>
      <c r="F65" s="398">
        <f>+'El Paso'!A39</f>
        <v>37128</v>
      </c>
      <c r="G65" s="475"/>
      <c r="H65" s="32" t="s">
        <v>103</v>
      </c>
      <c r="I65" s="32" t="s">
        <v>193</v>
      </c>
      <c r="J65" s="32"/>
      <c r="K65" s="32"/>
    </row>
    <row r="66" spans="1:12" x14ac:dyDescent="0.2">
      <c r="A66" s="32" t="s">
        <v>1</v>
      </c>
      <c r="B66" s="403">
        <f>+NW!$F$41</f>
        <v>74476</v>
      </c>
      <c r="C66" s="378">
        <f>+B66*$J$3</f>
        <v>198106.16</v>
      </c>
      <c r="D66" s="378">
        <f>+NW!E49</f>
        <v>-303257.88</v>
      </c>
      <c r="E66" s="378">
        <f>+C66-D66</f>
        <v>501364.04000000004</v>
      </c>
      <c r="F66" s="397">
        <f>+NW!B41</f>
        <v>37128</v>
      </c>
      <c r="G66" s="205" t="s">
        <v>161</v>
      </c>
      <c r="H66" s="32" t="s">
        <v>118</v>
      </c>
      <c r="I66" s="32"/>
      <c r="J66" s="32"/>
      <c r="K66" s="32"/>
    </row>
    <row r="67" spans="1:12" x14ac:dyDescent="0.2">
      <c r="A67" s="32" t="s">
        <v>171</v>
      </c>
      <c r="B67" s="428">
        <f>SUBTOTAL(9,B62:B66)</f>
        <v>539546</v>
      </c>
      <c r="C67" s="421">
        <f>SUBTOTAL(9,C62:C66)</f>
        <v>1435192.3599999996</v>
      </c>
      <c r="D67" s="421">
        <f>SUBTOTAL(9,D62:D66)</f>
        <v>1582054.8000000003</v>
      </c>
      <c r="E67" s="421">
        <f>SUBTOTAL(9,E62:E66)</f>
        <v>-146862.44000000006</v>
      </c>
      <c r="F67" s="397"/>
      <c r="G67" s="205"/>
      <c r="H67" s="32"/>
      <c r="I67" s="32"/>
      <c r="J67" s="32"/>
      <c r="K67" s="32"/>
    </row>
    <row r="68" spans="1:12" x14ac:dyDescent="0.2">
      <c r="B68" s="296"/>
      <c r="C68" s="252"/>
      <c r="G68" s="205"/>
    </row>
    <row r="69" spans="1:12" x14ac:dyDescent="0.2">
      <c r="A69" s="399" t="s">
        <v>173</v>
      </c>
      <c r="B69" s="296"/>
      <c r="C69" s="252"/>
      <c r="G69" s="205"/>
    </row>
    <row r="70" spans="1:12" x14ac:dyDescent="0.2">
      <c r="A70" s="32" t="s">
        <v>91</v>
      </c>
      <c r="B70" s="401">
        <f>+NGPL!F38</f>
        <v>135610</v>
      </c>
      <c r="C70" s="375">
        <f>+B70*$J$4</f>
        <v>385132.39999999997</v>
      </c>
      <c r="D70" s="47">
        <f>+NGPL!D45</f>
        <v>343345</v>
      </c>
      <c r="E70" s="47">
        <f>+C70-D70</f>
        <v>41787.399999999965</v>
      </c>
      <c r="F70" s="398">
        <f>+NGPL!A38</f>
        <v>37128</v>
      </c>
      <c r="G70" s="205"/>
      <c r="H70" s="32" t="s">
        <v>118</v>
      </c>
      <c r="I70" s="32"/>
      <c r="J70" s="32"/>
      <c r="K70" s="32"/>
    </row>
    <row r="71" spans="1:12" x14ac:dyDescent="0.2">
      <c r="A71" s="32" t="s">
        <v>148</v>
      </c>
      <c r="B71" s="401">
        <f>+PEPL!D41</f>
        <v>64490</v>
      </c>
      <c r="C71" s="376">
        <f>+B71*$J$4</f>
        <v>183151.59999999998</v>
      </c>
      <c r="D71" s="47">
        <f>+PEPL!D47</f>
        <v>307608.89999999997</v>
      </c>
      <c r="E71" s="47">
        <f>+C71-D71</f>
        <v>-124457.29999999999</v>
      </c>
      <c r="F71" s="398">
        <f>+PEPL!A41</f>
        <v>37128</v>
      </c>
      <c r="H71" s="32" t="s">
        <v>103</v>
      </c>
      <c r="I71" s="32" t="s">
        <v>147</v>
      </c>
      <c r="J71" s="32"/>
      <c r="K71" s="32"/>
    </row>
    <row r="72" spans="1:12" x14ac:dyDescent="0.2">
      <c r="A72" s="32" t="s">
        <v>7</v>
      </c>
      <c r="B72" s="402">
        <f>+Oasis!D40</f>
        <v>42802</v>
      </c>
      <c r="C72" s="375">
        <f>+B72*$J$4</f>
        <v>121557.68</v>
      </c>
      <c r="D72" s="47">
        <f>+Oasis!D47</f>
        <v>-265333.02999999997</v>
      </c>
      <c r="E72" s="47">
        <f>+C72-D72</f>
        <v>386890.70999999996</v>
      </c>
      <c r="F72" s="398">
        <f>+Oasis!B40</f>
        <v>37128</v>
      </c>
      <c r="H72" s="32" t="s">
        <v>105</v>
      </c>
      <c r="I72" s="32"/>
      <c r="J72" s="32"/>
      <c r="K72" s="32"/>
    </row>
    <row r="73" spans="1:12" x14ac:dyDescent="0.2">
      <c r="A73" s="32" t="s">
        <v>32</v>
      </c>
      <c r="B73" s="405">
        <f>+Lonestar!F42</f>
        <v>67498</v>
      </c>
      <c r="C73" s="378">
        <f>+B73*$J$4</f>
        <v>191694.31999999998</v>
      </c>
      <c r="D73" s="378">
        <f>+Lonestar!D49</f>
        <v>58523.149999999994</v>
      </c>
      <c r="E73" s="378">
        <f>+C73-D73</f>
        <v>133171.16999999998</v>
      </c>
      <c r="F73" s="397">
        <f>+Lonestar!B42</f>
        <v>37128</v>
      </c>
      <c r="H73" s="32" t="s">
        <v>105</v>
      </c>
      <c r="I73" s="32"/>
      <c r="J73" s="32"/>
      <c r="K73" s="32"/>
    </row>
    <row r="74" spans="1:12" x14ac:dyDescent="0.2">
      <c r="A74" s="2" t="s">
        <v>174</v>
      </c>
      <c r="B74" s="422">
        <f>SUBTOTAL(9,B70:B73)</f>
        <v>310400</v>
      </c>
      <c r="C74" s="421">
        <f>SUBTOTAL(9,C70:C73)</f>
        <v>881535.99999999988</v>
      </c>
      <c r="D74" s="421">
        <f>SUBTOTAL(9,D70:D73)</f>
        <v>444144.0199999999</v>
      </c>
      <c r="E74" s="421">
        <f>SUBTOTAL(9,E70:E73)</f>
        <v>437391.97999999992</v>
      </c>
      <c r="F74" s="397"/>
      <c r="H74" s="32"/>
      <c r="I74" s="32"/>
      <c r="J74" s="32"/>
      <c r="K74" s="32"/>
    </row>
    <row r="75" spans="1:12" x14ac:dyDescent="0.2">
      <c r="B75" s="296"/>
      <c r="C75" s="252"/>
    </row>
    <row r="76" spans="1:12" x14ac:dyDescent="0.2">
      <c r="A76" s="2" t="s">
        <v>181</v>
      </c>
      <c r="B76" s="422">
        <f>SUBTOTAL(9,B55:B73)</f>
        <v>1288255</v>
      </c>
      <c r="C76" s="421">
        <f>SUBTOTAL(9,C55:C73)</f>
        <v>3561525.92</v>
      </c>
      <c r="D76" s="421">
        <f>SUBTOTAL(9,D55:D73)</f>
        <v>1011495.7400000001</v>
      </c>
      <c r="E76" s="421">
        <f>SUBTOTAL(9,E55:E73)</f>
        <v>2550030.1799999997</v>
      </c>
      <c r="F76" s="397"/>
      <c r="H76" s="32"/>
      <c r="I76" s="32"/>
      <c r="J76" s="32"/>
      <c r="K76" s="32"/>
    </row>
    <row r="77" spans="1:12" x14ac:dyDescent="0.2">
      <c r="A77" s="32"/>
      <c r="B77" s="375"/>
      <c r="C77" s="402"/>
      <c r="D77" s="375"/>
      <c r="E77" s="375"/>
      <c r="F77" s="397"/>
      <c r="H77" s="32"/>
      <c r="I77" s="32"/>
      <c r="J77" s="32"/>
      <c r="K77" s="32"/>
    </row>
    <row r="78" spans="1:12" x14ac:dyDescent="0.2">
      <c r="A78" s="32"/>
      <c r="B78" s="378"/>
      <c r="C78" s="401"/>
      <c r="D78" s="304"/>
      <c r="E78" s="304"/>
      <c r="F78" s="397"/>
      <c r="G78" s="32"/>
      <c r="I78" s="32"/>
      <c r="J78" s="32"/>
      <c r="K78" s="32"/>
      <c r="L78" s="32"/>
    </row>
    <row r="79" spans="1:12" ht="13.5" thickBot="1" x14ac:dyDescent="0.25">
      <c r="A79" s="2" t="s">
        <v>187</v>
      </c>
      <c r="B79" s="431">
        <f>+C76+B40</f>
        <v>5465603.7300000004</v>
      </c>
      <c r="C79" s="208">
        <f>+summary!B45</f>
        <v>5465603.7299999995</v>
      </c>
      <c r="D79" s="375"/>
      <c r="E79" s="375"/>
      <c r="F79" s="382"/>
      <c r="H79" s="32"/>
      <c r="I79" s="32"/>
      <c r="J79" s="32"/>
      <c r="K79" s="32"/>
    </row>
    <row r="80" spans="1:12" ht="13.5" thickTop="1" x14ac:dyDescent="0.2">
      <c r="A80" s="2" t="s">
        <v>188</v>
      </c>
      <c r="B80" s="14">
        <f>+B76+C40</f>
        <v>1960249.4176398432</v>
      </c>
      <c r="C80" s="404">
        <f>+summary!C45</f>
        <v>1960249.4176398437</v>
      </c>
      <c r="D80" s="478"/>
      <c r="E80" s="304"/>
      <c r="F80" s="382"/>
      <c r="G80" s="32"/>
      <c r="H80" s="32"/>
      <c r="I80" s="32"/>
      <c r="J80" s="32"/>
    </row>
    <row r="81" spans="1:10" x14ac:dyDescent="0.2">
      <c r="A81" s="32"/>
      <c r="B81" s="47"/>
      <c r="C81" s="406"/>
      <c r="D81" s="304"/>
      <c r="E81" s="304"/>
      <c r="F81" s="206"/>
      <c r="G81" s="32"/>
      <c r="H81" s="32"/>
      <c r="I81" s="32"/>
      <c r="J81" s="32"/>
    </row>
    <row r="82" spans="1:10" x14ac:dyDescent="0.2">
      <c r="A82" s="32"/>
      <c r="B82" s="47"/>
      <c r="C82" s="69"/>
      <c r="E82" s="32"/>
      <c r="F82" s="32"/>
      <c r="G82" s="32"/>
      <c r="H82" s="32"/>
      <c r="I82" s="32"/>
    </row>
    <row r="83" spans="1:10" x14ac:dyDescent="0.2">
      <c r="A83" s="32"/>
      <c r="B83" s="47"/>
      <c r="C83" s="69"/>
      <c r="D83" s="32"/>
      <c r="E83" s="32"/>
      <c r="F83" s="32"/>
      <c r="G83" s="32"/>
      <c r="H83" s="32"/>
    </row>
    <row r="84" spans="1:10" x14ac:dyDescent="0.2">
      <c r="A84" s="32"/>
      <c r="B84" s="202"/>
      <c r="C84" s="305"/>
      <c r="D84" s="16"/>
      <c r="E84" s="32"/>
      <c r="F84" s="32"/>
      <c r="G84" s="32"/>
      <c r="H84" s="32"/>
    </row>
    <row r="90" spans="1:10" x14ac:dyDescent="0.2">
      <c r="A90" s="32"/>
      <c r="B90" s="202"/>
      <c r="C90" s="69"/>
      <c r="D90" s="70"/>
      <c r="E90" s="32"/>
      <c r="F90" s="32"/>
      <c r="G90" s="32"/>
      <c r="H90" s="32"/>
    </row>
    <row r="91" spans="1:10" x14ac:dyDescent="0.2">
      <c r="A91" s="32"/>
      <c r="B91" s="47"/>
      <c r="C91" s="14"/>
      <c r="D91" s="32"/>
      <c r="E91" s="32"/>
      <c r="F91" s="32"/>
      <c r="G91" s="32"/>
      <c r="H91" s="32"/>
    </row>
    <row r="92" spans="1:10" x14ac:dyDescent="0.2">
      <c r="A92" s="32"/>
      <c r="B92" s="47"/>
      <c r="C92" s="14"/>
      <c r="D92" s="32"/>
      <c r="E92" s="32"/>
      <c r="F92" s="32"/>
      <c r="G92" s="32"/>
      <c r="H92" s="32"/>
    </row>
    <row r="93" spans="1:10" x14ac:dyDescent="0.2">
      <c r="A93" s="32"/>
      <c r="B93" s="202"/>
      <c r="C93" s="14"/>
      <c r="D93" s="70"/>
      <c r="E93" s="32"/>
      <c r="F93" s="32"/>
      <c r="G93" s="32"/>
      <c r="H93" s="32"/>
    </row>
    <row r="94" spans="1:10" x14ac:dyDescent="0.2">
      <c r="A94" s="32"/>
      <c r="B94" s="202"/>
      <c r="C94" s="69"/>
      <c r="D94" s="70"/>
      <c r="E94" s="32"/>
      <c r="F94" s="32"/>
      <c r="G94" s="32"/>
      <c r="H94" s="32"/>
    </row>
    <row r="95" spans="1:10" x14ac:dyDescent="0.2">
      <c r="A95" s="32"/>
      <c r="B95" s="202"/>
      <c r="C95" s="69"/>
      <c r="D95" s="32"/>
      <c r="E95" s="32"/>
      <c r="F95" s="32"/>
      <c r="G95" s="32"/>
      <c r="H95" s="32"/>
    </row>
    <row r="96" spans="1:10" x14ac:dyDescent="0.2">
      <c r="A96" s="32"/>
      <c r="B96" s="202"/>
      <c r="C96" s="395"/>
      <c r="D96" s="32"/>
      <c r="E96" s="32"/>
      <c r="F96" s="32"/>
      <c r="G96" s="32"/>
      <c r="H96" s="32"/>
    </row>
    <row r="97" spans="1:8" x14ac:dyDescent="0.2">
      <c r="A97" s="32"/>
      <c r="B97" s="47"/>
      <c r="C97" s="69"/>
      <c r="D97" s="32"/>
      <c r="E97" s="32"/>
      <c r="F97" s="32"/>
      <c r="G97" s="32"/>
      <c r="H97" s="32"/>
    </row>
    <row r="98" spans="1:8" x14ac:dyDescent="0.2">
      <c r="A98" s="32"/>
      <c r="B98" s="47"/>
      <c r="D98" s="32"/>
      <c r="E98" s="32"/>
      <c r="F98" s="32"/>
      <c r="G98" s="32"/>
      <c r="H98" s="32"/>
    </row>
    <row r="99" spans="1:8" x14ac:dyDescent="0.2">
      <c r="A99" s="32"/>
      <c r="B99" s="47"/>
      <c r="D99" s="32"/>
      <c r="E99" s="32"/>
      <c r="F99" s="32"/>
      <c r="G99" s="32"/>
      <c r="H99" s="32"/>
    </row>
    <row r="100" spans="1:8" x14ac:dyDescent="0.2">
      <c r="A100" s="32"/>
      <c r="B100" s="47"/>
      <c r="D100" s="32"/>
      <c r="E100" s="32"/>
      <c r="F100" s="32"/>
      <c r="G100" s="32"/>
      <c r="H100" s="32"/>
    </row>
    <row r="101" spans="1:8" x14ac:dyDescent="0.2">
      <c r="A101" s="32"/>
      <c r="B101" s="47"/>
      <c r="D101" s="32"/>
      <c r="E101" s="32"/>
      <c r="F101" s="32"/>
      <c r="G101" s="32"/>
      <c r="H101" s="32"/>
    </row>
    <row r="102" spans="1:8" x14ac:dyDescent="0.2">
      <c r="A102" s="32"/>
      <c r="B102" s="47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C122" s="69"/>
      <c r="D122" s="32"/>
      <c r="E122" s="32"/>
      <c r="F122" s="32"/>
      <c r="G122" s="32"/>
      <c r="H122" s="32"/>
    </row>
    <row r="123" spans="1:8" x14ac:dyDescent="0.2">
      <c r="A123" s="32"/>
      <c r="B123" s="47"/>
      <c r="C123" s="69"/>
      <c r="D123" s="32"/>
      <c r="E123" s="32"/>
      <c r="F123" s="32"/>
      <c r="G123" s="32"/>
      <c r="H123" s="32"/>
    </row>
    <row r="124" spans="1:8" x14ac:dyDescent="0.2">
      <c r="A124" s="32"/>
      <c r="B124" s="47"/>
      <c r="C124" s="69"/>
      <c r="D124" s="32"/>
      <c r="E124" s="32"/>
      <c r="F124" s="32"/>
      <c r="G124" s="32"/>
      <c r="H124" s="32"/>
    </row>
    <row r="125" spans="1:8" x14ac:dyDescent="0.2">
      <c r="A125" s="32"/>
      <c r="B125" s="47"/>
      <c r="C125" s="69"/>
      <c r="D125" s="32"/>
      <c r="E125" s="32"/>
      <c r="F125" s="32"/>
      <c r="G125" s="32"/>
      <c r="H125" s="32"/>
    </row>
    <row r="126" spans="1:8" x14ac:dyDescent="0.2">
      <c r="A126" s="32"/>
      <c r="B126" s="47"/>
      <c r="C126" s="69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22" workbookViewId="3">
      <selection activeCell="E33" sqref="E33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0"/>
      <c r="J6" s="279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4"/>
      <c r="J7" s="278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135583</v>
      </c>
      <c r="C8" s="11">
        <v>136569</v>
      </c>
      <c r="D8" s="11">
        <v>13121</v>
      </c>
      <c r="E8" s="11">
        <v>13535</v>
      </c>
      <c r="F8" s="11">
        <f>+C8-B8+E8-D8</f>
        <v>1400</v>
      </c>
      <c r="G8" s="143"/>
      <c r="H8" s="139"/>
      <c r="I8" s="274"/>
      <c r="J8" s="278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136387</v>
      </c>
      <c r="C9" s="11">
        <v>135717</v>
      </c>
      <c r="D9" s="11">
        <v>13025</v>
      </c>
      <c r="E9" s="11">
        <v>13535</v>
      </c>
      <c r="F9" s="11">
        <f t="shared" ref="F9:F39" si="5">+C9-B9+E9-D9</f>
        <v>-160</v>
      </c>
      <c r="G9" s="143"/>
      <c r="H9" s="139"/>
      <c r="I9" s="274"/>
      <c r="J9" s="278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136601</v>
      </c>
      <c r="C10" s="11">
        <v>134408</v>
      </c>
      <c r="D10" s="11">
        <v>12516</v>
      </c>
      <c r="E10" s="11">
        <v>13535</v>
      </c>
      <c r="F10" s="11">
        <f t="shared" si="5"/>
        <v>-1174</v>
      </c>
      <c r="G10" s="143"/>
      <c r="H10" s="139"/>
      <c r="I10" s="274"/>
      <c r="J10" s="278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135865</v>
      </c>
      <c r="C11" s="11">
        <v>133237</v>
      </c>
      <c r="D11" s="11">
        <v>12626</v>
      </c>
      <c r="E11" s="11">
        <v>13033</v>
      </c>
      <c r="F11" s="11">
        <f t="shared" si="5"/>
        <v>-2221</v>
      </c>
      <c r="G11" s="143"/>
      <c r="H11" s="139"/>
      <c r="I11" s="281"/>
      <c r="J11" s="278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133471</v>
      </c>
      <c r="C12" s="11">
        <v>133237</v>
      </c>
      <c r="D12" s="11">
        <v>12524</v>
      </c>
      <c r="E12" s="11">
        <v>13033</v>
      </c>
      <c r="F12" s="11">
        <f t="shared" si="5"/>
        <v>275</v>
      </c>
      <c r="G12" s="143"/>
      <c r="H12" s="139"/>
      <c r="I12" s="278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134006</v>
      </c>
      <c r="C13" s="11">
        <v>133237</v>
      </c>
      <c r="D13" s="11">
        <v>13295</v>
      </c>
      <c r="E13" s="11">
        <v>13033</v>
      </c>
      <c r="F13" s="11">
        <f t="shared" si="5"/>
        <v>-1031</v>
      </c>
      <c r="G13" s="143"/>
      <c r="H13" s="139"/>
      <c r="I13" s="278"/>
      <c r="J13" s="278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134912</v>
      </c>
      <c r="C14" s="11">
        <v>135829</v>
      </c>
      <c r="D14" s="11">
        <v>13535</v>
      </c>
      <c r="E14" s="11">
        <v>12532</v>
      </c>
      <c r="F14" s="11">
        <f t="shared" si="5"/>
        <v>-86</v>
      </c>
      <c r="G14" s="143"/>
      <c r="H14" s="139"/>
      <c r="I14" s="278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134512</v>
      </c>
      <c r="C15" s="11">
        <v>132577</v>
      </c>
      <c r="D15" s="11">
        <v>13538</v>
      </c>
      <c r="E15" s="11">
        <v>12532</v>
      </c>
      <c r="F15" s="11">
        <f t="shared" si="5"/>
        <v>-2941</v>
      </c>
      <c r="G15" s="143"/>
      <c r="H15" s="139"/>
      <c r="I15" s="278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136608</v>
      </c>
      <c r="C16" s="11">
        <v>136963</v>
      </c>
      <c r="D16" s="11">
        <v>13485</v>
      </c>
      <c r="E16" s="11">
        <v>12532</v>
      </c>
      <c r="F16" s="11">
        <f t="shared" si="5"/>
        <v>-598</v>
      </c>
      <c r="G16" s="143"/>
      <c r="H16" s="139"/>
      <c r="I16" s="278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143113</v>
      </c>
      <c r="C17" s="11">
        <v>141646</v>
      </c>
      <c r="D17" s="11">
        <v>13377</v>
      </c>
      <c r="E17" s="11">
        <v>12532</v>
      </c>
      <c r="F17" s="11">
        <f t="shared" si="5"/>
        <v>-2312</v>
      </c>
      <c r="G17" s="143"/>
      <c r="H17" s="139"/>
      <c r="I17" s="278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141898</v>
      </c>
      <c r="C18" s="11">
        <v>141616</v>
      </c>
      <c r="D18" s="11">
        <v>13005</v>
      </c>
      <c r="E18" s="11">
        <v>12532</v>
      </c>
      <c r="F18" s="11">
        <f t="shared" si="5"/>
        <v>-755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146840</v>
      </c>
      <c r="C19" s="11">
        <v>146894</v>
      </c>
      <c r="D19" s="11">
        <v>12622</v>
      </c>
      <c r="E19" s="11">
        <v>12532</v>
      </c>
      <c r="F19" s="11">
        <f t="shared" si="5"/>
        <v>-36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138816</v>
      </c>
      <c r="C20" s="11">
        <v>137624</v>
      </c>
      <c r="D20" s="11">
        <v>11029</v>
      </c>
      <c r="E20" s="11">
        <v>12532</v>
      </c>
      <c r="F20" s="11">
        <f t="shared" si="5"/>
        <v>311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1">
        <v>147189</v>
      </c>
      <c r="C21" s="11">
        <v>146894</v>
      </c>
      <c r="D21" s="11">
        <v>12935</v>
      </c>
      <c r="E21" s="11">
        <v>12532</v>
      </c>
      <c r="F21" s="11">
        <f t="shared" si="5"/>
        <v>-698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1">
        <v>140386</v>
      </c>
      <c r="C22" s="11">
        <v>140915</v>
      </c>
      <c r="D22" s="11">
        <v>12623</v>
      </c>
      <c r="E22" s="11">
        <v>12532</v>
      </c>
      <c r="F22" s="11">
        <f t="shared" si="5"/>
        <v>438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1">
        <v>141948</v>
      </c>
      <c r="C23" s="11">
        <v>141882</v>
      </c>
      <c r="D23" s="11">
        <v>12641</v>
      </c>
      <c r="E23" s="11">
        <v>12532</v>
      </c>
      <c r="F23" s="11">
        <f t="shared" si="5"/>
        <v>-175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1">
        <v>140303</v>
      </c>
      <c r="C24" s="11">
        <v>139659</v>
      </c>
      <c r="D24" s="11">
        <v>12615</v>
      </c>
      <c r="E24" s="11">
        <v>12532</v>
      </c>
      <c r="F24" s="11">
        <f t="shared" si="5"/>
        <v>-727</v>
      </c>
      <c r="G24" s="276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52</v>
      </c>
      <c r="B25" s="11">
        <v>142945</v>
      </c>
      <c r="C25" s="11">
        <v>142830</v>
      </c>
      <c r="D25" s="11">
        <v>12628</v>
      </c>
      <c r="E25" s="11">
        <v>12532</v>
      </c>
      <c r="F25" s="11">
        <f t="shared" si="5"/>
        <v>-211</v>
      </c>
      <c r="G25" s="320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1">
        <v>138040</v>
      </c>
      <c r="C26" s="11">
        <v>138430</v>
      </c>
      <c r="D26" s="11">
        <v>11271</v>
      </c>
      <c r="E26" s="11">
        <v>12532</v>
      </c>
      <c r="F26" s="11">
        <f t="shared" si="5"/>
        <v>1651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1">
        <v>131479</v>
      </c>
      <c r="C27" s="11">
        <v>131398</v>
      </c>
      <c r="D27" s="11"/>
      <c r="E27" s="11"/>
      <c r="F27" s="11">
        <f t="shared" si="5"/>
        <v>-81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150">
        <v>145720</v>
      </c>
      <c r="C28" s="150">
        <v>145465</v>
      </c>
      <c r="D28" s="150">
        <v>10112</v>
      </c>
      <c r="E28" s="150">
        <v>12532</v>
      </c>
      <c r="F28" s="11">
        <f t="shared" si="5"/>
        <v>2165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150">
        <v>144699</v>
      </c>
      <c r="C29" s="150">
        <v>144643</v>
      </c>
      <c r="D29" s="150">
        <v>14070</v>
      </c>
      <c r="E29" s="150">
        <v>12532</v>
      </c>
      <c r="F29" s="11">
        <f t="shared" si="5"/>
        <v>-1594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>
        <v>143989</v>
      </c>
      <c r="C30" s="150">
        <v>141813</v>
      </c>
      <c r="D30" s="150">
        <v>13039</v>
      </c>
      <c r="E30" s="150">
        <v>12532</v>
      </c>
      <c r="F30" s="11">
        <f t="shared" si="5"/>
        <v>-2683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>
        <v>143943</v>
      </c>
      <c r="C31" s="150">
        <v>144862</v>
      </c>
      <c r="D31" s="150">
        <v>12535</v>
      </c>
      <c r="E31" s="150">
        <v>12532</v>
      </c>
      <c r="F31" s="11">
        <f t="shared" si="5"/>
        <v>916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>
        <v>144473</v>
      </c>
      <c r="C32" s="150">
        <v>144669</v>
      </c>
      <c r="D32" s="150">
        <v>11941</v>
      </c>
      <c r="E32" s="150">
        <v>12532</v>
      </c>
      <c r="F32" s="11">
        <f t="shared" si="5"/>
        <v>787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3493726</v>
      </c>
      <c r="C39" s="150">
        <f>SUM(C8:C38)</f>
        <v>3483014</v>
      </c>
      <c r="D39" s="150">
        <f>SUM(D8:D38)</f>
        <v>304108</v>
      </c>
      <c r="E39" s="150">
        <f>SUM(E8:E38)</f>
        <v>305280</v>
      </c>
      <c r="F39" s="11">
        <f t="shared" si="5"/>
        <v>-9540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1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37103</v>
      </c>
      <c r="C42" s="153"/>
      <c r="D42" s="153"/>
      <c r="E42" s="153"/>
      <c r="F42" s="446">
        <v>147133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37128</v>
      </c>
      <c r="C43" s="142"/>
      <c r="D43" s="142"/>
      <c r="E43" s="142"/>
      <c r="F43" s="150">
        <f>+F42+F39</f>
        <v>137593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427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167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+B42</f>
        <v>37103</v>
      </c>
      <c r="B50" s="32"/>
      <c r="C50" s="32"/>
      <c r="D50" s="440">
        <v>689831.48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+B43</f>
        <v>37128</v>
      </c>
      <c r="B51" s="32"/>
      <c r="C51" s="32"/>
      <c r="D51" s="408">
        <f>+F39*'by type'!J3</f>
        <v>-25376.400000000001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202">
        <f>+D51+D50</f>
        <v>664455.07999999996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409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409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409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409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21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25" workbookViewId="3">
      <selection activeCell="C30" sqref="C30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-55850</v>
      </c>
      <c r="C5" s="24">
        <v>-55438</v>
      </c>
      <c r="D5" s="24">
        <f>+C5-B5</f>
        <v>412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-43999</v>
      </c>
      <c r="C6" s="51">
        <v>-43938</v>
      </c>
      <c r="D6" s="24">
        <f t="shared" ref="D6:D36" si="0">+C6-B6</f>
        <v>61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-29392</v>
      </c>
      <c r="C7" s="51">
        <v>-29570</v>
      </c>
      <c r="D7" s="24">
        <f t="shared" si="0"/>
        <v>-178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-59280</v>
      </c>
      <c r="C8" s="51">
        <v>-59683</v>
      </c>
      <c r="D8" s="24">
        <f t="shared" si="0"/>
        <v>-403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-59827</v>
      </c>
      <c r="C9" s="24">
        <v>-59683</v>
      </c>
      <c r="D9" s="24">
        <f t="shared" si="0"/>
        <v>144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-58120</v>
      </c>
      <c r="C10" s="24">
        <v>-57497</v>
      </c>
      <c r="D10" s="24">
        <f t="shared" si="0"/>
        <v>623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-52462</v>
      </c>
      <c r="C11" s="24">
        <v>-52789</v>
      </c>
      <c r="D11" s="24">
        <f t="shared" si="0"/>
        <v>-327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-94542</v>
      </c>
      <c r="C12" s="51">
        <v>-93200</v>
      </c>
      <c r="D12" s="24">
        <f t="shared" si="0"/>
        <v>1342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-59632</v>
      </c>
      <c r="C13" s="24">
        <v>-58938</v>
      </c>
      <c r="D13" s="24">
        <f t="shared" si="0"/>
        <v>694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-88592</v>
      </c>
      <c r="C14" s="24">
        <v>-88150</v>
      </c>
      <c r="D14" s="24">
        <f t="shared" si="0"/>
        <v>442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-53451</v>
      </c>
      <c r="C15" s="24">
        <v>-52903</v>
      </c>
      <c r="D15" s="24">
        <f t="shared" si="0"/>
        <v>548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>
        <v>-52850</v>
      </c>
      <c r="C16" s="24">
        <v>-52903</v>
      </c>
      <c r="D16" s="24">
        <f t="shared" si="0"/>
        <v>-53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-52893</v>
      </c>
      <c r="C17" s="24">
        <v>-52903</v>
      </c>
      <c r="D17" s="24">
        <f t="shared" si="0"/>
        <v>-10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-59252</v>
      </c>
      <c r="C18" s="24">
        <v>-59157</v>
      </c>
      <c r="D18" s="24">
        <f t="shared" si="0"/>
        <v>95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-47665</v>
      </c>
      <c r="C19" s="24">
        <v>-47738</v>
      </c>
      <c r="D19" s="24">
        <f t="shared" si="0"/>
        <v>-73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-43304</v>
      </c>
      <c r="C20" s="24">
        <v>-43210</v>
      </c>
      <c r="D20" s="24">
        <f t="shared" si="0"/>
        <v>94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-81707</v>
      </c>
      <c r="C21" s="24">
        <v>-81915</v>
      </c>
      <c r="D21" s="24">
        <f t="shared" si="0"/>
        <v>-208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-42631</v>
      </c>
      <c r="C22" s="24">
        <v>-42144</v>
      </c>
      <c r="D22" s="24">
        <f t="shared" si="0"/>
        <v>487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-43653</v>
      </c>
      <c r="C23" s="24">
        <v>-41943</v>
      </c>
      <c r="D23" s="24">
        <f t="shared" si="0"/>
        <v>1710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>
        <v>-43713</v>
      </c>
      <c r="C24" s="24">
        <v>-42140</v>
      </c>
      <c r="D24" s="24">
        <f t="shared" si="0"/>
        <v>1573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>
        <v>-36219</v>
      </c>
      <c r="C25" s="24">
        <v>-35934</v>
      </c>
      <c r="D25" s="24">
        <f t="shared" si="0"/>
        <v>285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>
        <v>-87894</v>
      </c>
      <c r="C26" s="24">
        <v>-87282</v>
      </c>
      <c r="D26" s="24">
        <f t="shared" si="0"/>
        <v>612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>
        <v>-50383</v>
      </c>
      <c r="C27" s="24">
        <v>-50285</v>
      </c>
      <c r="D27" s="24">
        <f t="shared" si="0"/>
        <v>98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>
        <v>-65432</v>
      </c>
      <c r="C28" s="24">
        <v>-65738</v>
      </c>
      <c r="D28" s="24">
        <f t="shared" si="0"/>
        <v>-306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>
        <v>-88880</v>
      </c>
      <c r="C29" s="24">
        <v>-88719</v>
      </c>
      <c r="D29" s="24">
        <f t="shared" si="0"/>
        <v>161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4"/>
      <c r="W34" s="304"/>
      <c r="X34" s="304"/>
      <c r="Y34" s="304"/>
      <c r="Z34" s="149"/>
      <c r="AA34" s="150"/>
      <c r="AB34" s="150"/>
      <c r="AC34" s="150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4"/>
      <c r="BG34" s="304"/>
      <c r="BH34" s="304"/>
      <c r="BI34" s="304"/>
      <c r="BJ34" s="304"/>
      <c r="BK34" s="304"/>
      <c r="BL34" s="304"/>
      <c r="BM34" s="304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4"/>
      <c r="W35" s="304"/>
      <c r="X35" s="304"/>
      <c r="Y35" s="304"/>
      <c r="Z35" s="149"/>
      <c r="AA35" s="150"/>
      <c r="AB35" s="150"/>
      <c r="AC35" s="150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4"/>
      <c r="BF35" s="304"/>
      <c r="BG35" s="304"/>
      <c r="BH35" s="304"/>
      <c r="BI35" s="304"/>
      <c r="BJ35" s="304"/>
      <c r="BK35" s="304"/>
      <c r="BL35" s="304"/>
      <c r="BM35" s="304"/>
    </row>
    <row r="36" spans="1:65" ht="14.1" customHeight="1" x14ac:dyDescent="0.2">
      <c r="A36" s="12"/>
      <c r="B36" s="24">
        <f>SUM(B5:B35)</f>
        <v>-1451623</v>
      </c>
      <c r="C36" s="24">
        <f>SUM(C5:C35)</f>
        <v>-1443800</v>
      </c>
      <c r="D36" s="24">
        <f t="shared" si="0"/>
        <v>7823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4"/>
      <c r="W36" s="304"/>
      <c r="X36" s="304"/>
      <c r="Y36" s="304"/>
      <c r="Z36" s="149"/>
      <c r="AA36" s="150"/>
      <c r="AB36" s="150"/>
      <c r="AC36" s="150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4"/>
      <c r="BG36" s="304"/>
      <c r="BH36" s="304"/>
      <c r="BI36" s="304"/>
      <c r="BJ36" s="304"/>
      <c r="BK36" s="304"/>
      <c r="BL36" s="304"/>
      <c r="BM36" s="304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4"/>
      <c r="W37" s="304"/>
      <c r="X37" s="304"/>
      <c r="Y37" s="304"/>
      <c r="Z37" s="206"/>
      <c r="AA37" s="208"/>
      <c r="AB37" s="208"/>
      <c r="AC37" s="208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304"/>
      <c r="BD37" s="304"/>
      <c r="BE37" s="304"/>
      <c r="BF37" s="304"/>
      <c r="BG37" s="304"/>
      <c r="BH37" s="304"/>
      <c r="BI37" s="304"/>
      <c r="BJ37" s="304"/>
      <c r="BK37" s="304"/>
      <c r="BL37" s="304"/>
      <c r="BM37" s="304"/>
    </row>
    <row r="38" spans="1:65" x14ac:dyDescent="0.2">
      <c r="B38" s="255">
        <v>37103</v>
      </c>
      <c r="C38" s="24"/>
      <c r="D38" s="439">
        <v>34979</v>
      </c>
      <c r="E38" s="2"/>
      <c r="G38" s="24"/>
      <c r="H38" s="24"/>
      <c r="I38" s="150"/>
      <c r="J38" s="304"/>
      <c r="K38" s="150"/>
      <c r="L38" s="150"/>
      <c r="M38" s="150"/>
      <c r="N38" s="304"/>
      <c r="O38" s="150"/>
      <c r="P38" s="150"/>
      <c r="Q38" s="150"/>
      <c r="R38" s="304"/>
      <c r="S38" s="150"/>
      <c r="T38" s="150"/>
      <c r="U38" s="150"/>
      <c r="V38" s="304"/>
      <c r="W38" s="304"/>
      <c r="X38" s="304"/>
      <c r="Y38" s="304"/>
      <c r="Z38" s="304"/>
      <c r="AA38" s="150"/>
      <c r="AB38" s="150"/>
      <c r="AC38" s="150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304"/>
      <c r="AW38" s="304"/>
      <c r="AX38" s="304"/>
      <c r="AY38" s="304"/>
      <c r="AZ38" s="304"/>
      <c r="BA38" s="304"/>
      <c r="BB38" s="304"/>
      <c r="BC38" s="304"/>
      <c r="BD38" s="304"/>
      <c r="BE38" s="304"/>
      <c r="BF38" s="304"/>
      <c r="BG38" s="304"/>
      <c r="BH38" s="304"/>
      <c r="BI38" s="304"/>
      <c r="BJ38" s="304"/>
      <c r="BK38" s="304"/>
      <c r="BL38" s="304"/>
      <c r="BM38" s="304"/>
    </row>
    <row r="39" spans="1:65" x14ac:dyDescent="0.2">
      <c r="B39" s="255"/>
      <c r="C39" s="24"/>
      <c r="D39" s="24"/>
      <c r="E39" s="2"/>
      <c r="G39" s="24"/>
      <c r="H39" s="24"/>
      <c r="I39" s="150"/>
      <c r="J39" s="304"/>
      <c r="K39" s="150"/>
      <c r="L39" s="150"/>
      <c r="M39" s="150"/>
      <c r="N39" s="304"/>
      <c r="O39" s="150"/>
      <c r="P39" s="150"/>
      <c r="Q39" s="150"/>
      <c r="R39" s="304"/>
      <c r="S39" s="150"/>
      <c r="T39" s="150"/>
      <c r="U39" s="150"/>
      <c r="V39" s="304"/>
      <c r="W39" s="304"/>
      <c r="X39" s="304"/>
      <c r="Y39" s="304"/>
      <c r="Z39" s="304"/>
      <c r="AA39" s="150"/>
      <c r="AB39" s="150"/>
      <c r="AC39" s="150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304"/>
      <c r="AW39" s="304"/>
      <c r="AX39" s="304"/>
      <c r="AY39" s="304"/>
      <c r="AZ39" s="304"/>
      <c r="BA39" s="304"/>
      <c r="BB39" s="304"/>
      <c r="BC39" s="304"/>
      <c r="BD39" s="304"/>
      <c r="BE39" s="304"/>
      <c r="BF39" s="304"/>
      <c r="BG39" s="304"/>
      <c r="BH39" s="304"/>
      <c r="BI39" s="304"/>
      <c r="BJ39" s="304"/>
      <c r="BK39" s="304"/>
      <c r="BL39" s="304"/>
      <c r="BM39" s="304"/>
    </row>
    <row r="40" spans="1:65" ht="13.5" thickBot="1" x14ac:dyDescent="0.25">
      <c r="B40" s="255">
        <v>37128</v>
      </c>
      <c r="C40" s="24"/>
      <c r="D40" s="195">
        <f>+D36+D38</f>
        <v>42802</v>
      </c>
      <c r="E40" s="196"/>
      <c r="G40" s="24"/>
      <c r="H40" s="24"/>
      <c r="I40" s="150"/>
      <c r="J40" s="304"/>
      <c r="K40" s="150"/>
      <c r="L40" s="150"/>
      <c r="M40" s="150"/>
      <c r="N40" s="304"/>
      <c r="O40" s="150"/>
      <c r="P40" s="150"/>
      <c r="Q40" s="169"/>
      <c r="R40" s="304"/>
      <c r="S40" s="150"/>
      <c r="T40" s="150"/>
      <c r="U40" s="169"/>
      <c r="V40" s="304"/>
      <c r="W40" s="304"/>
      <c r="X40" s="304"/>
      <c r="Y40" s="304"/>
      <c r="Z40" s="304"/>
      <c r="AA40" s="150"/>
      <c r="AB40" s="150"/>
      <c r="AC40" s="169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304"/>
    </row>
    <row r="41" spans="1:65" ht="13.5" thickTop="1" x14ac:dyDescent="0.2">
      <c r="B41" s="256"/>
      <c r="C41"/>
      <c r="D41"/>
      <c r="E41" s="2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/>
      <c r="AV41" s="304"/>
      <c r="AW41" s="304"/>
      <c r="AX41" s="304"/>
      <c r="AY41" s="304"/>
      <c r="AZ41" s="304"/>
      <c r="BA41" s="304"/>
      <c r="BB41" s="304"/>
      <c r="BC41" s="304"/>
      <c r="BD41" s="304"/>
      <c r="BE41" s="304"/>
      <c r="BF41" s="304"/>
      <c r="BG41" s="304"/>
      <c r="BH41" s="304"/>
      <c r="BI41" s="304"/>
      <c r="BJ41" s="304"/>
      <c r="BK41" s="304"/>
      <c r="BL41" s="304"/>
      <c r="BM41" s="304"/>
    </row>
    <row r="42" spans="1:65" x14ac:dyDescent="0.2">
      <c r="B42" s="2"/>
      <c r="C42"/>
      <c r="D42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304"/>
      <c r="AW42" s="304"/>
      <c r="AX42" s="304"/>
      <c r="AY42" s="304"/>
      <c r="AZ42" s="304"/>
      <c r="BA42" s="304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</row>
    <row r="43" spans="1:65" x14ac:dyDescent="0.2">
      <c r="B43"/>
      <c r="C43"/>
      <c r="D43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4"/>
      <c r="BA43" s="304"/>
      <c r="BB43" s="304"/>
      <c r="BC43" s="304"/>
      <c r="BD43" s="304"/>
      <c r="BE43" s="304"/>
      <c r="BF43" s="304"/>
      <c r="BG43" s="304"/>
      <c r="BH43" s="304"/>
      <c r="BI43" s="304"/>
      <c r="BJ43" s="304"/>
      <c r="BK43" s="304"/>
      <c r="BL43" s="304"/>
      <c r="BM43" s="304"/>
    </row>
    <row r="44" spans="1:65" x14ac:dyDescent="0.2">
      <c r="A44" s="32" t="s">
        <v>158</v>
      </c>
      <c r="B44" s="32"/>
      <c r="C44" s="32"/>
      <c r="D44" s="47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/>
      <c r="AV44" s="304"/>
      <c r="AW44" s="304"/>
      <c r="AX44" s="304"/>
      <c r="AY44" s="304"/>
      <c r="AZ44" s="304"/>
      <c r="BA44" s="304"/>
      <c r="BB44" s="304"/>
      <c r="BC44" s="304"/>
      <c r="BD44" s="304"/>
      <c r="BE44" s="304"/>
      <c r="BF44" s="304"/>
      <c r="BG44" s="304"/>
      <c r="BH44" s="304"/>
      <c r="BI44" s="304"/>
      <c r="BJ44" s="304"/>
      <c r="BK44" s="304"/>
      <c r="BL44" s="304"/>
      <c r="BM44" s="304"/>
    </row>
    <row r="45" spans="1:65" x14ac:dyDescent="0.2">
      <c r="A45" s="49">
        <f>+B38</f>
        <v>37103</v>
      </c>
      <c r="B45" s="32"/>
      <c r="C45" s="32"/>
      <c r="D45" s="440">
        <v>-287550.34999999998</v>
      </c>
    </row>
    <row r="46" spans="1:65" x14ac:dyDescent="0.2">
      <c r="A46" s="49">
        <f>+B40</f>
        <v>37128</v>
      </c>
      <c r="B46" s="32"/>
      <c r="C46" s="32"/>
      <c r="D46" s="408">
        <f>+D36*'by type'!J4</f>
        <v>22217.32</v>
      </c>
    </row>
    <row r="47" spans="1:65" x14ac:dyDescent="0.2">
      <c r="A47" s="32"/>
      <c r="B47" s="32"/>
      <c r="C47" s="32"/>
      <c r="D47" s="202">
        <f>+D46+D45</f>
        <v>-265333.02999999997</v>
      </c>
    </row>
    <row r="48" spans="1:65" x14ac:dyDescent="0.2">
      <c r="B48"/>
      <c r="C48"/>
      <c r="D48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3" workbookViewId="3">
      <selection activeCell="C18" sqref="C18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56339</v>
      </c>
      <c r="B5" s="90">
        <v>837969</v>
      </c>
      <c r="C5" s="90">
        <v>866891</v>
      </c>
      <c r="D5" s="90">
        <f>+C5-B5</f>
        <v>28922</v>
      </c>
      <c r="E5" s="285"/>
      <c r="F5" s="283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797231</v>
      </c>
      <c r="C7" s="90">
        <v>778531</v>
      </c>
      <c r="D7" s="90">
        <f t="shared" si="0"/>
        <v>-18700</v>
      </c>
      <c r="E7" s="285"/>
      <c r="F7" s="283"/>
      <c r="L7" t="s">
        <v>26</v>
      </c>
      <c r="M7">
        <v>7.6</v>
      </c>
    </row>
    <row r="8" spans="1:13" x14ac:dyDescent="0.2">
      <c r="A8" s="87">
        <v>500239</v>
      </c>
      <c r="B8" s="319">
        <v>1087473</v>
      </c>
      <c r="C8" s="90">
        <v>1136200</v>
      </c>
      <c r="D8" s="90">
        <f t="shared" si="0"/>
        <v>48727</v>
      </c>
      <c r="E8" s="285"/>
      <c r="F8" s="283"/>
    </row>
    <row r="9" spans="1:13" x14ac:dyDescent="0.2">
      <c r="A9" s="87">
        <v>500293</v>
      </c>
      <c r="B9" s="90">
        <v>364041</v>
      </c>
      <c r="C9" s="90">
        <v>505957</v>
      </c>
      <c r="D9" s="90">
        <f t="shared" si="0"/>
        <v>141916</v>
      </c>
      <c r="E9" s="285"/>
      <c r="F9" s="283"/>
    </row>
    <row r="10" spans="1:13" x14ac:dyDescent="0.2">
      <c r="A10" s="87">
        <v>500302</v>
      </c>
      <c r="B10" s="319"/>
      <c r="C10" s="319">
        <v>9400</v>
      </c>
      <c r="D10" s="90">
        <f t="shared" si="0"/>
        <v>9400</v>
      </c>
      <c r="E10" s="285"/>
      <c r="F10" s="283"/>
    </row>
    <row r="11" spans="1:13" x14ac:dyDescent="0.2">
      <c r="A11" s="87">
        <v>500303</v>
      </c>
      <c r="B11" s="319">
        <v>220958</v>
      </c>
      <c r="C11" s="90">
        <v>278806</v>
      </c>
      <c r="D11" s="90">
        <f t="shared" si="0"/>
        <v>57848</v>
      </c>
      <c r="E11" s="285"/>
      <c r="F11" s="283"/>
    </row>
    <row r="12" spans="1:13" x14ac:dyDescent="0.2">
      <c r="A12" s="91">
        <v>500305</v>
      </c>
      <c r="B12" s="319">
        <v>854605</v>
      </c>
      <c r="C12" s="90">
        <v>1109622</v>
      </c>
      <c r="D12" s="90">
        <f t="shared" si="0"/>
        <v>255017</v>
      </c>
      <c r="E12" s="286"/>
      <c r="F12" s="283"/>
    </row>
    <row r="13" spans="1:13" x14ac:dyDescent="0.2">
      <c r="A13" s="87">
        <v>500307</v>
      </c>
      <c r="B13" s="319">
        <v>91997</v>
      </c>
      <c r="C13" s="90">
        <v>100368</v>
      </c>
      <c r="D13" s="90">
        <f t="shared" si="0"/>
        <v>8371</v>
      </c>
      <c r="E13" s="285"/>
      <c r="F13" s="283"/>
    </row>
    <row r="14" spans="1:13" x14ac:dyDescent="0.2">
      <c r="A14" s="87">
        <v>500313</v>
      </c>
      <c r="B14" s="90"/>
      <c r="C14" s="319">
        <v>2621</v>
      </c>
      <c r="D14" s="90">
        <f t="shared" si="0"/>
        <v>2621</v>
      </c>
      <c r="E14" s="285"/>
      <c r="F14" s="28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5"/>
      <c r="F15" s="283"/>
    </row>
    <row r="16" spans="1:13" x14ac:dyDescent="0.2">
      <c r="A16" s="87">
        <v>500655</v>
      </c>
      <c r="B16" s="325">
        <v>563490</v>
      </c>
      <c r="C16" s="90"/>
      <c r="D16" s="90">
        <f t="shared" si="0"/>
        <v>-563490</v>
      </c>
      <c r="E16" s="285"/>
      <c r="F16" s="283"/>
    </row>
    <row r="17" spans="1:6" x14ac:dyDescent="0.2">
      <c r="A17" s="87">
        <v>500657</v>
      </c>
      <c r="B17" s="335">
        <v>124714</v>
      </c>
      <c r="C17" s="88">
        <v>137449</v>
      </c>
      <c r="D17" s="94">
        <f t="shared" si="0"/>
        <v>12735</v>
      </c>
      <c r="E17" s="285"/>
      <c r="F17" s="283"/>
    </row>
    <row r="18" spans="1:6" x14ac:dyDescent="0.2">
      <c r="A18" s="87"/>
      <c r="B18" s="88"/>
      <c r="C18" s="88"/>
      <c r="D18" s="88">
        <f>SUM(D5:D17)</f>
        <v>-16633</v>
      </c>
      <c r="E18" s="285"/>
      <c r="F18" s="283"/>
    </row>
    <row r="19" spans="1:6" x14ac:dyDescent="0.2">
      <c r="A19" s="87" t="s">
        <v>84</v>
      </c>
      <c r="B19" s="88"/>
      <c r="C19" s="88"/>
      <c r="D19" s="95">
        <f>+summary!H4</f>
        <v>2.84</v>
      </c>
      <c r="E19" s="287"/>
      <c r="F19" s="283"/>
    </row>
    <row r="20" spans="1:6" x14ac:dyDescent="0.2">
      <c r="A20" s="87"/>
      <c r="B20" s="88"/>
      <c r="C20" s="88"/>
      <c r="D20" s="96">
        <f>+D19*D18</f>
        <v>-47237.72</v>
      </c>
      <c r="E20" s="209"/>
      <c r="F20" s="284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37103</v>
      </c>
      <c r="B22" s="88"/>
      <c r="C22" s="88"/>
      <c r="D22" s="452">
        <v>-131785.95000000001</v>
      </c>
      <c r="E22" s="209"/>
      <c r="F22" s="66"/>
    </row>
    <row r="23" spans="1:6" x14ac:dyDescent="0.2">
      <c r="A23" s="87"/>
      <c r="B23" s="88"/>
      <c r="C23" s="88"/>
      <c r="D23" s="322"/>
      <c r="E23" s="209"/>
      <c r="F23" s="66"/>
    </row>
    <row r="24" spans="1:6" ht="13.5" thickBot="1" x14ac:dyDescent="0.25">
      <c r="A24" s="99">
        <v>37128</v>
      </c>
      <c r="B24" s="88"/>
      <c r="C24" s="88"/>
      <c r="D24" s="334">
        <f>+D22+D20</f>
        <v>-179023.67</v>
      </c>
      <c r="E24" s="209"/>
      <c r="F24" s="66"/>
    </row>
    <row r="25" spans="1:6" ht="13.5" thickTop="1" x14ac:dyDescent="0.2">
      <c r="E25" s="288"/>
    </row>
    <row r="28" spans="1:6" x14ac:dyDescent="0.2">
      <c r="A28" s="32" t="s">
        <v>157</v>
      </c>
      <c r="B28" s="32"/>
      <c r="C28" s="32"/>
      <c r="D28" s="32"/>
    </row>
    <row r="29" spans="1:6" x14ac:dyDescent="0.2">
      <c r="A29" s="49">
        <f>+A22</f>
        <v>37103</v>
      </c>
      <c r="B29" s="32"/>
      <c r="C29" s="32"/>
      <c r="D29" s="212">
        <v>-81746</v>
      </c>
    </row>
    <row r="30" spans="1:6" x14ac:dyDescent="0.2">
      <c r="A30" s="49">
        <f>+A24</f>
        <v>37128</v>
      </c>
      <c r="B30" s="32"/>
      <c r="C30" s="32"/>
      <c r="D30" s="379">
        <f>+D18</f>
        <v>-16633</v>
      </c>
    </row>
    <row r="31" spans="1:6" x14ac:dyDescent="0.2">
      <c r="A31" s="32"/>
      <c r="B31" s="32"/>
      <c r="C31" s="32"/>
      <c r="D31" s="14">
        <f>+D30+D29</f>
        <v>-98379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19" workbookViewId="3">
      <selection activeCell="C26" sqref="C26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48</v>
      </c>
      <c r="C2" s="205"/>
      <c r="D2" s="12" t="s">
        <v>49</v>
      </c>
      <c r="E2" s="12"/>
      <c r="F2" s="4"/>
      <c r="I2" s="461"/>
      <c r="J2" s="2"/>
      <c r="K2" s="2"/>
      <c r="L2" s="104"/>
      <c r="M2" s="143" t="s">
        <v>197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61" t="s">
        <v>40</v>
      </c>
      <c r="I3" s="4" t="s">
        <v>20</v>
      </c>
      <c r="J3" s="4" t="s">
        <v>21</v>
      </c>
      <c r="K3" s="459" t="s">
        <v>51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36395</v>
      </c>
      <c r="C4" s="11">
        <v>35310</v>
      </c>
      <c r="D4" s="11">
        <v>30665</v>
      </c>
      <c r="E4" s="11">
        <v>30355</v>
      </c>
      <c r="F4" s="25">
        <f>+E4+C4-D4-B4</f>
        <v>-1395</v>
      </c>
      <c r="G4" s="25"/>
      <c r="H4" s="461"/>
      <c r="I4" s="14"/>
      <c r="J4" s="14"/>
      <c r="K4" s="14">
        <f t="shared" ref="K4:K9" si="0">+J4-I4</f>
        <v>0</v>
      </c>
      <c r="L4" s="390"/>
      <c r="M4" s="75">
        <f t="shared" ref="M4:M9" si="1">+L4*K4</f>
        <v>0</v>
      </c>
    </row>
    <row r="5" spans="1:14" x14ac:dyDescent="0.2">
      <c r="A5" s="41">
        <v>2</v>
      </c>
      <c r="B5" s="11">
        <v>36109</v>
      </c>
      <c r="C5" s="11">
        <v>35970</v>
      </c>
      <c r="D5" s="11">
        <v>30760</v>
      </c>
      <c r="E5" s="11">
        <v>30926</v>
      </c>
      <c r="F5" s="25">
        <f t="shared" ref="F5:F34" si="2">+E5+C5-D5-B5</f>
        <v>27</v>
      </c>
      <c r="G5" s="25"/>
      <c r="H5" s="461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90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34935</v>
      </c>
      <c r="C6" s="11">
        <v>35968</v>
      </c>
      <c r="D6" s="11">
        <v>31613</v>
      </c>
      <c r="E6" s="11">
        <v>30922</v>
      </c>
      <c r="F6" s="25">
        <f t="shared" si="2"/>
        <v>342</v>
      </c>
      <c r="G6" s="25"/>
      <c r="H6" s="461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90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35129</v>
      </c>
      <c r="C7" s="11">
        <v>38500</v>
      </c>
      <c r="D7" s="11">
        <v>32705</v>
      </c>
      <c r="E7" s="11">
        <v>33450</v>
      </c>
      <c r="F7" s="25">
        <f t="shared" si="2"/>
        <v>4116</v>
      </c>
      <c r="G7" s="25"/>
      <c r="H7" s="461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90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36992</v>
      </c>
      <c r="C8" s="11">
        <v>38491</v>
      </c>
      <c r="D8" s="11">
        <v>29785</v>
      </c>
      <c r="E8" s="11">
        <v>33441</v>
      </c>
      <c r="F8" s="25">
        <f t="shared" si="2"/>
        <v>5155</v>
      </c>
      <c r="G8" s="25"/>
      <c r="H8" s="461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90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37536</v>
      </c>
      <c r="C9" s="11">
        <v>31999</v>
      </c>
      <c r="D9" s="11">
        <v>30106</v>
      </c>
      <c r="E9" s="11">
        <v>29000</v>
      </c>
      <c r="F9" s="25">
        <f t="shared" si="2"/>
        <v>-6643</v>
      </c>
      <c r="G9" s="25"/>
      <c r="H9" s="461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90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30804</v>
      </c>
      <c r="C10" s="11">
        <v>36000</v>
      </c>
      <c r="D10" s="129">
        <v>34261</v>
      </c>
      <c r="E10" s="11">
        <v>30950</v>
      </c>
      <c r="F10" s="25">
        <f t="shared" si="2"/>
        <v>1885</v>
      </c>
      <c r="G10" s="25"/>
      <c r="H10" s="461"/>
      <c r="I10" s="14"/>
      <c r="J10" s="14"/>
      <c r="K10" s="14"/>
      <c r="L10" s="390"/>
      <c r="M10" s="15"/>
      <c r="N10" s="15">
        <f>SUM(N5:N9)</f>
        <v>489002.35</v>
      </c>
    </row>
    <row r="11" spans="1:14" x14ac:dyDescent="0.2">
      <c r="A11" s="41">
        <v>8</v>
      </c>
      <c r="B11" s="11">
        <v>28957</v>
      </c>
      <c r="C11" s="11">
        <v>36000</v>
      </c>
      <c r="D11" s="11">
        <v>32502</v>
      </c>
      <c r="E11" s="11">
        <v>30950</v>
      </c>
      <c r="F11" s="25">
        <f t="shared" si="2"/>
        <v>5491</v>
      </c>
      <c r="G11" s="25"/>
      <c r="H11" s="461"/>
      <c r="I11" s="14"/>
      <c r="J11" s="14"/>
      <c r="K11" s="15"/>
      <c r="L11" s="390"/>
      <c r="M11" s="15"/>
      <c r="N11" s="15">
        <f>SUM(M5:M9)</f>
        <v>489002.35000000003</v>
      </c>
    </row>
    <row r="12" spans="1:14" x14ac:dyDescent="0.2">
      <c r="A12" s="41">
        <v>9</v>
      </c>
      <c r="B12" s="11">
        <v>33886</v>
      </c>
      <c r="C12" s="11">
        <v>35956</v>
      </c>
      <c r="D12" s="11">
        <v>29962</v>
      </c>
      <c r="E12" s="11">
        <v>30912</v>
      </c>
      <c r="F12" s="25">
        <f t="shared" si="2"/>
        <v>3020</v>
      </c>
      <c r="G12" s="25"/>
      <c r="H12" s="461"/>
      <c r="I12" s="24"/>
      <c r="J12" s="24"/>
      <c r="K12" s="110"/>
      <c r="L12" s="463"/>
      <c r="M12" s="110"/>
    </row>
    <row r="13" spans="1:14" x14ac:dyDescent="0.2">
      <c r="A13" s="41">
        <v>10</v>
      </c>
      <c r="B13" s="129">
        <v>33528</v>
      </c>
      <c r="C13" s="11">
        <v>32935</v>
      </c>
      <c r="D13" s="129">
        <v>31738</v>
      </c>
      <c r="E13" s="11">
        <v>33878</v>
      </c>
      <c r="F13" s="25">
        <f t="shared" si="2"/>
        <v>1547</v>
      </c>
      <c r="G13" s="25"/>
      <c r="I13" s="24"/>
      <c r="J13" s="24"/>
      <c r="K13" s="24">
        <f>SUM(K4:K12)</f>
        <v>135930</v>
      </c>
      <c r="L13" s="463"/>
      <c r="M13" s="110">
        <f>SUM(M4:M12)</f>
        <v>489002.35000000003</v>
      </c>
    </row>
    <row r="14" spans="1:14" x14ac:dyDescent="0.2">
      <c r="A14" s="41">
        <v>11</v>
      </c>
      <c r="B14" s="11">
        <v>33647</v>
      </c>
      <c r="C14" s="11">
        <v>35767</v>
      </c>
      <c r="D14" s="11">
        <v>29418</v>
      </c>
      <c r="E14" s="11">
        <v>30749</v>
      </c>
      <c r="F14" s="25">
        <f t="shared" si="2"/>
        <v>3451</v>
      </c>
      <c r="G14" s="25"/>
    </row>
    <row r="15" spans="1:14" x14ac:dyDescent="0.2">
      <c r="A15" s="41">
        <v>12</v>
      </c>
      <c r="B15" s="11">
        <v>33412</v>
      </c>
      <c r="C15" s="11">
        <v>30764</v>
      </c>
      <c r="D15" s="11">
        <v>30321</v>
      </c>
      <c r="E15" s="11">
        <v>30269</v>
      </c>
      <c r="F15" s="25">
        <f t="shared" si="2"/>
        <v>-2700</v>
      </c>
      <c r="G15" s="25"/>
    </row>
    <row r="16" spans="1:14" x14ac:dyDescent="0.2">
      <c r="A16" s="41">
        <v>13</v>
      </c>
      <c r="B16" s="11">
        <v>33711</v>
      </c>
      <c r="C16" s="11">
        <v>30302</v>
      </c>
      <c r="D16" s="11">
        <v>29868</v>
      </c>
      <c r="E16" s="11">
        <v>30731</v>
      </c>
      <c r="F16" s="25">
        <f t="shared" si="2"/>
        <v>-2546</v>
      </c>
      <c r="G16" s="25"/>
    </row>
    <row r="17" spans="1:7" x14ac:dyDescent="0.2">
      <c r="A17" s="41">
        <v>14</v>
      </c>
      <c r="B17" s="11">
        <v>34265</v>
      </c>
      <c r="C17" s="11">
        <v>30374</v>
      </c>
      <c r="D17" s="11">
        <v>30207</v>
      </c>
      <c r="E17" s="11">
        <v>30804</v>
      </c>
      <c r="F17" s="25">
        <f t="shared" si="2"/>
        <v>-3294</v>
      </c>
      <c r="G17" s="25"/>
    </row>
    <row r="18" spans="1:7" x14ac:dyDescent="0.2">
      <c r="A18" s="41">
        <v>15</v>
      </c>
      <c r="B18" s="11">
        <v>34973</v>
      </c>
      <c r="C18" s="11">
        <v>30417</v>
      </c>
      <c r="D18" s="11">
        <v>27096</v>
      </c>
      <c r="E18" s="11">
        <v>30847</v>
      </c>
      <c r="F18" s="25">
        <f t="shared" si="2"/>
        <v>-805</v>
      </c>
      <c r="G18" s="25"/>
    </row>
    <row r="19" spans="1:7" x14ac:dyDescent="0.2">
      <c r="A19" s="41">
        <v>16</v>
      </c>
      <c r="B19" s="11">
        <v>33442</v>
      </c>
      <c r="C19" s="11">
        <v>30517</v>
      </c>
      <c r="D19" s="11">
        <v>31103</v>
      </c>
      <c r="E19" s="11">
        <v>30950</v>
      </c>
      <c r="F19" s="25">
        <f t="shared" si="2"/>
        <v>-3078</v>
      </c>
      <c r="G19" s="25"/>
    </row>
    <row r="20" spans="1:7" x14ac:dyDescent="0.2">
      <c r="A20" s="41">
        <v>17</v>
      </c>
      <c r="B20" s="11">
        <v>33295</v>
      </c>
      <c r="C20" s="11">
        <v>30517</v>
      </c>
      <c r="D20" s="11">
        <v>28744</v>
      </c>
      <c r="E20" s="11">
        <v>30950</v>
      </c>
      <c r="F20" s="25">
        <f t="shared" si="2"/>
        <v>-572</v>
      </c>
      <c r="G20" s="25"/>
    </row>
    <row r="21" spans="1:7" x14ac:dyDescent="0.2">
      <c r="A21" s="41">
        <v>18</v>
      </c>
      <c r="B21" s="11">
        <v>37922</v>
      </c>
      <c r="C21" s="11">
        <v>30402</v>
      </c>
      <c r="D21" s="129">
        <v>29031</v>
      </c>
      <c r="E21" s="11">
        <v>30834</v>
      </c>
      <c r="F21" s="25">
        <f t="shared" si="2"/>
        <v>-5717</v>
      </c>
      <c r="G21" s="25"/>
    </row>
    <row r="22" spans="1:7" x14ac:dyDescent="0.2">
      <c r="A22" s="41">
        <v>19</v>
      </c>
      <c r="B22" s="11">
        <v>37429</v>
      </c>
      <c r="C22" s="11">
        <v>30402</v>
      </c>
      <c r="D22" s="11">
        <v>29422</v>
      </c>
      <c r="E22" s="11">
        <v>30834</v>
      </c>
      <c r="F22" s="25">
        <f t="shared" si="2"/>
        <v>-5615</v>
      </c>
      <c r="G22" s="25"/>
    </row>
    <row r="23" spans="1:7" x14ac:dyDescent="0.2">
      <c r="A23" s="41">
        <v>20</v>
      </c>
      <c r="B23" s="11">
        <v>35688</v>
      </c>
      <c r="C23" s="11">
        <v>30402</v>
      </c>
      <c r="D23" s="11">
        <v>28474</v>
      </c>
      <c r="E23" s="11">
        <v>30834</v>
      </c>
      <c r="F23" s="25">
        <f t="shared" si="2"/>
        <v>-2926</v>
      </c>
      <c r="G23" s="25"/>
    </row>
    <row r="24" spans="1:7" x14ac:dyDescent="0.2">
      <c r="A24" s="41">
        <v>21</v>
      </c>
      <c r="B24" s="11">
        <v>36035</v>
      </c>
      <c r="C24" s="11">
        <v>30517</v>
      </c>
      <c r="D24" s="11">
        <v>27197</v>
      </c>
      <c r="E24" s="11">
        <v>30950</v>
      </c>
      <c r="F24" s="25">
        <f t="shared" si="2"/>
        <v>-1765</v>
      </c>
      <c r="G24" s="25"/>
    </row>
    <row r="25" spans="1:7" x14ac:dyDescent="0.2">
      <c r="A25" s="41">
        <v>22</v>
      </c>
      <c r="B25" s="11">
        <v>35506</v>
      </c>
      <c r="C25" s="11">
        <v>30517</v>
      </c>
      <c r="D25" s="11">
        <v>28224</v>
      </c>
      <c r="E25" s="11">
        <v>30949</v>
      </c>
      <c r="F25" s="25">
        <f t="shared" si="2"/>
        <v>-2264</v>
      </c>
      <c r="G25" s="25"/>
    </row>
    <row r="26" spans="1:7" x14ac:dyDescent="0.2">
      <c r="A26" s="41">
        <v>23</v>
      </c>
      <c r="B26" s="11">
        <v>36635</v>
      </c>
      <c r="C26" s="11">
        <v>30517</v>
      </c>
      <c r="D26" s="129">
        <v>27453</v>
      </c>
      <c r="E26" s="11">
        <v>30950</v>
      </c>
      <c r="F26" s="25">
        <f t="shared" si="2"/>
        <v>-2621</v>
      </c>
    </row>
    <row r="27" spans="1:7" x14ac:dyDescent="0.2">
      <c r="A27" s="41">
        <v>24</v>
      </c>
      <c r="B27" s="11">
        <v>36673</v>
      </c>
      <c r="C27" s="11">
        <v>30517</v>
      </c>
      <c r="D27" s="11">
        <v>30643</v>
      </c>
      <c r="E27" s="11">
        <v>30950</v>
      </c>
      <c r="F27" s="25">
        <f t="shared" si="2"/>
        <v>-5849</v>
      </c>
    </row>
    <row r="28" spans="1:7" x14ac:dyDescent="0.2">
      <c r="A28" s="41">
        <v>25</v>
      </c>
      <c r="B28" s="11">
        <v>33829</v>
      </c>
      <c r="C28" s="11">
        <v>30517</v>
      </c>
      <c r="D28" s="11">
        <v>27379</v>
      </c>
      <c r="E28" s="11">
        <v>30950</v>
      </c>
      <c r="F28" s="25">
        <f t="shared" si="2"/>
        <v>259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870733</v>
      </c>
      <c r="C35" s="11">
        <f>SUM(C4:C34)</f>
        <v>819578</v>
      </c>
      <c r="D35" s="11">
        <f>SUM(D4:D34)</f>
        <v>748677</v>
      </c>
      <c r="E35" s="11">
        <f>SUM(E4:E34)</f>
        <v>777335</v>
      </c>
      <c r="F35" s="11">
        <f>+E35-D35+C35-B35</f>
        <v>-22497</v>
      </c>
    </row>
    <row r="36" spans="1:7" x14ac:dyDescent="0.2">
      <c r="A36" s="45"/>
      <c r="C36" s="14">
        <f>+C35-B35</f>
        <v>-51155</v>
      </c>
      <c r="D36" s="14"/>
      <c r="E36" s="14">
        <f>+E35-D35</f>
        <v>28658</v>
      </c>
      <c r="F36" s="47"/>
    </row>
    <row r="37" spans="1:7" x14ac:dyDescent="0.2">
      <c r="C37" s="15">
        <f>+summary!H4</f>
        <v>2.84</v>
      </c>
      <c r="D37" s="15"/>
      <c r="E37" s="15">
        <f>+C37</f>
        <v>2.84</v>
      </c>
      <c r="F37" s="24"/>
    </row>
    <row r="38" spans="1:7" x14ac:dyDescent="0.2">
      <c r="C38" s="48">
        <f>+C37*C36</f>
        <v>-145280.19999999998</v>
      </c>
      <c r="D38" s="47"/>
      <c r="E38" s="48">
        <f>+E37*E36</f>
        <v>81388.72</v>
      </c>
      <c r="F38" s="46">
        <f>+E38+C38</f>
        <v>-63891.479999999981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37103</v>
      </c>
      <c r="C40" s="451">
        <v>612678.27</v>
      </c>
      <c r="D40" s="111"/>
      <c r="E40" s="451">
        <v>0</v>
      </c>
      <c r="F40" s="352">
        <f>+E40+C40</f>
        <v>612678.27</v>
      </c>
      <c r="G40" s="25"/>
    </row>
    <row r="41" spans="1:7" x14ac:dyDescent="0.2">
      <c r="A41" s="57">
        <v>37128</v>
      </c>
      <c r="C41" s="106">
        <f>+C40+C38</f>
        <v>467398.07000000007</v>
      </c>
      <c r="D41" s="106"/>
      <c r="E41" s="106">
        <f>+E40+E38</f>
        <v>81388.72</v>
      </c>
      <c r="F41" s="106">
        <f>+E41+C41</f>
        <v>548786.79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5"/>
      <c r="D44" s="11"/>
      <c r="E44" s="11"/>
      <c r="F44" s="11"/>
      <c r="G44" s="25"/>
    </row>
    <row r="45" spans="1:7" x14ac:dyDescent="0.2">
      <c r="A45" s="32" t="s">
        <v>157</v>
      </c>
      <c r="E45" s="11"/>
      <c r="F45" s="11"/>
      <c r="G45" s="25"/>
    </row>
    <row r="46" spans="1:7" x14ac:dyDescent="0.2">
      <c r="A46" s="49">
        <f>+A40</f>
        <v>37103</v>
      </c>
      <c r="D46" s="212">
        <v>95131</v>
      </c>
      <c r="E46" s="11"/>
      <c r="F46" s="11"/>
      <c r="G46" s="25"/>
    </row>
    <row r="47" spans="1:7" x14ac:dyDescent="0.2">
      <c r="A47" s="49">
        <f>+A41</f>
        <v>37128</v>
      </c>
      <c r="D47" s="379">
        <f>+F35</f>
        <v>-22497</v>
      </c>
      <c r="E47" s="11"/>
      <c r="F47" s="11"/>
      <c r="G47" s="25"/>
    </row>
    <row r="48" spans="1:7" x14ac:dyDescent="0.2">
      <c r="D48" s="14">
        <f>+D47+D46</f>
        <v>72634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5" workbookViewId="3">
      <selection activeCell="E29" sqref="E29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199740</v>
      </c>
      <c r="C5" s="11">
        <v>206461</v>
      </c>
      <c r="D5" s="11"/>
      <c r="E5" s="11">
        <v>-6136</v>
      </c>
      <c r="F5" s="11">
        <f>+C5+E5-B5-D5</f>
        <v>585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124221</v>
      </c>
      <c r="C6" s="11">
        <v>140424</v>
      </c>
      <c r="D6" s="11"/>
      <c r="E6" s="11">
        <v>-16997</v>
      </c>
      <c r="F6" s="11">
        <f t="shared" ref="F6:F35" si="2">+C6+E6-B6-D6</f>
        <v>-794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208560</v>
      </c>
      <c r="C7" s="11">
        <v>226875</v>
      </c>
      <c r="D7" s="11"/>
      <c r="E7" s="11">
        <v>-13759</v>
      </c>
      <c r="F7" s="11">
        <f t="shared" si="2"/>
        <v>4556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174497</v>
      </c>
      <c r="C8" s="11">
        <v>201790</v>
      </c>
      <c r="D8" s="11"/>
      <c r="E8" s="11">
        <v>-27623</v>
      </c>
      <c r="F8" s="11">
        <f t="shared" si="2"/>
        <v>-330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170484</v>
      </c>
      <c r="C9" s="11">
        <v>195304</v>
      </c>
      <c r="D9" s="11"/>
      <c r="E9" s="11">
        <v>-25217</v>
      </c>
      <c r="F9" s="11">
        <f t="shared" si="2"/>
        <v>-397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171739</v>
      </c>
      <c r="C10" s="11">
        <v>196507</v>
      </c>
      <c r="D10" s="11"/>
      <c r="E10" s="11">
        <v>-26132</v>
      </c>
      <c r="F10" s="11">
        <f t="shared" si="2"/>
        <v>-1364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181261</v>
      </c>
      <c r="C11" s="11">
        <v>192920</v>
      </c>
      <c r="D11" s="11"/>
      <c r="E11" s="11">
        <v>-9874</v>
      </c>
      <c r="F11" s="11">
        <f t="shared" si="2"/>
        <v>1785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>
        <v>197070</v>
      </c>
      <c r="C12" s="11">
        <v>204844</v>
      </c>
      <c r="D12" s="11"/>
      <c r="E12" s="11">
        <v>-4417</v>
      </c>
      <c r="F12" s="11">
        <f t="shared" si="2"/>
        <v>3357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193826</v>
      </c>
      <c r="C13" s="11">
        <v>201331</v>
      </c>
      <c r="D13" s="11"/>
      <c r="E13" s="11">
        <v>-8466</v>
      </c>
      <c r="F13" s="11">
        <f t="shared" si="2"/>
        <v>-961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183951</v>
      </c>
      <c r="C14" s="11">
        <v>200529</v>
      </c>
      <c r="D14" s="11"/>
      <c r="E14" s="11">
        <v>-19807</v>
      </c>
      <c r="F14" s="11">
        <f t="shared" si="2"/>
        <v>-3229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205187</v>
      </c>
      <c r="C15" s="11">
        <v>209202</v>
      </c>
      <c r="D15" s="11"/>
      <c r="E15" s="11">
        <v>-5480</v>
      </c>
      <c r="F15" s="11">
        <f t="shared" si="2"/>
        <v>-1465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196282</v>
      </c>
      <c r="C16" s="11">
        <v>206942</v>
      </c>
      <c r="D16" s="11"/>
      <c r="E16" s="11">
        <v>-11937</v>
      </c>
      <c r="F16" s="11">
        <f t="shared" si="2"/>
        <v>-1277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208969</v>
      </c>
      <c r="C17" s="11">
        <v>209066</v>
      </c>
      <c r="D17" s="11"/>
      <c r="E17" s="11">
        <v>-807</v>
      </c>
      <c r="F17" s="11">
        <f t="shared" si="2"/>
        <v>-710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200915</v>
      </c>
      <c r="C18" s="11">
        <v>207816</v>
      </c>
      <c r="D18" s="11"/>
      <c r="E18" s="11">
        <v>-8506</v>
      </c>
      <c r="F18" s="11">
        <f t="shared" si="2"/>
        <v>-1605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185028</v>
      </c>
      <c r="C19" s="11">
        <v>192042</v>
      </c>
      <c r="D19" s="11"/>
      <c r="E19" s="11">
        <v>-7418</v>
      </c>
      <c r="F19" s="11">
        <f t="shared" si="2"/>
        <v>-404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205829</v>
      </c>
      <c r="C20" s="11">
        <v>210433</v>
      </c>
      <c r="D20" s="11"/>
      <c r="E20" s="11">
        <v>-5000</v>
      </c>
      <c r="F20" s="11">
        <f t="shared" si="2"/>
        <v>-396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203994</v>
      </c>
      <c r="C21" s="11">
        <v>209294</v>
      </c>
      <c r="D21" s="11"/>
      <c r="E21" s="11">
        <v>-5929</v>
      </c>
      <c r="F21" s="11">
        <f t="shared" si="2"/>
        <v>-629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230790</v>
      </c>
      <c r="C22" s="11">
        <v>250585</v>
      </c>
      <c r="D22" s="11"/>
      <c r="E22" s="11">
        <v>-6265</v>
      </c>
      <c r="F22" s="11">
        <f t="shared" si="2"/>
        <v>13530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180146</v>
      </c>
      <c r="C23" s="11">
        <v>245466</v>
      </c>
      <c r="D23" s="11"/>
      <c r="E23" s="11">
        <v>-6387</v>
      </c>
      <c r="F23" s="11">
        <f t="shared" si="2"/>
        <v>58933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>
        <v>216439</v>
      </c>
      <c r="C24" s="11">
        <v>221942</v>
      </c>
      <c r="D24" s="11"/>
      <c r="E24" s="11">
        <v>-6231</v>
      </c>
      <c r="F24" s="11">
        <f t="shared" si="2"/>
        <v>-728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>
        <v>183412</v>
      </c>
      <c r="C25" s="11">
        <v>215195</v>
      </c>
      <c r="D25" s="11"/>
      <c r="E25" s="11">
        <v>-28318</v>
      </c>
      <c r="F25" s="11">
        <f t="shared" si="2"/>
        <v>3465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>
        <v>167828</v>
      </c>
      <c r="C26" s="11">
        <v>203102</v>
      </c>
      <c r="D26" s="11"/>
      <c r="E26" s="11">
        <v>-36302</v>
      </c>
      <c r="F26" s="11">
        <f t="shared" si="2"/>
        <v>-1028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>
        <v>178676</v>
      </c>
      <c r="C27" s="11">
        <v>190275</v>
      </c>
      <c r="D27" s="11"/>
      <c r="E27" s="11">
        <v>-10586</v>
      </c>
      <c r="F27" s="11">
        <f t="shared" si="2"/>
        <v>1013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>
        <v>175424</v>
      </c>
      <c r="C28" s="11">
        <v>196078</v>
      </c>
      <c r="D28" s="11"/>
      <c r="E28" s="11">
        <v>-20083</v>
      </c>
      <c r="F28" s="11">
        <f t="shared" si="2"/>
        <v>571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>
        <v>183300</v>
      </c>
      <c r="C29" s="11">
        <v>180188</v>
      </c>
      <c r="D29" s="11"/>
      <c r="E29" s="11"/>
      <c r="F29" s="11">
        <f t="shared" si="2"/>
        <v>-3112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4727568</v>
      </c>
      <c r="C36" s="11">
        <f>SUM(C5:C35)</f>
        <v>5114611</v>
      </c>
      <c r="D36" s="11">
        <f>SUM(D5:D35)</f>
        <v>0</v>
      </c>
      <c r="E36" s="11">
        <f>SUM(E5:E35)</f>
        <v>-317677</v>
      </c>
      <c r="F36" s="11">
        <f>SUM(F5:F35)</f>
        <v>69366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37103</v>
      </c>
      <c r="F39" s="441">
        <v>5110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37128</v>
      </c>
      <c r="F41" s="353">
        <f>+F39+F36</f>
        <v>74476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158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37103</v>
      </c>
      <c r="C47" s="32"/>
      <c r="D47" s="32"/>
      <c r="E47" s="440">
        <v>-487771.44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37128</v>
      </c>
      <c r="C48" s="32"/>
      <c r="D48" s="32"/>
      <c r="E48" s="408">
        <f>+F36*'by type'!J3</f>
        <v>184513.56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2">
        <f>+E48+E47</f>
        <v>-303257.88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8" workbookViewId="3">
      <selection activeCell="C33" sqref="C33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74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87555</v>
      </c>
      <c r="C8" s="11">
        <v>87075</v>
      </c>
      <c r="D8" s="11">
        <f>+C8-B8</f>
        <v>-480</v>
      </c>
      <c r="E8" s="10"/>
      <c r="F8" s="11"/>
      <c r="G8" s="11"/>
      <c r="H8" s="11"/>
    </row>
    <row r="9" spans="1:8" x14ac:dyDescent="0.2">
      <c r="A9" s="10">
        <v>2</v>
      </c>
      <c r="B9" s="11">
        <v>98252</v>
      </c>
      <c r="C9" s="11">
        <v>97649</v>
      </c>
      <c r="D9" s="11">
        <f t="shared" ref="D9:D38" si="0">+C9-B9</f>
        <v>-603</v>
      </c>
      <c r="E9" s="10"/>
      <c r="F9" s="11"/>
      <c r="G9" s="11"/>
      <c r="H9" s="11"/>
    </row>
    <row r="10" spans="1:8" x14ac:dyDescent="0.2">
      <c r="A10" s="10">
        <v>3</v>
      </c>
      <c r="B10" s="11">
        <v>78608</v>
      </c>
      <c r="C10" s="11">
        <v>77218</v>
      </c>
      <c r="D10" s="11">
        <f t="shared" si="0"/>
        <v>-1390</v>
      </c>
      <c r="E10" s="10"/>
      <c r="F10" s="11"/>
      <c r="G10" s="11"/>
      <c r="H10" s="11"/>
    </row>
    <row r="11" spans="1:8" x14ac:dyDescent="0.2">
      <c r="A11" s="10">
        <v>4</v>
      </c>
      <c r="B11" s="11">
        <v>101009</v>
      </c>
      <c r="C11" s="11">
        <v>100503</v>
      </c>
      <c r="D11" s="11">
        <f t="shared" si="0"/>
        <v>-506</v>
      </c>
      <c r="E11" s="10"/>
      <c r="F11" s="11"/>
      <c r="G11" s="11"/>
      <c r="H11" s="11"/>
    </row>
    <row r="12" spans="1:8" x14ac:dyDescent="0.2">
      <c r="A12" s="10">
        <v>5</v>
      </c>
      <c r="B12" s="11">
        <v>90729</v>
      </c>
      <c r="C12" s="11">
        <v>89600</v>
      </c>
      <c r="D12" s="11">
        <f t="shared" si="0"/>
        <v>-1129</v>
      </c>
      <c r="E12" s="10"/>
      <c r="F12" s="11"/>
      <c r="G12" s="11"/>
      <c r="H12" s="11"/>
    </row>
    <row r="13" spans="1:8" x14ac:dyDescent="0.2">
      <c r="A13" s="10">
        <v>6</v>
      </c>
      <c r="B13" s="11">
        <v>91681</v>
      </c>
      <c r="C13" s="11">
        <v>90563</v>
      </c>
      <c r="D13" s="11">
        <f t="shared" si="0"/>
        <v>-1118</v>
      </c>
      <c r="E13" s="10"/>
      <c r="F13" s="11"/>
      <c r="G13" s="11"/>
      <c r="H13" s="11"/>
    </row>
    <row r="14" spans="1:8" x14ac:dyDescent="0.2">
      <c r="A14" s="10">
        <v>7</v>
      </c>
      <c r="B14" s="11">
        <v>105225</v>
      </c>
      <c r="C14" s="11">
        <v>103990</v>
      </c>
      <c r="D14" s="11">
        <f t="shared" si="0"/>
        <v>-1235</v>
      </c>
      <c r="E14" s="10"/>
      <c r="F14" s="11"/>
      <c r="G14" s="11"/>
      <c r="H14" s="11"/>
    </row>
    <row r="15" spans="1:8" x14ac:dyDescent="0.2">
      <c r="A15" s="10">
        <v>8</v>
      </c>
      <c r="B15" s="11">
        <v>109389</v>
      </c>
      <c r="C15" s="11">
        <v>107112</v>
      </c>
      <c r="D15" s="11">
        <f t="shared" si="0"/>
        <v>-2277</v>
      </c>
      <c r="E15" s="10"/>
      <c r="F15" s="11"/>
      <c r="G15" s="11"/>
      <c r="H15" s="11"/>
    </row>
    <row r="16" spans="1:8" x14ac:dyDescent="0.2">
      <c r="A16" s="10">
        <v>9</v>
      </c>
      <c r="B16" s="11">
        <v>96923</v>
      </c>
      <c r="C16" s="11">
        <v>96695</v>
      </c>
      <c r="D16" s="11">
        <f t="shared" si="0"/>
        <v>-228</v>
      </c>
      <c r="E16" s="10"/>
      <c r="F16" s="11"/>
      <c r="G16" s="11"/>
      <c r="H16" s="11"/>
    </row>
    <row r="17" spans="1:8" x14ac:dyDescent="0.2">
      <c r="A17" s="10">
        <v>10</v>
      </c>
      <c r="B17" s="11">
        <v>62710</v>
      </c>
      <c r="C17" s="11">
        <v>62247</v>
      </c>
      <c r="D17" s="11">
        <f t="shared" si="0"/>
        <v>-463</v>
      </c>
      <c r="E17" s="10"/>
      <c r="F17" s="11"/>
      <c r="G17" s="11"/>
      <c r="H17" s="11"/>
    </row>
    <row r="18" spans="1:8" x14ac:dyDescent="0.2">
      <c r="A18" s="10">
        <v>11</v>
      </c>
      <c r="B18" s="11">
        <v>98145</v>
      </c>
      <c r="C18" s="11">
        <v>100814</v>
      </c>
      <c r="D18" s="11">
        <f t="shared" si="0"/>
        <v>2669</v>
      </c>
      <c r="E18" s="10"/>
      <c r="F18" s="11"/>
      <c r="G18" s="11"/>
      <c r="H18" s="11"/>
    </row>
    <row r="19" spans="1:8" x14ac:dyDescent="0.2">
      <c r="A19" s="10">
        <v>12</v>
      </c>
      <c r="B19" s="11">
        <v>93439</v>
      </c>
      <c r="C19" s="11">
        <v>93039</v>
      </c>
      <c r="D19" s="11">
        <f t="shared" si="0"/>
        <v>-400</v>
      </c>
      <c r="E19" s="10"/>
      <c r="F19" s="11"/>
      <c r="G19" s="11"/>
      <c r="H19" s="11"/>
    </row>
    <row r="20" spans="1:8" x14ac:dyDescent="0.2">
      <c r="A20" s="10">
        <v>13</v>
      </c>
      <c r="B20" s="11">
        <v>102036</v>
      </c>
      <c r="C20" s="11">
        <v>101331</v>
      </c>
      <c r="D20" s="11">
        <f t="shared" si="0"/>
        <v>-705</v>
      </c>
      <c r="E20" s="10"/>
      <c r="F20" s="11"/>
      <c r="G20" s="11"/>
      <c r="H20" s="11"/>
    </row>
    <row r="21" spans="1:8" x14ac:dyDescent="0.2">
      <c r="A21" s="10">
        <v>14</v>
      </c>
      <c r="B21" s="11">
        <v>104231</v>
      </c>
      <c r="C21" s="11">
        <v>108641</v>
      </c>
      <c r="D21" s="11">
        <f t="shared" si="0"/>
        <v>4410</v>
      </c>
      <c r="E21" s="10"/>
      <c r="F21" s="11"/>
      <c r="G21" s="11"/>
      <c r="H21" s="11"/>
    </row>
    <row r="22" spans="1:8" x14ac:dyDescent="0.2">
      <c r="A22" s="10">
        <v>15</v>
      </c>
      <c r="B22" s="11">
        <v>108131</v>
      </c>
      <c r="C22" s="11">
        <v>109178</v>
      </c>
      <c r="D22" s="11">
        <f t="shared" si="0"/>
        <v>1047</v>
      </c>
      <c r="E22" s="10"/>
      <c r="F22" s="11"/>
      <c r="G22" s="11"/>
      <c r="H22" s="11"/>
    </row>
    <row r="23" spans="1:8" x14ac:dyDescent="0.2">
      <c r="A23" s="10">
        <v>16</v>
      </c>
      <c r="B23" s="11">
        <v>94371</v>
      </c>
      <c r="C23" s="11">
        <v>94262</v>
      </c>
      <c r="D23" s="11">
        <f t="shared" si="0"/>
        <v>-109</v>
      </c>
      <c r="E23" s="10"/>
      <c r="F23" s="11"/>
      <c r="G23" s="11"/>
      <c r="H23" s="11"/>
    </row>
    <row r="24" spans="1:8" x14ac:dyDescent="0.2">
      <c r="A24" s="10">
        <v>17</v>
      </c>
      <c r="B24" s="11">
        <v>91954</v>
      </c>
      <c r="C24" s="11">
        <v>91776</v>
      </c>
      <c r="D24" s="11">
        <f t="shared" si="0"/>
        <v>-178</v>
      </c>
      <c r="E24" s="10"/>
      <c r="F24" s="11"/>
      <c r="G24" s="11"/>
      <c r="H24" s="11"/>
    </row>
    <row r="25" spans="1:8" x14ac:dyDescent="0.2">
      <c r="A25" s="10">
        <v>18</v>
      </c>
      <c r="B25" s="11">
        <v>87470</v>
      </c>
      <c r="C25" s="11">
        <v>86776</v>
      </c>
      <c r="D25" s="11">
        <f t="shared" si="0"/>
        <v>-694</v>
      </c>
      <c r="E25" s="10"/>
      <c r="F25" s="11"/>
      <c r="G25" s="11"/>
      <c r="H25" s="11"/>
    </row>
    <row r="26" spans="1:8" x14ac:dyDescent="0.2">
      <c r="A26" s="10">
        <v>19</v>
      </c>
      <c r="B26" s="11">
        <v>83953</v>
      </c>
      <c r="C26" s="11">
        <v>86780</v>
      </c>
      <c r="D26" s="11">
        <f t="shared" si="0"/>
        <v>2827</v>
      </c>
      <c r="E26" s="10"/>
      <c r="F26" s="11"/>
      <c r="G26" s="11"/>
      <c r="H26" s="11"/>
    </row>
    <row r="27" spans="1:8" x14ac:dyDescent="0.2">
      <c r="A27" s="10">
        <v>20</v>
      </c>
      <c r="B27" s="11">
        <v>87096</v>
      </c>
      <c r="C27" s="11">
        <v>86776</v>
      </c>
      <c r="D27" s="11">
        <f t="shared" si="0"/>
        <v>-320</v>
      </c>
      <c r="E27" s="10"/>
      <c r="F27" s="11"/>
      <c r="G27" s="11"/>
      <c r="H27" s="11"/>
    </row>
    <row r="28" spans="1:8" x14ac:dyDescent="0.2">
      <c r="A28" s="10">
        <v>21</v>
      </c>
      <c r="B28" s="11">
        <v>97676</v>
      </c>
      <c r="C28" s="11">
        <v>96772</v>
      </c>
      <c r="D28" s="11">
        <f t="shared" si="0"/>
        <v>-904</v>
      </c>
      <c r="E28" s="10"/>
      <c r="F28" s="11"/>
      <c r="G28" s="11"/>
      <c r="H28" s="11"/>
    </row>
    <row r="29" spans="1:8" x14ac:dyDescent="0.2">
      <c r="A29" s="10">
        <v>22</v>
      </c>
      <c r="B29" s="11">
        <v>94387</v>
      </c>
      <c r="C29" s="11">
        <v>93565</v>
      </c>
      <c r="D29" s="11">
        <f t="shared" si="0"/>
        <v>-822</v>
      </c>
      <c r="E29" s="10"/>
      <c r="F29" s="11"/>
      <c r="G29" s="11"/>
      <c r="H29" s="11"/>
    </row>
    <row r="30" spans="1:8" x14ac:dyDescent="0.2">
      <c r="A30" s="10">
        <v>23</v>
      </c>
      <c r="B30" s="11">
        <v>97972</v>
      </c>
      <c r="C30" s="11">
        <v>98863</v>
      </c>
      <c r="D30" s="11">
        <f t="shared" si="0"/>
        <v>891</v>
      </c>
      <c r="E30" s="10"/>
      <c r="F30" s="11"/>
      <c r="G30" s="11"/>
      <c r="H30" s="11"/>
    </row>
    <row r="31" spans="1:8" x14ac:dyDescent="0.2">
      <c r="A31" s="10">
        <v>24</v>
      </c>
      <c r="B31" s="11">
        <v>94831</v>
      </c>
      <c r="C31" s="11">
        <v>94276</v>
      </c>
      <c r="D31" s="11">
        <f t="shared" si="0"/>
        <v>-555</v>
      </c>
      <c r="E31" s="10"/>
      <c r="F31" s="11"/>
      <c r="G31" s="11"/>
      <c r="H31" s="11"/>
    </row>
    <row r="32" spans="1:8" x14ac:dyDescent="0.2">
      <c r="A32" s="10">
        <v>25</v>
      </c>
      <c r="B32" s="11">
        <v>92197</v>
      </c>
      <c r="C32" s="11">
        <v>91637</v>
      </c>
      <c r="D32" s="11">
        <f t="shared" si="0"/>
        <v>-560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2349970</v>
      </c>
      <c r="C39" s="11">
        <f>SUM(C8:C38)</f>
        <v>2347138</v>
      </c>
      <c r="D39" s="11">
        <f>SUM(D8:D38)</f>
        <v>-2832</v>
      </c>
      <c r="E39" s="10"/>
      <c r="F39" s="11"/>
      <c r="G39" s="11"/>
      <c r="H39" s="11"/>
    </row>
    <row r="40" spans="1:8" x14ac:dyDescent="0.2">
      <c r="A40" s="26"/>
      <c r="D40" s="75">
        <f>+summary!H4</f>
        <v>2.84</v>
      </c>
      <c r="E40" s="26"/>
      <c r="H40" s="75"/>
    </row>
    <row r="41" spans="1:8" x14ac:dyDescent="0.2">
      <c r="D41" s="197">
        <f>+D40*D39</f>
        <v>-8042.8799999999992</v>
      </c>
      <c r="F41" s="252"/>
      <c r="H41" s="197"/>
    </row>
    <row r="42" spans="1:8" x14ac:dyDescent="0.2">
      <c r="A42" s="57">
        <v>37103</v>
      </c>
      <c r="D42" s="456">
        <v>21602.9</v>
      </c>
      <c r="E42" s="57"/>
      <c r="H42" s="197"/>
    </row>
    <row r="43" spans="1:8" x14ac:dyDescent="0.2">
      <c r="A43" s="57">
        <v>37128</v>
      </c>
      <c r="D43" s="198">
        <f>+D42+D41</f>
        <v>13560.020000000002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  <row r="47" spans="1:8" x14ac:dyDescent="0.2">
      <c r="A47" s="32" t="s">
        <v>157</v>
      </c>
      <c r="B47" s="32"/>
      <c r="C47" s="32"/>
      <c r="D47" s="32"/>
    </row>
    <row r="48" spans="1:8" x14ac:dyDescent="0.2">
      <c r="A48" s="49">
        <f>+A42</f>
        <v>37103</v>
      </c>
      <c r="B48" s="32"/>
      <c r="C48" s="32"/>
      <c r="D48" s="212">
        <v>-43475</v>
      </c>
    </row>
    <row r="49" spans="1:4" x14ac:dyDescent="0.2">
      <c r="A49" s="49">
        <f>+A43</f>
        <v>37128</v>
      </c>
      <c r="B49" s="32"/>
      <c r="C49" s="32"/>
      <c r="D49" s="379">
        <f>+D39</f>
        <v>-2832</v>
      </c>
    </row>
    <row r="50" spans="1:4" x14ac:dyDescent="0.2">
      <c r="A50" s="32"/>
      <c r="B50" s="32"/>
      <c r="C50" s="32"/>
      <c r="D50" s="14">
        <f>+D49+D48</f>
        <v>-46307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tabSelected="1"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topLeftCell="A6" workbookViewId="3">
      <selection activeCell="B10" sqref="B10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</cols>
  <sheetData>
    <row r="2" spans="1:10" x14ac:dyDescent="0.2">
      <c r="A2" s="2" t="s">
        <v>96</v>
      </c>
      <c r="G2" s="32"/>
      <c r="H2" s="15"/>
      <c r="I2" s="32"/>
      <c r="J2" s="32"/>
    </row>
    <row r="3" spans="1:10" x14ac:dyDescent="0.2">
      <c r="A3" s="2" t="s">
        <v>75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6">
        <v>37103</v>
      </c>
      <c r="C5" s="454">
        <v>1162786.04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37128</v>
      </c>
      <c r="J7" s="32"/>
    </row>
    <row r="8" spans="1:10" x14ac:dyDescent="0.2">
      <c r="A8" s="253">
        <v>60874</v>
      </c>
      <c r="B8" s="361">
        <v>4203</v>
      </c>
      <c r="J8" s="32"/>
    </row>
    <row r="9" spans="1:10" x14ac:dyDescent="0.2">
      <c r="A9" s="253">
        <v>78169</v>
      </c>
      <c r="B9" s="361">
        <f>174590-155992</f>
        <v>18598</v>
      </c>
      <c r="J9" s="32"/>
    </row>
    <row r="10" spans="1:10" x14ac:dyDescent="0.2">
      <c r="A10" s="32">
        <v>500235</v>
      </c>
      <c r="B10" s="14"/>
      <c r="J10" s="32"/>
    </row>
    <row r="11" spans="1:10" x14ac:dyDescent="0.2">
      <c r="A11" s="253">
        <v>500248</v>
      </c>
      <c r="B11" s="363">
        <f>3861-5448</f>
        <v>-1587</v>
      </c>
      <c r="J11" s="32"/>
    </row>
    <row r="12" spans="1:10" x14ac:dyDescent="0.2">
      <c r="A12" s="253">
        <v>500251</v>
      </c>
      <c r="B12" s="332">
        <f>15000-13387</f>
        <v>1613</v>
      </c>
      <c r="J12" s="32"/>
    </row>
    <row r="13" spans="1:10" x14ac:dyDescent="0.2">
      <c r="A13" s="253">
        <v>500254</v>
      </c>
      <c r="B13" s="332">
        <f>2250-3047</f>
        <v>-797</v>
      </c>
      <c r="J13" s="32"/>
    </row>
    <row r="14" spans="1:10" x14ac:dyDescent="0.2">
      <c r="A14" s="32">
        <v>500255</v>
      </c>
      <c r="B14" s="332">
        <f>13750-14655</f>
        <v>-905</v>
      </c>
      <c r="E14" s="32">
        <v>4840.7299999999996</v>
      </c>
      <c r="J14" s="32"/>
    </row>
    <row r="15" spans="1:10" x14ac:dyDescent="0.2">
      <c r="A15" s="32">
        <v>500262</v>
      </c>
      <c r="B15" s="332">
        <f>10000-5427</f>
        <v>4573</v>
      </c>
      <c r="E15" s="32">
        <v>67.239999999999995</v>
      </c>
      <c r="J15" s="32"/>
    </row>
    <row r="16" spans="1:10" x14ac:dyDescent="0.2">
      <c r="A16" s="290">
        <v>500267</v>
      </c>
      <c r="B16" s="362">
        <f>1481731-1447824</f>
        <v>33907</v>
      </c>
      <c r="E16" s="32">
        <f>+E14-E15</f>
        <v>4773.49</v>
      </c>
      <c r="J16" s="32"/>
    </row>
    <row r="17" spans="1:10" x14ac:dyDescent="0.2">
      <c r="B17" s="14">
        <f>SUM(B8:B16)</f>
        <v>59605</v>
      </c>
      <c r="J17" s="32"/>
    </row>
    <row r="18" spans="1:10" x14ac:dyDescent="0.2">
      <c r="B18" s="15">
        <f>+B31</f>
        <v>2.84</v>
      </c>
      <c r="C18" s="201">
        <f>+B18*B17</f>
        <v>169278.19999999998</v>
      </c>
      <c r="G18" s="32"/>
      <c r="H18" s="413"/>
      <c r="I18" s="14"/>
      <c r="J18" s="32"/>
    </row>
    <row r="19" spans="1:10" x14ac:dyDescent="0.2">
      <c r="C19" s="339">
        <f>+C18+C5</f>
        <v>1332064.24</v>
      </c>
      <c r="E19" s="15"/>
      <c r="G19" s="32"/>
      <c r="H19" s="413"/>
      <c r="I19" s="14"/>
      <c r="J19" s="32"/>
    </row>
    <row r="20" spans="1:10" x14ac:dyDescent="0.2">
      <c r="E20" s="15"/>
      <c r="G20" s="32"/>
      <c r="H20" s="413"/>
      <c r="I20" s="14"/>
      <c r="J20" s="32"/>
    </row>
    <row r="21" spans="1:10" x14ac:dyDescent="0.2">
      <c r="A21" s="32" t="s">
        <v>89</v>
      </c>
      <c r="G21" s="32"/>
      <c r="H21" s="413"/>
      <c r="I21" s="14"/>
      <c r="J21" s="32"/>
    </row>
    <row r="22" spans="1:10" x14ac:dyDescent="0.2">
      <c r="A22" s="2" t="s">
        <v>76</v>
      </c>
      <c r="G22" s="32"/>
      <c r="H22" s="413"/>
      <c r="I22" s="14"/>
      <c r="J22" s="32"/>
    </row>
    <row r="23" spans="1:10" x14ac:dyDescent="0.2">
      <c r="G23" s="32"/>
      <c r="H23" s="413"/>
      <c r="I23" s="14"/>
      <c r="J23" s="32"/>
    </row>
    <row r="24" spans="1:10" x14ac:dyDescent="0.2">
      <c r="G24" s="32"/>
      <c r="H24" s="413"/>
      <c r="I24" s="14"/>
      <c r="J24" s="32"/>
    </row>
    <row r="25" spans="1:10" x14ac:dyDescent="0.2">
      <c r="A25" s="200">
        <v>37103</v>
      </c>
      <c r="C25" s="454">
        <v>275313.71999999997</v>
      </c>
      <c r="G25" s="32"/>
      <c r="H25" s="15"/>
      <c r="I25" s="14"/>
      <c r="J25" s="32"/>
    </row>
    <row r="26" spans="1:10" x14ac:dyDescent="0.2">
      <c r="F26" s="267"/>
      <c r="G26" s="32"/>
      <c r="H26" s="15"/>
      <c r="I26" s="32"/>
      <c r="J26" s="32"/>
    </row>
    <row r="27" spans="1:10" x14ac:dyDescent="0.2">
      <c r="A27" s="57">
        <v>37128</v>
      </c>
      <c r="G27" s="32"/>
      <c r="H27" s="15"/>
      <c r="I27" s="32"/>
      <c r="J27" s="32"/>
    </row>
    <row r="28" spans="1:10" x14ac:dyDescent="0.2">
      <c r="A28" s="32">
        <v>9164</v>
      </c>
      <c r="B28" s="212"/>
      <c r="G28" s="32"/>
      <c r="H28" s="15"/>
      <c r="I28" s="32"/>
      <c r="J28" s="32"/>
    </row>
    <row r="29" spans="1:10" x14ac:dyDescent="0.2">
      <c r="A29" s="32">
        <v>9167</v>
      </c>
      <c r="B29" s="212"/>
    </row>
    <row r="30" spans="1:10" x14ac:dyDescent="0.2">
      <c r="B30" s="14">
        <f>+B29+B28</f>
        <v>0</v>
      </c>
    </row>
    <row r="31" spans="1:10" x14ac:dyDescent="0.2">
      <c r="B31" s="15">
        <f>+summary!H4</f>
        <v>2.84</v>
      </c>
      <c r="C31" s="201">
        <f>+B31*B30</f>
        <v>0</v>
      </c>
    </row>
    <row r="32" spans="1:10" x14ac:dyDescent="0.2">
      <c r="C32" s="339">
        <f>+C31+C25</f>
        <v>275313.71999999997</v>
      </c>
      <c r="E32" s="15"/>
    </row>
    <row r="34" spans="1:9" x14ac:dyDescent="0.2">
      <c r="E34" s="272"/>
    </row>
    <row r="35" spans="1:9" x14ac:dyDescent="0.2">
      <c r="A35" s="32" t="s">
        <v>89</v>
      </c>
      <c r="E35" s="15"/>
    </row>
    <row r="36" spans="1:9" x14ac:dyDescent="0.2">
      <c r="A36" s="32" t="s">
        <v>77</v>
      </c>
      <c r="E36" s="32" t="s">
        <v>157</v>
      </c>
      <c r="F36" s="381">
        <v>24268</v>
      </c>
      <c r="G36" s="381">
        <v>24693</v>
      </c>
      <c r="H36" s="381">
        <v>24361</v>
      </c>
    </row>
    <row r="37" spans="1:9" x14ac:dyDescent="0.2">
      <c r="E37" s="49">
        <f>+A5</f>
        <v>37103</v>
      </c>
      <c r="F37" s="212">
        <v>223026</v>
      </c>
      <c r="G37" s="14">
        <v>117857</v>
      </c>
      <c r="H37" s="212">
        <v>138810</v>
      </c>
      <c r="I37" s="14"/>
    </row>
    <row r="38" spans="1:9" x14ac:dyDescent="0.2">
      <c r="E38" s="49">
        <f>+A7</f>
        <v>37128</v>
      </c>
      <c r="F38" s="379">
        <f>+B17</f>
        <v>59605</v>
      </c>
      <c r="G38" s="379">
        <f>+B30</f>
        <v>0</v>
      </c>
      <c r="H38" s="379">
        <f>+B45</f>
        <v>7652</v>
      </c>
      <c r="I38" s="14"/>
    </row>
    <row r="39" spans="1:9" x14ac:dyDescent="0.2">
      <c r="A39" s="49">
        <v>37103</v>
      </c>
      <c r="C39" s="454">
        <v>732710.21</v>
      </c>
      <c r="F39" s="14">
        <f>+F38+F37</f>
        <v>282631</v>
      </c>
      <c r="G39" s="14">
        <f>+G38+G37</f>
        <v>117857</v>
      </c>
      <c r="H39" s="14">
        <f>+H38+H37</f>
        <v>146462</v>
      </c>
      <c r="I39" s="14">
        <f>+H39+G39+F39</f>
        <v>546950</v>
      </c>
    </row>
    <row r="40" spans="1:9" x14ac:dyDescent="0.2">
      <c r="G40" s="32"/>
      <c r="H40" s="15"/>
      <c r="I40" s="32"/>
    </row>
    <row r="41" spans="1:9" x14ac:dyDescent="0.2">
      <c r="A41" s="249">
        <v>37128</v>
      </c>
      <c r="G41" s="32"/>
    </row>
    <row r="42" spans="1:9" x14ac:dyDescent="0.2">
      <c r="A42" s="253">
        <v>500241</v>
      </c>
      <c r="B42" s="14"/>
      <c r="G42" s="32"/>
    </row>
    <row r="43" spans="1:9" x14ac:dyDescent="0.2">
      <c r="A43" s="32">
        <v>500391</v>
      </c>
      <c r="B43" s="212">
        <v>6187</v>
      </c>
      <c r="G43" s="32"/>
      <c r="H43" s="414"/>
      <c r="I43" s="14"/>
    </row>
    <row r="44" spans="1:9" x14ac:dyDescent="0.2">
      <c r="A44" s="32">
        <v>500392</v>
      </c>
      <c r="B44" s="257">
        <v>1465</v>
      </c>
      <c r="G44" s="32"/>
      <c r="H44" s="414"/>
      <c r="I44" s="14"/>
    </row>
    <row r="45" spans="1:9" x14ac:dyDescent="0.2">
      <c r="B45" s="14">
        <f>SUM(B42:B44)</f>
        <v>7652</v>
      </c>
      <c r="G45" s="32"/>
      <c r="H45" s="414"/>
      <c r="I45" s="14"/>
    </row>
    <row r="46" spans="1:9" x14ac:dyDescent="0.2">
      <c r="B46" s="201">
        <f>+B31</f>
        <v>2.84</v>
      </c>
      <c r="C46" s="201">
        <f>+B46*B45</f>
        <v>21731.68</v>
      </c>
      <c r="H46" s="414"/>
      <c r="I46" s="14"/>
    </row>
    <row r="47" spans="1:9" x14ac:dyDescent="0.2">
      <c r="C47" s="339">
        <f>+C46+C39</f>
        <v>754441.89</v>
      </c>
      <c r="E47" s="206"/>
      <c r="H47" s="414"/>
      <c r="I47" s="14"/>
    </row>
    <row r="48" spans="1:9" x14ac:dyDescent="0.2">
      <c r="E48" s="216"/>
      <c r="H48" s="414"/>
      <c r="I48" s="14"/>
    </row>
    <row r="49" spans="1:9" x14ac:dyDescent="0.2">
      <c r="E49" s="206"/>
      <c r="H49" s="414"/>
      <c r="I49" s="14"/>
    </row>
    <row r="50" spans="1:9" x14ac:dyDescent="0.2">
      <c r="C50" s="324"/>
      <c r="E50" s="216"/>
    </row>
    <row r="51" spans="1:9" x14ac:dyDescent="0.2">
      <c r="A51" s="32" t="s">
        <v>89</v>
      </c>
      <c r="C51" s="254"/>
    </row>
    <row r="52" spans="1:9" x14ac:dyDescent="0.2">
      <c r="A52" s="32">
        <v>21665</v>
      </c>
      <c r="B52" s="15" t="s">
        <v>142</v>
      </c>
      <c r="C52" s="453">
        <v>73449.16</v>
      </c>
      <c r="D52" s="32" t="s">
        <v>123</v>
      </c>
      <c r="E52" s="50"/>
      <c r="H52" s="414">
        <v>21665</v>
      </c>
      <c r="I52" s="14">
        <v>36403</v>
      </c>
    </row>
    <row r="53" spans="1:9" x14ac:dyDescent="0.2">
      <c r="A53" s="32">
        <v>22664</v>
      </c>
      <c r="B53" s="15" t="s">
        <v>142</v>
      </c>
      <c r="C53" s="477">
        <v>23612.35</v>
      </c>
      <c r="D53" s="32" t="s">
        <v>124</v>
      </c>
      <c r="H53" s="414">
        <v>22664</v>
      </c>
      <c r="I53" s="208">
        <v>18932</v>
      </c>
    </row>
    <row r="54" spans="1:9" x14ac:dyDescent="0.2">
      <c r="H54" s="415"/>
      <c r="I54" s="16"/>
    </row>
    <row r="55" spans="1:9" x14ac:dyDescent="0.2">
      <c r="C55" s="476"/>
    </row>
    <row r="56" spans="1:9" x14ac:dyDescent="0.2">
      <c r="C56" s="331">
        <f>+C53+C52+C47+C32+C19</f>
        <v>2458881.3600000003</v>
      </c>
      <c r="I56" s="14">
        <f>SUM(I39:I53)</f>
        <v>602285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32" workbookViewId="3">
      <selection activeCell="A41" sqref="A41"/>
    </sheetView>
  </sheetViews>
  <sheetFormatPr defaultRowHeight="12.75" x14ac:dyDescent="0.2"/>
  <cols>
    <col min="3" max="3" width="9.85546875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28">
        <v>23995</v>
      </c>
      <c r="C1" s="235"/>
      <c r="D1" s="327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194</v>
      </c>
      <c r="G3" s="6"/>
      <c r="H3" s="115"/>
    </row>
    <row r="4" spans="1:10" x14ac:dyDescent="0.2">
      <c r="A4" s="10">
        <v>1</v>
      </c>
      <c r="B4" s="11"/>
      <c r="C4" s="11"/>
      <c r="D4" s="11">
        <v>17879</v>
      </c>
      <c r="E4" s="11">
        <v>24612</v>
      </c>
      <c r="F4" s="11">
        <f>+E4+C4-D4-B4</f>
        <v>6733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15280</v>
      </c>
      <c r="E5" s="11">
        <v>24612</v>
      </c>
      <c r="F5" s="11">
        <f t="shared" ref="F5:F34" si="0">+E5+C5-D5-B5</f>
        <v>9332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22363</v>
      </c>
      <c r="E6" s="11">
        <v>24612</v>
      </c>
      <c r="F6" s="11">
        <f t="shared" si="0"/>
        <v>2249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22522</v>
      </c>
      <c r="E7" s="11">
        <v>24612</v>
      </c>
      <c r="F7" s="11">
        <f t="shared" si="0"/>
        <v>2090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25194</v>
      </c>
      <c r="E8" s="11">
        <v>24612</v>
      </c>
      <c r="F8" s="11">
        <f t="shared" si="0"/>
        <v>-582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25342</v>
      </c>
      <c r="E9" s="11">
        <v>24612</v>
      </c>
      <c r="F9" s="11">
        <f t="shared" si="0"/>
        <v>-730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26046</v>
      </c>
      <c r="E10" s="11">
        <v>24612</v>
      </c>
      <c r="F10" s="11">
        <f t="shared" si="0"/>
        <v>-1434</v>
      </c>
      <c r="G10" s="11"/>
      <c r="I10" s="11"/>
      <c r="J10" s="24"/>
    </row>
    <row r="11" spans="1:10" x14ac:dyDescent="0.2">
      <c r="A11" s="10">
        <v>8</v>
      </c>
      <c r="B11" s="11">
        <v>11</v>
      </c>
      <c r="C11" s="11"/>
      <c r="D11" s="11">
        <v>24733</v>
      </c>
      <c r="E11" s="11">
        <v>24612</v>
      </c>
      <c r="F11" s="11">
        <f t="shared" si="0"/>
        <v>-132</v>
      </c>
      <c r="G11" s="11"/>
      <c r="I11" s="11"/>
      <c r="J11" s="24"/>
    </row>
    <row r="12" spans="1:10" x14ac:dyDescent="0.2">
      <c r="A12" s="10">
        <v>9</v>
      </c>
      <c r="B12" s="11">
        <v>22</v>
      </c>
      <c r="C12" s="11"/>
      <c r="D12" s="11">
        <v>26013</v>
      </c>
      <c r="E12" s="11">
        <v>24612</v>
      </c>
      <c r="F12" s="11">
        <f t="shared" si="0"/>
        <v>-1423</v>
      </c>
      <c r="G12" s="11"/>
      <c r="I12" s="11"/>
      <c r="J12" s="24"/>
    </row>
    <row r="13" spans="1:10" x14ac:dyDescent="0.2">
      <c r="A13" s="10">
        <v>10</v>
      </c>
      <c r="B13" s="11">
        <v>1</v>
      </c>
      <c r="C13" s="11"/>
      <c r="D13" s="11">
        <v>25516</v>
      </c>
      <c r="E13" s="11">
        <v>24612</v>
      </c>
      <c r="F13" s="11">
        <f t="shared" si="0"/>
        <v>-905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25869</v>
      </c>
      <c r="E14" s="11">
        <v>24612</v>
      </c>
      <c r="F14" s="11">
        <f t="shared" si="0"/>
        <v>-1257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25308</v>
      </c>
      <c r="E15" s="11">
        <v>24612</v>
      </c>
      <c r="F15" s="11">
        <f t="shared" si="0"/>
        <v>-696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>
        <v>25349</v>
      </c>
      <c r="E16" s="11">
        <v>24612</v>
      </c>
      <c r="F16" s="11">
        <f t="shared" si="0"/>
        <v>-737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26042</v>
      </c>
      <c r="E17" s="11">
        <v>24612</v>
      </c>
      <c r="F17" s="11">
        <f t="shared" si="0"/>
        <v>-1430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25954</v>
      </c>
      <c r="E18" s="11">
        <v>24612</v>
      </c>
      <c r="F18" s="11">
        <f t="shared" si="0"/>
        <v>-1342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26036</v>
      </c>
      <c r="E19" s="11">
        <v>24612</v>
      </c>
      <c r="F19" s="11">
        <f t="shared" si="0"/>
        <v>-1424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13182</v>
      </c>
      <c r="E20" s="11">
        <v>24612</v>
      </c>
      <c r="F20" s="11">
        <f t="shared" si="0"/>
        <v>11430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>
        <v>21303</v>
      </c>
      <c r="E21" s="11">
        <v>24612</v>
      </c>
      <c r="F21" s="11">
        <f t="shared" si="0"/>
        <v>3309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>
        <v>20687</v>
      </c>
      <c r="E22" s="11">
        <v>24612</v>
      </c>
      <c r="F22" s="11">
        <f t="shared" si="0"/>
        <v>3925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>
        <v>15373</v>
      </c>
      <c r="E23" s="11">
        <v>24612</v>
      </c>
      <c r="F23" s="11">
        <f t="shared" si="0"/>
        <v>9239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>
        <v>7932</v>
      </c>
      <c r="E24" s="11">
        <v>16205</v>
      </c>
      <c r="F24" s="11">
        <f t="shared" si="0"/>
        <v>8273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>
        <v>25349</v>
      </c>
      <c r="E25" s="11">
        <v>24612</v>
      </c>
      <c r="F25" s="11">
        <f t="shared" si="0"/>
        <v>-737</v>
      </c>
      <c r="I25" s="11"/>
      <c r="J25" s="24"/>
    </row>
    <row r="26" spans="1:10" x14ac:dyDescent="0.2">
      <c r="A26" s="10">
        <v>23</v>
      </c>
      <c r="B26" s="11"/>
      <c r="C26" s="11"/>
      <c r="D26" s="11">
        <v>25784</v>
      </c>
      <c r="E26" s="11">
        <v>24612</v>
      </c>
      <c r="F26" s="11">
        <f t="shared" si="0"/>
        <v>-1172</v>
      </c>
      <c r="I26" s="11"/>
      <c r="J26" s="24"/>
    </row>
    <row r="27" spans="1:10" x14ac:dyDescent="0.2">
      <c r="A27" s="10">
        <v>24</v>
      </c>
      <c r="B27" s="11"/>
      <c r="C27" s="11"/>
      <c r="D27" s="11">
        <v>26042</v>
      </c>
      <c r="E27" s="11">
        <v>24612</v>
      </c>
      <c r="F27" s="11">
        <f t="shared" si="0"/>
        <v>-1430</v>
      </c>
      <c r="I27" s="11"/>
      <c r="J27" s="24"/>
    </row>
    <row r="28" spans="1:10" x14ac:dyDescent="0.2">
      <c r="A28" s="10">
        <v>25</v>
      </c>
      <c r="B28" s="11"/>
      <c r="C28" s="11"/>
      <c r="D28" s="11">
        <v>26050</v>
      </c>
      <c r="E28" s="11">
        <v>24612</v>
      </c>
      <c r="F28" s="11">
        <f t="shared" si="0"/>
        <v>-1438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157</v>
      </c>
      <c r="I33" s="381">
        <v>23995</v>
      </c>
      <c r="J33" s="381">
        <v>22051</v>
      </c>
      <c r="K33" s="381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37103</v>
      </c>
      <c r="I34" s="212">
        <v>-178485</v>
      </c>
      <c r="J34" s="212">
        <v>-80532</v>
      </c>
      <c r="K34" s="14"/>
      <c r="L34" s="14"/>
    </row>
    <row r="35" spans="1:13" x14ac:dyDescent="0.2">
      <c r="A35" s="10"/>
      <c r="B35" s="11">
        <f>SUM(B4:B34)</f>
        <v>34</v>
      </c>
      <c r="C35" s="11">
        <f>SUM(C4:C34)</f>
        <v>0</v>
      </c>
      <c r="D35" s="11">
        <f>SUM(D4:D34)</f>
        <v>567148</v>
      </c>
      <c r="E35" s="11">
        <f>SUM(E4:E34)</f>
        <v>606893</v>
      </c>
      <c r="F35" s="11">
        <f>SUM(F4:F34)</f>
        <v>39711</v>
      </c>
      <c r="G35" s="11"/>
      <c r="H35" s="49">
        <f>+A40</f>
        <v>37128</v>
      </c>
      <c r="I35" s="379">
        <f>+C36</f>
        <v>-34</v>
      </c>
      <c r="J35" s="379">
        <f>+E36</f>
        <v>39745</v>
      </c>
      <c r="K35" s="208"/>
      <c r="L35" s="14"/>
    </row>
    <row r="36" spans="1:13" x14ac:dyDescent="0.2">
      <c r="C36" s="25">
        <f>+C35-B35</f>
        <v>-34</v>
      </c>
      <c r="E36" s="25">
        <f>+E35-D35</f>
        <v>39745</v>
      </c>
      <c r="F36" s="25">
        <f>+E36+C36</f>
        <v>39711</v>
      </c>
      <c r="H36" s="32"/>
      <c r="I36" s="14">
        <f>+I35+I34</f>
        <v>-178519</v>
      </c>
      <c r="J36" s="14">
        <f>+J35+J34</f>
        <v>-40787</v>
      </c>
      <c r="K36" s="14">
        <f>+J36+I36</f>
        <v>-219306</v>
      </c>
      <c r="L36" s="14"/>
    </row>
    <row r="37" spans="1:13" x14ac:dyDescent="0.2">
      <c r="C37" s="329">
        <f>+summary!H5</f>
        <v>2.93</v>
      </c>
      <c r="E37" s="104">
        <f>+C37</f>
        <v>2.93</v>
      </c>
      <c r="F37" s="138">
        <f>+F36*E37</f>
        <v>116353.23000000001</v>
      </c>
    </row>
    <row r="38" spans="1:13" x14ac:dyDescent="0.2">
      <c r="C38" s="138">
        <f>+C37*C36</f>
        <v>-99.62</v>
      </c>
      <c r="E38" s="136">
        <f>+E37*E36</f>
        <v>116452.85</v>
      </c>
      <c r="F38" s="138">
        <f>+E38+C38</f>
        <v>116353.23000000001</v>
      </c>
    </row>
    <row r="39" spans="1:13" x14ac:dyDescent="0.2">
      <c r="A39" s="57">
        <v>37103</v>
      </c>
      <c r="B39" s="2" t="s">
        <v>46</v>
      </c>
      <c r="C39" s="369">
        <v>-1023166</v>
      </c>
      <c r="D39" s="338"/>
      <c r="E39" s="449">
        <v>-496043.34</v>
      </c>
      <c r="F39" s="337">
        <f>+E39+C39</f>
        <v>-1519209.34</v>
      </c>
    </row>
    <row r="40" spans="1:13" x14ac:dyDescent="0.2">
      <c r="A40" s="57">
        <v>37128</v>
      </c>
      <c r="B40" s="2" t="s">
        <v>46</v>
      </c>
      <c r="C40" s="330">
        <f>+C39+C38</f>
        <v>-1023265.62</v>
      </c>
      <c r="D40" s="259"/>
      <c r="E40" s="330">
        <f>+E39+E38</f>
        <v>-379590.49</v>
      </c>
      <c r="F40" s="330">
        <f>+E40+C40</f>
        <v>-1402856.1099999999</v>
      </c>
      <c r="H40" s="131"/>
    </row>
    <row r="41" spans="1:13" x14ac:dyDescent="0.2">
      <c r="C41" s="348"/>
      <c r="D41" s="250"/>
      <c r="E41" s="250"/>
      <c r="H41" s="31"/>
    </row>
    <row r="42" spans="1:13" x14ac:dyDescent="0.2">
      <c r="C42" s="250"/>
      <c r="D42" s="250"/>
      <c r="E42" s="250"/>
    </row>
    <row r="43" spans="1:13" x14ac:dyDescent="0.2">
      <c r="C43" s="250"/>
      <c r="D43" s="250"/>
      <c r="E43" s="12" t="s">
        <v>115</v>
      </c>
    </row>
    <row r="44" spans="1:13" x14ac:dyDescent="0.2">
      <c r="C44" s="250"/>
      <c r="D44" s="250"/>
      <c r="E44" s="12">
        <v>22864</v>
      </c>
      <c r="F44" s="454">
        <v>-58339.66</v>
      </c>
      <c r="G44" s="254" t="s">
        <v>49</v>
      </c>
      <c r="J44" s="12">
        <v>22864</v>
      </c>
      <c r="K44" s="14">
        <v>-24566</v>
      </c>
    </row>
    <row r="45" spans="1:13" x14ac:dyDescent="0.2">
      <c r="C45" s="250"/>
      <c r="D45" s="250"/>
      <c r="E45" s="12">
        <v>20379</v>
      </c>
      <c r="F45" s="454">
        <v>-51695.87</v>
      </c>
      <c r="G45" s="254" t="s">
        <v>126</v>
      </c>
      <c r="J45" s="12">
        <v>20379</v>
      </c>
      <c r="K45" s="14">
        <v>2979</v>
      </c>
      <c r="M45" s="14"/>
    </row>
    <row r="46" spans="1:13" x14ac:dyDescent="0.2">
      <c r="C46" s="250"/>
      <c r="D46" s="250"/>
      <c r="E46" s="12">
        <v>26357</v>
      </c>
      <c r="F46" s="371">
        <v>44144.84</v>
      </c>
      <c r="G46" s="254" t="s">
        <v>127</v>
      </c>
      <c r="J46" s="12">
        <v>26357</v>
      </c>
      <c r="K46" s="14">
        <v>26521</v>
      </c>
    </row>
    <row r="47" spans="1:13" x14ac:dyDescent="0.2">
      <c r="C47" s="250"/>
      <c r="D47" s="250"/>
      <c r="E47" s="12">
        <v>21544</v>
      </c>
      <c r="F47" s="454">
        <v>61340.160000000003</v>
      </c>
      <c r="G47" s="254" t="s">
        <v>128</v>
      </c>
      <c r="J47" s="12">
        <v>21544</v>
      </c>
      <c r="K47" s="14">
        <v>36108</v>
      </c>
    </row>
    <row r="48" spans="1:13" x14ac:dyDescent="0.2">
      <c r="C48" s="250"/>
      <c r="D48" s="250"/>
      <c r="E48" s="12">
        <v>24532</v>
      </c>
      <c r="F48" s="455">
        <v>-762222.24</v>
      </c>
      <c r="G48" s="254" t="s">
        <v>125</v>
      </c>
      <c r="J48" s="12">
        <v>24532</v>
      </c>
      <c r="K48" s="212">
        <v>17769</v>
      </c>
    </row>
    <row r="49" spans="3:13" x14ac:dyDescent="0.2">
      <c r="C49" s="250"/>
      <c r="D49" s="250"/>
      <c r="F49" s="349">
        <f>SUM(F40:F48)</f>
        <v>-2169628.88</v>
      </c>
      <c r="G49" s="250"/>
      <c r="K49" s="14">
        <f>SUM(K36:K48)</f>
        <v>-160495</v>
      </c>
    </row>
    <row r="50" spans="3:13" x14ac:dyDescent="0.2">
      <c r="C50" s="250"/>
      <c r="D50" s="250"/>
      <c r="F50" s="250"/>
      <c r="G50" s="250"/>
    </row>
    <row r="51" spans="3:13" x14ac:dyDescent="0.2">
      <c r="E51" s="2" t="s">
        <v>143</v>
      </c>
      <c r="F51" s="138">
        <f>+Duke!C56</f>
        <v>2458881.3600000003</v>
      </c>
      <c r="M51" s="14">
        <f>+Duke!I56</f>
        <v>602285</v>
      </c>
    </row>
    <row r="53" spans="3:13" x14ac:dyDescent="0.2">
      <c r="F53" s="104">
        <f>+F51+F49</f>
        <v>289252.48000000045</v>
      </c>
      <c r="M53" s="16">
        <f>+M51+K49</f>
        <v>441790</v>
      </c>
    </row>
    <row r="59" spans="3:13" x14ac:dyDescent="0.2">
      <c r="H59" s="258"/>
    </row>
    <row r="60" spans="3:13" x14ac:dyDescent="0.2">
      <c r="H60" s="258"/>
    </row>
    <row r="61" spans="3:13" x14ac:dyDescent="0.2">
      <c r="H61" s="258"/>
    </row>
    <row r="62" spans="3:13" x14ac:dyDescent="0.2">
      <c r="H62" s="367"/>
    </row>
    <row r="63" spans="3:13" x14ac:dyDescent="0.2">
      <c r="F63" s="367"/>
    </row>
    <row r="64" spans="3:13" x14ac:dyDescent="0.2">
      <c r="F64" s="367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4" workbookViewId="3">
      <selection activeCell="G33" sqref="G33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72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7793</v>
      </c>
      <c r="C8" s="11">
        <v>6031</v>
      </c>
      <c r="D8" s="11"/>
      <c r="E8" s="11"/>
      <c r="F8" s="11">
        <v>1235</v>
      </c>
      <c r="G8" s="11">
        <v>1150</v>
      </c>
      <c r="H8" s="11">
        <v>1454</v>
      </c>
      <c r="I8" s="11">
        <v>1283</v>
      </c>
      <c r="J8" s="25">
        <f>+C8-B8+E8-D8+G8-F8+I8-H8</f>
        <v>-2018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7791</v>
      </c>
      <c r="C9" s="11">
        <v>6031</v>
      </c>
      <c r="D9" s="11"/>
      <c r="E9" s="11"/>
      <c r="F9" s="11">
        <v>1177</v>
      </c>
      <c r="G9" s="11">
        <v>1150</v>
      </c>
      <c r="H9" s="11">
        <v>1476</v>
      </c>
      <c r="I9" s="11">
        <v>1283</v>
      </c>
      <c r="J9" s="25">
        <f t="shared" ref="J9:J38" si="0">+C9-B9+E9-D9+G9-F9+I9-H9</f>
        <v>-1980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5994</v>
      </c>
      <c r="C10" s="11">
        <v>6031</v>
      </c>
      <c r="D10" s="11"/>
      <c r="E10" s="11"/>
      <c r="F10" s="11">
        <v>1174</v>
      </c>
      <c r="G10" s="11">
        <v>1150</v>
      </c>
      <c r="H10" s="11">
        <v>1523</v>
      </c>
      <c r="I10" s="11">
        <v>1283</v>
      </c>
      <c r="J10" s="25">
        <f t="shared" si="0"/>
        <v>-227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7564</v>
      </c>
      <c r="C11" s="11">
        <v>6031</v>
      </c>
      <c r="D11" s="11"/>
      <c r="E11" s="11"/>
      <c r="F11" s="11">
        <v>1155</v>
      </c>
      <c r="G11" s="11">
        <v>1150</v>
      </c>
      <c r="H11" s="11">
        <v>1485</v>
      </c>
      <c r="I11" s="11">
        <v>1283</v>
      </c>
      <c r="J11" s="25">
        <f t="shared" si="0"/>
        <v>-1740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7266</v>
      </c>
      <c r="C12" s="11">
        <v>6031</v>
      </c>
      <c r="D12" s="11"/>
      <c r="E12" s="11"/>
      <c r="F12" s="11">
        <v>1111</v>
      </c>
      <c r="G12" s="11">
        <v>1150</v>
      </c>
      <c r="H12" s="11">
        <v>1460</v>
      </c>
      <c r="I12" s="11">
        <v>1283</v>
      </c>
      <c r="J12" s="25">
        <f t="shared" si="0"/>
        <v>-1373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7106</v>
      </c>
      <c r="C13" s="11">
        <v>6031</v>
      </c>
      <c r="D13" s="11"/>
      <c r="E13" s="11"/>
      <c r="F13" s="11">
        <v>1102</v>
      </c>
      <c r="G13" s="11">
        <v>1150</v>
      </c>
      <c r="H13" s="11">
        <v>1390</v>
      </c>
      <c r="I13" s="11">
        <v>1283</v>
      </c>
      <c r="J13" s="25">
        <f t="shared" si="0"/>
        <v>-1134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6926</v>
      </c>
      <c r="C14" s="11">
        <v>6031</v>
      </c>
      <c r="D14" s="11"/>
      <c r="E14" s="11"/>
      <c r="F14" s="11">
        <v>1149</v>
      </c>
      <c r="G14" s="11">
        <v>1150</v>
      </c>
      <c r="H14" s="11">
        <v>1444</v>
      </c>
      <c r="I14" s="129">
        <v>1283</v>
      </c>
      <c r="J14" s="25">
        <f t="shared" si="0"/>
        <v>-1055</v>
      </c>
      <c r="K14" s="10"/>
      <c r="L14" s="11"/>
      <c r="M14" s="11"/>
      <c r="N14" s="11"/>
      <c r="O14" s="11"/>
      <c r="P14" s="11"/>
      <c r="Q14" s="11"/>
      <c r="R14" s="123"/>
      <c r="S14" s="28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6932</v>
      </c>
      <c r="C15" s="11">
        <v>6031</v>
      </c>
      <c r="D15" s="11"/>
      <c r="E15" s="11"/>
      <c r="F15" s="11">
        <v>1096</v>
      </c>
      <c r="G15" s="11">
        <v>1150</v>
      </c>
      <c r="H15" s="11">
        <v>1417</v>
      </c>
      <c r="I15" s="11">
        <v>1283</v>
      </c>
      <c r="J15" s="25">
        <f t="shared" si="0"/>
        <v>-981</v>
      </c>
      <c r="K15" s="10"/>
      <c r="L15" s="11"/>
      <c r="M15" s="11"/>
      <c r="N15" s="11"/>
      <c r="O15" s="11"/>
      <c r="P15" s="11"/>
      <c r="Q15" s="11"/>
      <c r="R15" s="123"/>
      <c r="S15" s="28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6825</v>
      </c>
      <c r="C16" s="11">
        <v>6031</v>
      </c>
      <c r="D16" s="11"/>
      <c r="E16" s="11"/>
      <c r="F16" s="11">
        <v>1073</v>
      </c>
      <c r="G16" s="11">
        <v>1150</v>
      </c>
      <c r="H16" s="11">
        <v>1479</v>
      </c>
      <c r="I16" s="11">
        <v>1283</v>
      </c>
      <c r="J16" s="25">
        <f t="shared" si="0"/>
        <v>-913</v>
      </c>
      <c r="K16" s="10"/>
      <c r="L16" s="11"/>
      <c r="M16" s="11"/>
      <c r="N16" s="11"/>
      <c r="O16" s="11"/>
      <c r="P16" s="11"/>
      <c r="Q16" s="11"/>
      <c r="R16" s="123"/>
      <c r="S16" s="28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7236</v>
      </c>
      <c r="C17" s="11">
        <v>6031</v>
      </c>
      <c r="D17" s="11"/>
      <c r="E17" s="11"/>
      <c r="F17" s="11">
        <v>1025</v>
      </c>
      <c r="G17" s="11">
        <v>1150</v>
      </c>
      <c r="H17" s="11">
        <v>1307</v>
      </c>
      <c r="I17" s="11">
        <v>1283</v>
      </c>
      <c r="J17" s="25">
        <f t="shared" si="0"/>
        <v>-1104</v>
      </c>
      <c r="K17" s="10"/>
      <c r="L17" s="11"/>
      <c r="M17" s="11"/>
      <c r="N17" s="11"/>
      <c r="O17" s="11"/>
      <c r="P17" s="11"/>
      <c r="Q17" s="11"/>
      <c r="R17" s="123"/>
      <c r="S17" s="28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7145</v>
      </c>
      <c r="C18" s="11">
        <v>6031</v>
      </c>
      <c r="D18" s="11"/>
      <c r="E18" s="11"/>
      <c r="F18" s="11">
        <v>1044</v>
      </c>
      <c r="G18" s="11">
        <v>1150</v>
      </c>
      <c r="H18" s="11">
        <v>1444</v>
      </c>
      <c r="I18" s="11">
        <v>1283</v>
      </c>
      <c r="J18" s="25">
        <f t="shared" si="0"/>
        <v>-1169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7121</v>
      </c>
      <c r="C19" s="11">
        <v>6031</v>
      </c>
      <c r="D19" s="11"/>
      <c r="E19" s="11"/>
      <c r="F19" s="11">
        <v>1011</v>
      </c>
      <c r="G19" s="11">
        <v>1150</v>
      </c>
      <c r="H19" s="11">
        <v>1426</v>
      </c>
      <c r="I19" s="11">
        <v>1283</v>
      </c>
      <c r="J19" s="25">
        <f t="shared" si="0"/>
        <v>-1094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7497</v>
      </c>
      <c r="C20" s="11">
        <v>6031</v>
      </c>
      <c r="D20" s="11"/>
      <c r="E20" s="11"/>
      <c r="F20" s="11">
        <v>1008</v>
      </c>
      <c r="G20" s="11">
        <v>1150</v>
      </c>
      <c r="H20" s="11">
        <v>1419</v>
      </c>
      <c r="I20" s="11">
        <v>1283</v>
      </c>
      <c r="J20" s="25">
        <f t="shared" si="0"/>
        <v>-1460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5169</v>
      </c>
      <c r="C21" s="11">
        <v>6031</v>
      </c>
      <c r="D21" s="11"/>
      <c r="E21" s="11"/>
      <c r="F21" s="11">
        <v>956</v>
      </c>
      <c r="G21" s="11">
        <v>1150</v>
      </c>
      <c r="H21" s="11">
        <v>1409</v>
      </c>
      <c r="I21" s="11">
        <v>1283</v>
      </c>
      <c r="J21" s="25">
        <f t="shared" si="0"/>
        <v>930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7298</v>
      </c>
      <c r="C22" s="11">
        <v>6531</v>
      </c>
      <c r="D22" s="11"/>
      <c r="E22" s="11"/>
      <c r="F22" s="11">
        <v>1098</v>
      </c>
      <c r="G22" s="11">
        <v>1150</v>
      </c>
      <c r="H22" s="11">
        <v>1394</v>
      </c>
      <c r="I22" s="11">
        <v>1283</v>
      </c>
      <c r="J22" s="25">
        <f t="shared" si="0"/>
        <v>-826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4507</v>
      </c>
      <c r="C23" s="11">
        <v>6531</v>
      </c>
      <c r="D23" s="11"/>
      <c r="E23" s="11"/>
      <c r="F23" s="11">
        <v>1042</v>
      </c>
      <c r="G23" s="11">
        <v>1150</v>
      </c>
      <c r="H23" s="11">
        <v>1404</v>
      </c>
      <c r="I23" s="11">
        <v>1283</v>
      </c>
      <c r="J23" s="25">
        <f t="shared" si="0"/>
        <v>2011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5627</v>
      </c>
      <c r="C24" s="11">
        <v>6513</v>
      </c>
      <c r="D24" s="11"/>
      <c r="E24" s="11"/>
      <c r="F24" s="11">
        <v>1034</v>
      </c>
      <c r="G24" s="11">
        <v>1150</v>
      </c>
      <c r="H24" s="11">
        <v>1409</v>
      </c>
      <c r="I24" s="11">
        <v>1283</v>
      </c>
      <c r="J24" s="25">
        <f t="shared" si="0"/>
        <v>876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6389</v>
      </c>
      <c r="C25" s="11">
        <v>6531</v>
      </c>
      <c r="D25" s="11"/>
      <c r="E25" s="11"/>
      <c r="F25" s="11">
        <v>1004</v>
      </c>
      <c r="G25" s="11">
        <v>1150</v>
      </c>
      <c r="H25" s="11">
        <v>1399</v>
      </c>
      <c r="I25" s="11">
        <v>1283</v>
      </c>
      <c r="J25" s="25">
        <f t="shared" si="0"/>
        <v>172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6016</v>
      </c>
      <c r="C26" s="11">
        <v>6531</v>
      </c>
      <c r="D26" s="11"/>
      <c r="E26" s="11"/>
      <c r="F26" s="11">
        <v>877</v>
      </c>
      <c r="G26" s="11">
        <v>1150</v>
      </c>
      <c r="H26" s="11">
        <v>1388</v>
      </c>
      <c r="I26" s="11">
        <v>1283</v>
      </c>
      <c r="J26" s="25">
        <f t="shared" si="0"/>
        <v>683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>
        <v>7602</v>
      </c>
      <c r="C27" s="11">
        <v>6531</v>
      </c>
      <c r="D27" s="11"/>
      <c r="E27" s="11"/>
      <c r="F27" s="11">
        <v>1064</v>
      </c>
      <c r="G27" s="11">
        <v>1150</v>
      </c>
      <c r="H27" s="11">
        <v>1365</v>
      </c>
      <c r="I27" s="11">
        <v>1283</v>
      </c>
      <c r="J27" s="25">
        <f t="shared" si="0"/>
        <v>-1067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>
        <v>7180</v>
      </c>
      <c r="C28" s="11">
        <v>6531</v>
      </c>
      <c r="D28" s="11"/>
      <c r="E28" s="11"/>
      <c r="F28" s="11">
        <v>965</v>
      </c>
      <c r="G28" s="11">
        <v>1150</v>
      </c>
      <c r="H28" s="11">
        <v>1220</v>
      </c>
      <c r="I28" s="11">
        <v>1283</v>
      </c>
      <c r="J28" s="25">
        <f t="shared" si="0"/>
        <v>-401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>
        <v>6993</v>
      </c>
      <c r="C29" s="11">
        <v>6531</v>
      </c>
      <c r="D29" s="11"/>
      <c r="E29" s="11"/>
      <c r="F29" s="11">
        <v>1003</v>
      </c>
      <c r="G29" s="11">
        <v>1150</v>
      </c>
      <c r="H29" s="11">
        <v>1451</v>
      </c>
      <c r="I29" s="11">
        <v>1283</v>
      </c>
      <c r="J29" s="25">
        <f t="shared" si="0"/>
        <v>-483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>
        <v>7013</v>
      </c>
      <c r="C30" s="11">
        <v>6531</v>
      </c>
      <c r="D30" s="11"/>
      <c r="E30" s="11"/>
      <c r="F30" s="11">
        <v>810</v>
      </c>
      <c r="G30" s="11">
        <v>1150</v>
      </c>
      <c r="H30" s="11">
        <v>1390</v>
      </c>
      <c r="I30" s="11">
        <v>1283</v>
      </c>
      <c r="J30" s="25">
        <f t="shared" si="0"/>
        <v>-249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>
        <v>7149</v>
      </c>
      <c r="C31" s="11">
        <v>6531</v>
      </c>
      <c r="D31" s="11"/>
      <c r="E31" s="11"/>
      <c r="F31" s="11">
        <v>912</v>
      </c>
      <c r="G31" s="11">
        <v>1150</v>
      </c>
      <c r="H31" s="11">
        <v>1365</v>
      </c>
      <c r="I31" s="11">
        <v>1283</v>
      </c>
      <c r="J31" s="25">
        <f t="shared" si="0"/>
        <v>-462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>
        <v>6994</v>
      </c>
      <c r="C32" s="11">
        <v>6531</v>
      </c>
      <c r="D32" s="11"/>
      <c r="E32" s="11"/>
      <c r="F32" s="11">
        <v>930</v>
      </c>
      <c r="G32" s="11">
        <v>1150</v>
      </c>
      <c r="H32" s="11">
        <v>1337</v>
      </c>
      <c r="I32" s="11">
        <v>1283</v>
      </c>
      <c r="J32" s="25">
        <f t="shared" si="0"/>
        <v>-297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171133</v>
      </c>
      <c r="C39" s="11">
        <f t="shared" si="1"/>
        <v>156257</v>
      </c>
      <c r="D39" s="11">
        <f t="shared" si="1"/>
        <v>0</v>
      </c>
      <c r="E39" s="11">
        <f t="shared" si="1"/>
        <v>0</v>
      </c>
      <c r="F39" s="11">
        <f t="shared" si="1"/>
        <v>26055</v>
      </c>
      <c r="G39" s="11">
        <f t="shared" si="1"/>
        <v>28750</v>
      </c>
      <c r="H39" s="11">
        <f t="shared" si="1"/>
        <v>35255</v>
      </c>
      <c r="I39" s="11">
        <f t="shared" si="1"/>
        <v>32075</v>
      </c>
      <c r="J39" s="25">
        <f t="shared" si="1"/>
        <v>-15361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0">
        <f>+summary!H4</f>
        <v>2.84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-43625.24</v>
      </c>
      <c r="L41"/>
      <c r="R41" s="138"/>
      <c r="X41" s="138"/>
    </row>
    <row r="42" spans="1:24" x14ac:dyDescent="0.2">
      <c r="A42" s="57">
        <v>37103</v>
      </c>
      <c r="C42" s="15"/>
      <c r="J42" s="359">
        <v>372841.88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37128</v>
      </c>
      <c r="C43" s="48"/>
      <c r="J43" s="138">
        <f>+J42+J41</f>
        <v>329216.64000000001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157</v>
      </c>
      <c r="B46" s="32"/>
      <c r="C46" s="32"/>
      <c r="D46" s="32"/>
      <c r="L46"/>
    </row>
    <row r="47" spans="1:24" x14ac:dyDescent="0.2">
      <c r="A47" s="49">
        <f>+A42</f>
        <v>37103</v>
      </c>
      <c r="B47" s="32"/>
      <c r="C47" s="32"/>
      <c r="D47" s="212">
        <v>146405</v>
      </c>
      <c r="L47"/>
    </row>
    <row r="48" spans="1:24" x14ac:dyDescent="0.2">
      <c r="A48" s="49">
        <f>+A43</f>
        <v>37128</v>
      </c>
      <c r="B48" s="32"/>
      <c r="C48" s="32"/>
      <c r="D48" s="379">
        <f>+J39</f>
        <v>-15361</v>
      </c>
      <c r="L48"/>
    </row>
    <row r="49" spans="1:12" x14ac:dyDescent="0.2">
      <c r="A49" s="32"/>
      <c r="B49" s="32"/>
      <c r="C49" s="32"/>
      <c r="D49" s="14">
        <f>+D48+D47</f>
        <v>131044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7" workbookViewId="3">
      <selection activeCell="D33" sqref="D33"/>
    </sheetView>
  </sheetViews>
  <sheetFormatPr defaultRowHeight="12.75" x14ac:dyDescent="0.2"/>
  <cols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"/>
      <c r="B6" s="1" t="s">
        <v>73</v>
      </c>
      <c r="D6" s="1" t="s">
        <v>146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">
      <c r="A8" s="10">
        <v>1</v>
      </c>
      <c r="B8" s="11">
        <v>12222</v>
      </c>
      <c r="C8" s="11">
        <v>11345</v>
      </c>
      <c r="D8" s="11"/>
      <c r="E8" s="11"/>
      <c r="F8" s="25">
        <f>+C8-B8+E8-D8</f>
        <v>-877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">
      <c r="A9" s="10">
        <v>2</v>
      </c>
      <c r="B9" s="11">
        <v>12888</v>
      </c>
      <c r="C9" s="11">
        <v>11487</v>
      </c>
      <c r="D9" s="11"/>
      <c r="E9" s="11"/>
      <c r="F9" s="25">
        <f t="shared" ref="F9:F38" si="0">+C9-B9+E9-D9</f>
        <v>-1401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">
      <c r="A10" s="10">
        <v>3</v>
      </c>
      <c r="B10" s="11">
        <v>11891</v>
      </c>
      <c r="C10" s="11">
        <v>11488</v>
      </c>
      <c r="D10" s="11"/>
      <c r="E10" s="11"/>
      <c r="F10" s="25">
        <f t="shared" si="0"/>
        <v>-403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">
      <c r="A11" s="10">
        <v>4</v>
      </c>
      <c r="B11" s="11">
        <v>11899</v>
      </c>
      <c r="C11" s="11">
        <v>11090</v>
      </c>
      <c r="D11" s="11"/>
      <c r="E11" s="11"/>
      <c r="F11" s="25">
        <f t="shared" si="0"/>
        <v>-809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">
      <c r="A12" s="10">
        <v>5</v>
      </c>
      <c r="B12" s="11">
        <v>11842</v>
      </c>
      <c r="C12" s="11">
        <v>11492</v>
      </c>
      <c r="D12" s="11"/>
      <c r="E12" s="11"/>
      <c r="F12" s="25">
        <f t="shared" si="0"/>
        <v>-350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">
      <c r="A13" s="10">
        <v>6</v>
      </c>
      <c r="B13" s="11">
        <v>11356</v>
      </c>
      <c r="C13" s="11">
        <v>11494</v>
      </c>
      <c r="D13" s="11"/>
      <c r="E13" s="11"/>
      <c r="F13" s="25">
        <f t="shared" si="0"/>
        <v>138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">
      <c r="A14" s="10">
        <v>7</v>
      </c>
      <c r="B14" s="11">
        <v>11348</v>
      </c>
      <c r="C14" s="11">
        <v>11494</v>
      </c>
      <c r="D14" s="11"/>
      <c r="E14" s="11"/>
      <c r="F14" s="25">
        <f t="shared" si="0"/>
        <v>146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">
      <c r="A15" s="10">
        <v>8</v>
      </c>
      <c r="B15" s="11">
        <v>10845</v>
      </c>
      <c r="C15" s="11">
        <v>11494</v>
      </c>
      <c r="D15" s="11"/>
      <c r="E15" s="11"/>
      <c r="F15" s="25">
        <f t="shared" si="0"/>
        <v>649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">
      <c r="A16" s="10">
        <v>9</v>
      </c>
      <c r="B16" s="11">
        <v>10042</v>
      </c>
      <c r="C16" s="11">
        <v>11484</v>
      </c>
      <c r="D16" s="11"/>
      <c r="E16" s="11"/>
      <c r="F16" s="25">
        <f t="shared" si="0"/>
        <v>1442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">
      <c r="A17" s="10">
        <v>10</v>
      </c>
      <c r="B17" s="11">
        <v>11541</v>
      </c>
      <c r="C17" s="11">
        <v>11494</v>
      </c>
      <c r="D17" s="11"/>
      <c r="E17" s="11"/>
      <c r="F17" s="25">
        <f t="shared" si="0"/>
        <v>-47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">
      <c r="A18" s="10">
        <v>11</v>
      </c>
      <c r="B18" s="11">
        <v>12142</v>
      </c>
      <c r="C18" s="11">
        <v>11444</v>
      </c>
      <c r="D18" s="11">
        <v>-1</v>
      </c>
      <c r="E18" s="11"/>
      <c r="F18" s="25">
        <f t="shared" si="0"/>
        <v>-697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">
      <c r="A19" s="10">
        <v>12</v>
      </c>
      <c r="B19" s="11">
        <v>12792</v>
      </c>
      <c r="C19" s="11">
        <v>11444</v>
      </c>
      <c r="D19" s="11"/>
      <c r="E19" s="11"/>
      <c r="F19" s="25">
        <f t="shared" si="0"/>
        <v>-1348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">
      <c r="A20" s="10">
        <v>13</v>
      </c>
      <c r="B20" s="11">
        <v>12272</v>
      </c>
      <c r="C20" s="11">
        <v>11444</v>
      </c>
      <c r="D20" s="11"/>
      <c r="E20" s="11"/>
      <c r="F20" s="25">
        <f t="shared" si="0"/>
        <v>-828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">
      <c r="A21" s="10">
        <v>14</v>
      </c>
      <c r="B21" s="11">
        <v>11797</v>
      </c>
      <c r="C21" s="11">
        <v>11830</v>
      </c>
      <c r="D21" s="11"/>
      <c r="E21" s="11"/>
      <c r="F21" s="25">
        <f t="shared" si="0"/>
        <v>33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">
      <c r="A22" s="10">
        <v>15</v>
      </c>
      <c r="B22" s="11">
        <v>11785</v>
      </c>
      <c r="C22" s="11">
        <v>11837</v>
      </c>
      <c r="D22" s="11"/>
      <c r="E22" s="11"/>
      <c r="F22" s="25">
        <f t="shared" si="0"/>
        <v>52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">
      <c r="A23" s="10">
        <v>16</v>
      </c>
      <c r="B23" s="11">
        <v>11842</v>
      </c>
      <c r="C23" s="11">
        <v>11772</v>
      </c>
      <c r="D23" s="11">
        <v>-183</v>
      </c>
      <c r="E23" s="11"/>
      <c r="F23" s="25">
        <f t="shared" si="0"/>
        <v>113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">
      <c r="A24" s="10">
        <v>17</v>
      </c>
      <c r="B24" s="11">
        <v>12746</v>
      </c>
      <c r="C24" s="11">
        <v>11494</v>
      </c>
      <c r="D24" s="11">
        <v>-7</v>
      </c>
      <c r="E24" s="11"/>
      <c r="F24" s="25">
        <f t="shared" si="0"/>
        <v>-1245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">
      <c r="A25" s="10">
        <v>18</v>
      </c>
      <c r="B25" s="11">
        <v>11034</v>
      </c>
      <c r="C25" s="11">
        <v>11467</v>
      </c>
      <c r="D25" s="11">
        <v>-66</v>
      </c>
      <c r="E25" s="11"/>
      <c r="F25" s="25">
        <f t="shared" si="0"/>
        <v>499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">
      <c r="A26" s="10">
        <v>19</v>
      </c>
      <c r="B26" s="11">
        <v>11828</v>
      </c>
      <c r="C26" s="11">
        <v>11467</v>
      </c>
      <c r="D26" s="11">
        <v>-113</v>
      </c>
      <c r="E26" s="11"/>
      <c r="F26" s="25">
        <f t="shared" si="0"/>
        <v>-248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">
      <c r="A27" s="10">
        <v>20</v>
      </c>
      <c r="B27" s="11">
        <v>12542</v>
      </c>
      <c r="C27" s="11">
        <v>11467</v>
      </c>
      <c r="D27" s="11">
        <v>-62</v>
      </c>
      <c r="E27" s="11"/>
      <c r="F27" s="25">
        <f t="shared" si="0"/>
        <v>-1013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">
      <c r="A28" s="10">
        <v>21</v>
      </c>
      <c r="B28" s="11">
        <v>11913</v>
      </c>
      <c r="C28" s="11">
        <v>11494</v>
      </c>
      <c r="D28" s="11">
        <v>-36</v>
      </c>
      <c r="E28" s="11"/>
      <c r="F28" s="25">
        <f t="shared" si="0"/>
        <v>-383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">
      <c r="A29" s="10">
        <v>22</v>
      </c>
      <c r="B29" s="11">
        <v>10242</v>
      </c>
      <c r="C29" s="11">
        <v>11494</v>
      </c>
      <c r="D29" s="11">
        <v>-104</v>
      </c>
      <c r="E29" s="11"/>
      <c r="F29" s="25">
        <f t="shared" si="0"/>
        <v>1356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">
      <c r="A30" s="10">
        <v>23</v>
      </c>
      <c r="B30" s="11">
        <v>12102</v>
      </c>
      <c r="C30" s="11">
        <v>11494</v>
      </c>
      <c r="D30" s="11">
        <v>-81</v>
      </c>
      <c r="E30" s="11"/>
      <c r="F30" s="25">
        <f t="shared" si="0"/>
        <v>-527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">
      <c r="A31" s="10">
        <v>24</v>
      </c>
      <c r="B31" s="11">
        <v>12098</v>
      </c>
      <c r="C31" s="11">
        <v>11494</v>
      </c>
      <c r="D31" s="11">
        <v>-121</v>
      </c>
      <c r="E31" s="11"/>
      <c r="F31" s="25">
        <f t="shared" si="0"/>
        <v>-483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">
      <c r="A32" s="10">
        <v>25</v>
      </c>
      <c r="B32" s="11">
        <v>12322</v>
      </c>
      <c r="C32" s="11">
        <v>11494</v>
      </c>
      <c r="D32" s="11">
        <v>-47</v>
      </c>
      <c r="E32" s="11"/>
      <c r="F32" s="25">
        <f t="shared" si="0"/>
        <v>-781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">
      <c r="A39" s="10"/>
      <c r="B39" s="11">
        <f>SUM(B8:B38)</f>
        <v>295331</v>
      </c>
      <c r="C39" s="11">
        <f>SUM(C8:C38)</f>
        <v>287498</v>
      </c>
      <c r="D39" s="11">
        <f>SUM(D8:D38)</f>
        <v>-821</v>
      </c>
      <c r="E39" s="11">
        <f>SUM(E8:E38)</f>
        <v>0</v>
      </c>
      <c r="F39" s="11">
        <f>SUM(F8:F38)</f>
        <v>-7012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">
      <c r="A40" s="26"/>
      <c r="C40" s="14"/>
      <c r="D40" s="14"/>
      <c r="E40" s="14"/>
      <c r="F40" s="106">
        <f>+summary!H4</f>
        <v>2.84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">
      <c r="F41" s="138">
        <f>+F40*F39</f>
        <v>-19914.079999999998</v>
      </c>
      <c r="J41" s="138"/>
      <c r="N41" s="138"/>
      <c r="R41" s="138"/>
      <c r="V41" s="138"/>
      <c r="Z41" s="138"/>
    </row>
    <row r="42" spans="1:26" x14ac:dyDescent="0.2">
      <c r="A42" s="57">
        <v>37103</v>
      </c>
      <c r="C42" s="15"/>
      <c r="D42" s="15"/>
      <c r="E42" s="15"/>
      <c r="F42" s="450">
        <v>442176.52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">
      <c r="A43" s="57">
        <v>37128</v>
      </c>
      <c r="C43" s="48"/>
      <c r="D43" s="48"/>
      <c r="E43" s="48"/>
      <c r="F43" s="110">
        <f>+F42+F41</f>
        <v>422262.44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157</v>
      </c>
      <c r="B46" s="32"/>
      <c r="C46" s="32"/>
      <c r="D46" s="32"/>
      <c r="E46" s="11"/>
    </row>
    <row r="47" spans="1:26" x14ac:dyDescent="0.2">
      <c r="A47" s="49">
        <f>+A42</f>
        <v>37103</v>
      </c>
      <c r="B47" s="32"/>
      <c r="C47" s="32"/>
      <c r="D47" s="212">
        <v>-235778</v>
      </c>
      <c r="E47" s="11"/>
    </row>
    <row r="48" spans="1:26" x14ac:dyDescent="0.2">
      <c r="A48" s="49">
        <f>+A43</f>
        <v>37128</v>
      </c>
      <c r="B48" s="32"/>
      <c r="C48" s="32"/>
      <c r="D48" s="379">
        <f>+F39</f>
        <v>-7012</v>
      </c>
      <c r="E48" s="11"/>
    </row>
    <row r="49" spans="1:5" x14ac:dyDescent="0.2">
      <c r="A49" s="32"/>
      <c r="B49" s="32"/>
      <c r="C49" s="32"/>
      <c r="D49" s="14">
        <f>+D48+D47</f>
        <v>-242790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opLeftCell="A38" workbookViewId="0">
      <selection activeCell="B15" sqref="B15"/>
    </sheetView>
    <sheetView topLeftCell="A7" workbookViewId="1">
      <selection activeCell="B16" sqref="B16"/>
    </sheetView>
    <sheetView tabSelected="1" topLeftCell="A41" workbookViewId="2">
      <selection activeCell="B10" sqref="B10"/>
    </sheetView>
    <sheetView tabSelected="1" workbookViewId="3">
      <selection activeCell="E17" sqref="E17"/>
    </sheetView>
  </sheetViews>
  <sheetFormatPr defaultRowHeight="12.75" x14ac:dyDescent="0.2"/>
  <cols>
    <col min="1" max="1" width="16.42578125" style="295" customWidth="1"/>
    <col min="2" max="2" width="12.28515625" style="252" bestFit="1" customWidth="1"/>
    <col min="3" max="3" width="11.5703125" style="296" customWidth="1"/>
    <col min="4" max="4" width="5.140625" style="7" customWidth="1"/>
    <col min="5" max="5" width="11.140625" bestFit="1" customWidth="1"/>
    <col min="6" max="6" width="12.85546875" bestFit="1" customWidth="1"/>
    <col min="9" max="9" width="10.42578125" customWidth="1"/>
    <col min="10" max="10" width="8.42578125" customWidth="1"/>
    <col min="11" max="11" width="5.140625" customWidth="1"/>
  </cols>
  <sheetData>
    <row r="2" spans="1:32" ht="20.100000000000001" customHeight="1" x14ac:dyDescent="0.25">
      <c r="A2" s="365" t="s">
        <v>145</v>
      </c>
      <c r="G2" s="396" t="s">
        <v>81</v>
      </c>
      <c r="H2" s="373"/>
    </row>
    <row r="3" spans="1:32" ht="15" customHeight="1" x14ac:dyDescent="0.2">
      <c r="G3" s="299" t="s">
        <v>30</v>
      </c>
      <c r="H3" s="372">
        <f>+'[1]0701'!$K$39</f>
        <v>2.66</v>
      </c>
      <c r="I3" s="407">
        <f ca="1">NOW()</f>
        <v>37130.462157060188</v>
      </c>
    </row>
    <row r="4" spans="1:32" ht="15" customHeight="1" x14ac:dyDescent="0.2">
      <c r="A4" s="34" t="s">
        <v>152</v>
      </c>
      <c r="C4" s="34" t="s">
        <v>5</v>
      </c>
      <c r="G4" s="300" t="s">
        <v>31</v>
      </c>
      <c r="H4" s="301">
        <f>+'[1]0701'!$M$39</f>
        <v>2.84</v>
      </c>
    </row>
    <row r="5" spans="1:32" ht="15" customHeight="1" x14ac:dyDescent="0.2">
      <c r="B5" s="367"/>
      <c r="G5" s="299" t="s">
        <v>120</v>
      </c>
      <c r="H5" s="372">
        <f>+'[1]0701'!$H$39</f>
        <v>2.93</v>
      </c>
    </row>
    <row r="6" spans="1:32" ht="9.9499999999999993" customHeight="1" x14ac:dyDescent="0.2"/>
    <row r="7" spans="1:32" ht="15" customHeight="1" x14ac:dyDescent="0.2">
      <c r="A7" s="355" t="s">
        <v>92</v>
      </c>
      <c r="B7" s="356" t="s">
        <v>17</v>
      </c>
      <c r="C7" s="357" t="s">
        <v>0</v>
      </c>
      <c r="D7" s="5" t="s">
        <v>153</v>
      </c>
      <c r="E7" s="355" t="s">
        <v>93</v>
      </c>
      <c r="F7" s="358" t="s">
        <v>104</v>
      </c>
      <c r="G7" s="355" t="s">
        <v>101</v>
      </c>
    </row>
    <row r="8" spans="1:32" ht="15" customHeight="1" x14ac:dyDescent="0.2">
      <c r="A8" s="374" t="s">
        <v>29</v>
      </c>
      <c r="B8" s="375">
        <f>+C8*$H$3</f>
        <v>784218.54</v>
      </c>
      <c r="C8" s="285">
        <f>+williams!J40</f>
        <v>294819</v>
      </c>
      <c r="D8" s="397">
        <f>+williams!A40</f>
        <v>37128</v>
      </c>
      <c r="E8" s="206" t="s">
        <v>87</v>
      </c>
      <c r="F8" s="206" t="s">
        <v>151</v>
      </c>
      <c r="G8" s="32"/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253" t="s">
        <v>83</v>
      </c>
      <c r="B9" s="375">
        <f>+Conoco!$F$41</f>
        <v>548786.79</v>
      </c>
      <c r="C9" s="285">
        <f t="shared" ref="C9:C17" si="0">+B9/$H$4</f>
        <v>193234.78521126762</v>
      </c>
      <c r="D9" s="397">
        <f>+Conoco!A41</f>
        <v>37128</v>
      </c>
      <c r="E9" s="32" t="s">
        <v>88</v>
      </c>
      <c r="F9" s="32" t="s">
        <v>116</v>
      </c>
      <c r="G9" s="32" t="s">
        <v>149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374" t="s">
        <v>33</v>
      </c>
      <c r="B10" s="375">
        <f>+C10*$H$4</f>
        <v>523954.44</v>
      </c>
      <c r="C10" s="208">
        <f>+SoCal!F40</f>
        <v>184491</v>
      </c>
      <c r="D10" s="397">
        <f>+SoCal!A40</f>
        <v>37128</v>
      </c>
      <c r="E10" s="206" t="s">
        <v>87</v>
      </c>
      <c r="F10" s="206" t="s">
        <v>105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253" t="s">
        <v>154</v>
      </c>
      <c r="B11" s="375">
        <f>+PGETX!$H$39</f>
        <v>485265.05</v>
      </c>
      <c r="C11" s="285">
        <f t="shared" si="0"/>
        <v>170867.97535211267</v>
      </c>
      <c r="D11" s="398">
        <f>+PGETX!E39</f>
        <v>37128</v>
      </c>
      <c r="E11" s="32" t="s">
        <v>88</v>
      </c>
      <c r="F11" s="32" t="s">
        <v>105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253" t="s">
        <v>110</v>
      </c>
      <c r="B12" s="375">
        <f>+KN_Westar!F41</f>
        <v>445767.91</v>
      </c>
      <c r="C12" s="285">
        <f t="shared" si="0"/>
        <v>156960.53169014084</v>
      </c>
      <c r="D12" s="398">
        <f>+KN_Westar!A41</f>
        <v>37128</v>
      </c>
      <c r="E12" s="32" t="s">
        <v>88</v>
      </c>
      <c r="F12" s="32" t="s">
        <v>103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253" t="s">
        <v>113</v>
      </c>
      <c r="B13" s="375">
        <f>+CIG!$D$43</f>
        <v>427495.48</v>
      </c>
      <c r="C13" s="285">
        <f t="shared" si="0"/>
        <v>150526.57746478874</v>
      </c>
      <c r="D13" s="398">
        <f>+CIG!A43</f>
        <v>37125</v>
      </c>
      <c r="E13" s="32" t="s">
        <v>88</v>
      </c>
      <c r="F13" s="32" t="s">
        <v>116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253" t="s">
        <v>97</v>
      </c>
      <c r="B14" s="375">
        <f>+C14*$H$4</f>
        <v>426355</v>
      </c>
      <c r="C14" s="285">
        <f>+Mojave!D40</f>
        <v>150125</v>
      </c>
      <c r="D14" s="398">
        <f>+Mojave!A40</f>
        <v>37128</v>
      </c>
      <c r="E14" s="32" t="s">
        <v>87</v>
      </c>
      <c r="F14" s="32" t="s">
        <v>103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">
      <c r="A15" s="253" t="s">
        <v>3</v>
      </c>
      <c r="B15" s="375">
        <f>+'Amoco Abo'!$F$43</f>
        <v>422262.44</v>
      </c>
      <c r="C15" s="285">
        <f t="shared" si="0"/>
        <v>148683.95774647887</v>
      </c>
      <c r="D15" s="398">
        <f>+'Amoco Abo'!A43</f>
        <v>37128</v>
      </c>
      <c r="E15" s="32" t="s">
        <v>88</v>
      </c>
      <c r="F15" s="32" t="s">
        <v>118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253" t="s">
        <v>91</v>
      </c>
      <c r="B16" s="375">
        <f>+C16*$H$4</f>
        <v>385132.39999999997</v>
      </c>
      <c r="C16" s="285">
        <f>+NGPL!F38</f>
        <v>135610</v>
      </c>
      <c r="D16" s="398">
        <f>+NGPL!A38</f>
        <v>37128</v>
      </c>
      <c r="E16" s="32" t="s">
        <v>87</v>
      </c>
      <c r="F16" s="32" t="s">
        <v>118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374" t="s">
        <v>90</v>
      </c>
      <c r="B17" s="375">
        <f>+NNG!$D$24</f>
        <v>376371.49</v>
      </c>
      <c r="C17" s="285">
        <f t="shared" si="0"/>
        <v>132525.17253521128</v>
      </c>
      <c r="D17" s="397">
        <f>+NNG!A24</f>
        <v>37128</v>
      </c>
      <c r="E17" s="206" t="s">
        <v>88</v>
      </c>
      <c r="F17" s="206" t="s">
        <v>103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253" t="s">
        <v>24</v>
      </c>
      <c r="B18" s="458">
        <f>+C18*$H$3</f>
        <v>365997.38</v>
      </c>
      <c r="C18" s="377">
        <f>+'Red C'!F43</f>
        <v>137593</v>
      </c>
      <c r="D18" s="397">
        <f>+'Red C'!B43</f>
        <v>37128</v>
      </c>
      <c r="E18" s="206" t="s">
        <v>87</v>
      </c>
      <c r="F18" s="32" t="s">
        <v>118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253" t="s">
        <v>2</v>
      </c>
      <c r="B19" s="375">
        <f>+mewborne!$J$43</f>
        <v>329216.64000000001</v>
      </c>
      <c r="C19" s="285">
        <f>+B19/$H$4</f>
        <v>115921.35211267606</v>
      </c>
      <c r="D19" s="398">
        <f>+mewborne!A43</f>
        <v>37128</v>
      </c>
      <c r="E19" s="32" t="s">
        <v>88</v>
      </c>
      <c r="F19" s="32" t="s">
        <v>102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253" t="s">
        <v>131</v>
      </c>
      <c r="B20" s="375">
        <f>+DEFS!F53</f>
        <v>289252.48000000045</v>
      </c>
      <c r="C20" s="208">
        <f>+B20/$H$4</f>
        <v>101849.46478873256</v>
      </c>
      <c r="D20" s="398">
        <f>+DEFS!A40</f>
        <v>37128</v>
      </c>
      <c r="E20" s="32" t="s">
        <v>88</v>
      </c>
      <c r="F20" s="32" t="s">
        <v>103</v>
      </c>
      <c r="G20" s="32" t="s">
        <v>121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253" t="s">
        <v>6</v>
      </c>
      <c r="B21" s="375">
        <f>+C21*$H$3</f>
        <v>264310.90000000002</v>
      </c>
      <c r="C21" s="285">
        <f>+Amoco!D40</f>
        <v>99365</v>
      </c>
      <c r="D21" s="398">
        <f>+Amoco!A40</f>
        <v>37128</v>
      </c>
      <c r="E21" s="32" t="s">
        <v>87</v>
      </c>
      <c r="F21" s="32" t="s">
        <v>118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253" t="s">
        <v>1</v>
      </c>
      <c r="B22" s="375">
        <f>+C22*$H$3</f>
        <v>198106.16</v>
      </c>
      <c r="C22" s="208">
        <f>+NW!$F$41</f>
        <v>74476</v>
      </c>
      <c r="D22" s="397">
        <f>+NW!B41</f>
        <v>37128</v>
      </c>
      <c r="E22" s="32" t="s">
        <v>87</v>
      </c>
      <c r="F22" s="32" t="s">
        <v>118</v>
      </c>
      <c r="G22" s="381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253" t="s">
        <v>32</v>
      </c>
      <c r="B23" s="375">
        <f>+C23*$H$4</f>
        <v>191694.31999999998</v>
      </c>
      <c r="C23" s="285">
        <f>+Lonestar!F42</f>
        <v>67498</v>
      </c>
      <c r="D23" s="397">
        <f>+Lonestar!B42</f>
        <v>37128</v>
      </c>
      <c r="E23" s="32" t="s">
        <v>87</v>
      </c>
      <c r="F23" s="32" t="s">
        <v>105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">
      <c r="A24" s="253" t="s">
        <v>148</v>
      </c>
      <c r="B24" s="376">
        <f>+C24*$H$4</f>
        <v>183151.59999999998</v>
      </c>
      <c r="C24" s="377">
        <f>+PEPL!D41</f>
        <v>64490</v>
      </c>
      <c r="D24" s="398">
        <f>+PEPL!A41</f>
        <v>37128</v>
      </c>
      <c r="E24" s="32" t="s">
        <v>87</v>
      </c>
      <c r="F24" s="32" t="s">
        <v>103</v>
      </c>
      <c r="G24" s="32" t="s">
        <v>147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">
      <c r="A25" s="253" t="s">
        <v>85</v>
      </c>
      <c r="B25" s="375">
        <f>+PNM!$D$23</f>
        <v>139898.86999999997</v>
      </c>
      <c r="C25" s="285">
        <f>+B25/$H$4</f>
        <v>49260.165492957734</v>
      </c>
      <c r="D25" s="398">
        <f>+PNM!A23</f>
        <v>37128</v>
      </c>
      <c r="E25" s="32" t="s">
        <v>88</v>
      </c>
      <c r="F25" s="32" t="s">
        <v>118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253" t="s">
        <v>7</v>
      </c>
      <c r="B26" s="375">
        <f>+C26*$H$4</f>
        <v>121557.68</v>
      </c>
      <c r="C26" s="208">
        <f>+Oasis!D40</f>
        <v>42802</v>
      </c>
      <c r="D26" s="398">
        <f>+Oasis!B40</f>
        <v>37128</v>
      </c>
      <c r="E26" s="32" t="s">
        <v>87</v>
      </c>
      <c r="F26" s="32" t="s">
        <v>105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">
      <c r="A27" s="253" t="s">
        <v>117</v>
      </c>
      <c r="B27" s="375">
        <f>+C27*$H$4</f>
        <v>112285.07999999999</v>
      </c>
      <c r="C27" s="208">
        <f>+'PG&amp;E'!D40</f>
        <v>39537</v>
      </c>
      <c r="D27" s="398">
        <f>+'PG&amp;E'!A40</f>
        <v>37128</v>
      </c>
      <c r="E27" s="32" t="s">
        <v>87</v>
      </c>
      <c r="F27" s="32" t="s">
        <v>105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3.5" customHeight="1" x14ac:dyDescent="0.2">
      <c r="A28" s="374" t="s">
        <v>132</v>
      </c>
      <c r="B28" s="375">
        <f>+Calpine!D41</f>
        <v>84719.44</v>
      </c>
      <c r="C28" s="208">
        <f>+B28/$H$4</f>
        <v>29830.788732394369</v>
      </c>
      <c r="D28" s="397">
        <f>+Calpine!A41</f>
        <v>37128</v>
      </c>
      <c r="E28" s="206" t="s">
        <v>88</v>
      </c>
      <c r="F28" s="206" t="s">
        <v>102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3.5" customHeight="1" x14ac:dyDescent="0.2">
      <c r="A29" s="253" t="s">
        <v>106</v>
      </c>
      <c r="B29" s="375">
        <f>+EOG!J41</f>
        <v>83993.16</v>
      </c>
      <c r="C29" s="285">
        <f>+B29/$H$4</f>
        <v>29575.056338028171</v>
      </c>
      <c r="D29" s="397">
        <f>+EOG!A41</f>
        <v>37128</v>
      </c>
      <c r="E29" s="32" t="s">
        <v>88</v>
      </c>
      <c r="F29" s="32" t="s">
        <v>105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3.5" customHeight="1" x14ac:dyDescent="0.2">
      <c r="A30" s="374" t="s">
        <v>74</v>
      </c>
      <c r="B30" s="376">
        <f>+transcol!$D$43</f>
        <v>13560.020000000002</v>
      </c>
      <c r="C30" s="377">
        <f>+B30/$H$4</f>
        <v>4774.6549295774657</v>
      </c>
      <c r="D30" s="397">
        <f>+transcol!A43</f>
        <v>37128</v>
      </c>
      <c r="E30" s="206" t="s">
        <v>88</v>
      </c>
      <c r="F30" s="206" t="s">
        <v>118</v>
      </c>
      <c r="G30" s="304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3.5" customHeight="1" x14ac:dyDescent="0.2">
      <c r="A31" s="253" t="s">
        <v>136</v>
      </c>
      <c r="B31" s="375">
        <f>+SidR!D41</f>
        <v>10093.85</v>
      </c>
      <c r="C31" s="285">
        <f>+B31/$H$4</f>
        <v>3554.172535211268</v>
      </c>
      <c r="D31" s="398">
        <f>+SidR!A41</f>
        <v>37128</v>
      </c>
      <c r="E31" s="32" t="s">
        <v>88</v>
      </c>
      <c r="F31" s="32" t="s">
        <v>105</v>
      </c>
      <c r="G31" s="32" t="s">
        <v>168</v>
      </c>
      <c r="H31" s="206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3.5" customHeight="1" x14ac:dyDescent="0.2">
      <c r="A32" s="253" t="s">
        <v>34</v>
      </c>
      <c r="B32" s="375">
        <f>+'El Paso'!C39*summary!H4+'El Paso'!E39*summary!H3</f>
        <v>4762.4199999999837</v>
      </c>
      <c r="C32" s="285">
        <f>+'El Paso'!H39</f>
        <v>-2551</v>
      </c>
      <c r="D32" s="398">
        <f>+'El Paso'!A39</f>
        <v>37128</v>
      </c>
      <c r="E32" s="32" t="s">
        <v>87</v>
      </c>
      <c r="F32" s="32" t="s">
        <v>103</v>
      </c>
      <c r="G32" s="32" t="s">
        <v>122</v>
      </c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5" customHeight="1" x14ac:dyDescent="0.2">
      <c r="A33" s="374" t="s">
        <v>98</v>
      </c>
      <c r="B33" s="378">
        <f>+burlington!D42</f>
        <v>4218.260000000002</v>
      </c>
      <c r="C33" s="71">
        <f>+B33/$H$3</f>
        <v>1585.8120300751887</v>
      </c>
      <c r="D33" s="397">
        <f>+burlington!A42</f>
        <v>37128</v>
      </c>
      <c r="E33" s="206" t="s">
        <v>88</v>
      </c>
      <c r="F33" s="32" t="s">
        <v>116</v>
      </c>
      <c r="G33" s="32" t="s">
        <v>150</v>
      </c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8" customHeight="1" x14ac:dyDescent="0.2">
      <c r="A34" s="32" t="s">
        <v>99</v>
      </c>
      <c r="B34" s="47">
        <f>SUM(B8:B33)</f>
        <v>7222427.7999999998</v>
      </c>
      <c r="C34" s="69">
        <f>SUM(C8:C33)</f>
        <v>2577405.4669596534</v>
      </c>
      <c r="D34" s="205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">
      <c r="A35" s="32"/>
      <c r="B35" s="47"/>
      <c r="C35" s="69"/>
      <c r="D35" s="205"/>
      <c r="E35" s="32"/>
      <c r="F35" s="380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">
      <c r="A36" s="355" t="s">
        <v>92</v>
      </c>
      <c r="B36" s="356" t="s">
        <v>17</v>
      </c>
      <c r="C36" s="357" t="s">
        <v>0</v>
      </c>
      <c r="D36" s="366" t="s">
        <v>153</v>
      </c>
      <c r="E36" s="355" t="s">
        <v>93</v>
      </c>
      <c r="F36" s="358" t="s">
        <v>104</v>
      </c>
      <c r="G36" s="355" t="s">
        <v>101</v>
      </c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2.95" customHeight="1" x14ac:dyDescent="0.2">
      <c r="A37" s="374" t="s">
        <v>140</v>
      </c>
      <c r="B37" s="375">
        <f>+Citizens!D18</f>
        <v>-788646.42</v>
      </c>
      <c r="C37" s="208">
        <f>+B37/$H$4</f>
        <v>-277692.40140845074</v>
      </c>
      <c r="D37" s="397">
        <f>+Citizens!A18</f>
        <v>37128</v>
      </c>
      <c r="E37" s="206" t="s">
        <v>88</v>
      </c>
      <c r="F37" s="206" t="s">
        <v>102</v>
      </c>
      <c r="G37" s="381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2.95" customHeight="1" x14ac:dyDescent="0.2">
      <c r="A38" s="253" t="s">
        <v>138</v>
      </c>
      <c r="B38" s="375">
        <f>+'NS Steel'!D41</f>
        <v>-438817.94</v>
      </c>
      <c r="C38" s="208">
        <f>+B38/$H$4</f>
        <v>-154513.35915492958</v>
      </c>
      <c r="D38" s="398">
        <f>+'NS Steel'!A41</f>
        <v>37128</v>
      </c>
      <c r="E38" s="32" t="s">
        <v>88</v>
      </c>
      <c r="F38" s="32" t="s">
        <v>103</v>
      </c>
      <c r="G38" s="381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2.95" customHeight="1" x14ac:dyDescent="0.2">
      <c r="A39" s="253" t="s">
        <v>144</v>
      </c>
      <c r="B39" s="375">
        <f>+'Citizens-Griffith'!D41</f>
        <v>-211612.72</v>
      </c>
      <c r="C39" s="285">
        <f>+B39/$H$4</f>
        <v>-74511.521126760563</v>
      </c>
      <c r="D39" s="397">
        <f>+'Citizens-Griffith'!A41</f>
        <v>37128</v>
      </c>
      <c r="E39" s="32" t="s">
        <v>88</v>
      </c>
      <c r="F39" s="32" t="s">
        <v>102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5" customHeight="1" x14ac:dyDescent="0.2">
      <c r="A40" s="374" t="s">
        <v>82</v>
      </c>
      <c r="B40" s="375">
        <f>+Agave!$D$24</f>
        <v>-179023.67</v>
      </c>
      <c r="C40" s="208">
        <f>+B40/$H$4</f>
        <v>-63036.503521126768</v>
      </c>
      <c r="D40" s="397">
        <f>+Agave!A24</f>
        <v>37128</v>
      </c>
      <c r="E40" s="206" t="s">
        <v>88</v>
      </c>
      <c r="F40" s="206" t="s">
        <v>105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5" customHeight="1" x14ac:dyDescent="0.2">
      <c r="A41" s="253" t="s">
        <v>134</v>
      </c>
      <c r="B41" s="375">
        <f>+EPFS!D41</f>
        <v>-133506.75</v>
      </c>
      <c r="C41" s="208">
        <f>+B41/$H$5</f>
        <v>-45565.443686006824</v>
      </c>
      <c r="D41" s="397">
        <f>+EPFS!A41</f>
        <v>37128</v>
      </c>
      <c r="E41" s="32" t="s">
        <v>88</v>
      </c>
      <c r="F41" s="32" t="s">
        <v>105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5" customHeight="1" x14ac:dyDescent="0.2">
      <c r="A42" s="253" t="s">
        <v>112</v>
      </c>
      <c r="B42" s="378">
        <f>+Continental!F43</f>
        <v>-5216.57</v>
      </c>
      <c r="C42" s="379">
        <f>+B42/$H$4</f>
        <v>-1836.8204225352113</v>
      </c>
      <c r="D42" s="398">
        <f>+Continental!A43</f>
        <v>37128</v>
      </c>
      <c r="E42" s="32" t="s">
        <v>88</v>
      </c>
      <c r="F42" s="32" t="s">
        <v>118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">
      <c r="A43" s="32" t="s">
        <v>100</v>
      </c>
      <c r="B43" s="375">
        <f>SUM(B37:B42)</f>
        <v>-1756824.07</v>
      </c>
      <c r="C43" s="208">
        <f>SUM(C37:C42)</f>
        <v>-617156.04931980965</v>
      </c>
      <c r="D43" s="38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5" customHeight="1" x14ac:dyDescent="0.2">
      <c r="A44" s="32"/>
      <c r="B44" s="378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5" thickBot="1" x14ac:dyDescent="0.25">
      <c r="A45" s="2" t="s">
        <v>94</v>
      </c>
      <c r="B45" s="383">
        <f>+B43+B34</f>
        <v>5465603.7299999995</v>
      </c>
      <c r="C45" s="384">
        <f>+C43+C34</f>
        <v>1960249.4176398437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5" thickTop="1" x14ac:dyDescent="0.2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">
      <c r="A47" s="2" t="s">
        <v>95</v>
      </c>
      <c r="B47" s="47"/>
      <c r="C47" s="305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385"/>
      <c r="C60" s="386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14"/>
      <c r="C64" s="69"/>
      <c r="D64" s="387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14"/>
      <c r="C65" s="305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14"/>
      <c r="C66" s="305"/>
      <c r="D66" s="388"/>
      <c r="E66" s="389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14"/>
      <c r="C67" s="305"/>
      <c r="D67" s="390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14"/>
      <c r="C68" s="305"/>
      <c r="D68" s="390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14"/>
      <c r="C69" s="305"/>
      <c r="D69" s="391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/>
      <c r="B70" s="14"/>
      <c r="C70" s="305"/>
      <c r="D70" s="39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/>
      <c r="B71" s="393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/>
      <c r="B72" s="393"/>
      <c r="C72" s="69"/>
      <c r="D72" s="387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/>
      <c r="B73" s="394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/>
      <c r="B74" s="394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/>
      <c r="B75" s="393"/>
      <c r="C75" s="14"/>
      <c r="D75" s="387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/>
      <c r="B76" s="393"/>
      <c r="C76" s="69"/>
      <c r="D76" s="387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/>
      <c r="B77" s="393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/>
      <c r="B78" s="385"/>
      <c r="C78" s="395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topLeftCell="A10" workbookViewId="3">
      <selection activeCell="B10" sqref="B10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90</v>
      </c>
      <c r="B4" s="69"/>
      <c r="C4" s="291"/>
      <c r="D4" s="69"/>
    </row>
    <row r="5" spans="1:8" x14ac:dyDescent="0.2">
      <c r="B5" s="292" t="s">
        <v>20</v>
      </c>
      <c r="C5" s="292" t="s">
        <v>21</v>
      </c>
      <c r="D5" s="293" t="s">
        <v>51</v>
      </c>
    </row>
    <row r="6" spans="1:8" x14ac:dyDescent="0.2">
      <c r="A6" s="32">
        <v>1635</v>
      </c>
      <c r="B6" s="344">
        <v>-1797</v>
      </c>
      <c r="C6" s="80"/>
      <c r="D6" s="80">
        <f t="shared" ref="D6:D14" si="0">+C6-B6</f>
        <v>1797</v>
      </c>
    </row>
    <row r="7" spans="1:8" x14ac:dyDescent="0.2">
      <c r="A7" s="32">
        <v>3531</v>
      </c>
      <c r="B7" s="323">
        <v>-678695</v>
      </c>
      <c r="C7" s="80">
        <v>-335131</v>
      </c>
      <c r="D7" s="80">
        <f t="shared" si="0"/>
        <v>343564</v>
      </c>
    </row>
    <row r="8" spans="1:8" x14ac:dyDescent="0.2">
      <c r="A8" s="32">
        <v>60667</v>
      </c>
      <c r="B8" s="323">
        <v>-434275</v>
      </c>
      <c r="C8" s="80"/>
      <c r="D8" s="80">
        <f t="shared" si="0"/>
        <v>434275</v>
      </c>
      <c r="H8" s="254"/>
    </row>
    <row r="9" spans="1:8" x14ac:dyDescent="0.2">
      <c r="A9" s="32">
        <v>60749</v>
      </c>
      <c r="B9" s="323">
        <v>1029774</v>
      </c>
      <c r="C9" s="80">
        <v>109619</v>
      </c>
      <c r="D9" s="80">
        <f t="shared" si="0"/>
        <v>-920155</v>
      </c>
      <c r="H9" s="254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4"/>
    </row>
    <row r="11" spans="1:8" x14ac:dyDescent="0.2">
      <c r="A11" s="32">
        <v>61334</v>
      </c>
      <c r="B11" s="323">
        <v>-25143</v>
      </c>
      <c r="C11" s="80"/>
      <c r="D11" s="80">
        <f t="shared" si="0"/>
        <v>25143</v>
      </c>
      <c r="H11" s="254"/>
    </row>
    <row r="12" spans="1:8" x14ac:dyDescent="0.2">
      <c r="A12" s="32">
        <v>62960</v>
      </c>
      <c r="B12" s="323"/>
      <c r="C12" s="80"/>
      <c r="D12" s="80">
        <f t="shared" si="0"/>
        <v>0</v>
      </c>
      <c r="H12" s="254"/>
    </row>
    <row r="13" spans="1:8" x14ac:dyDescent="0.2">
      <c r="A13" s="294"/>
      <c r="B13" s="80"/>
      <c r="C13" s="80"/>
      <c r="D13" s="80">
        <f t="shared" si="0"/>
        <v>0</v>
      </c>
      <c r="H13" s="254"/>
    </row>
    <row r="14" spans="1:8" x14ac:dyDescent="0.2">
      <c r="B14" s="80"/>
      <c r="C14" s="80"/>
      <c r="D14" s="80">
        <f t="shared" si="0"/>
        <v>0</v>
      </c>
      <c r="H14" s="254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-115376</v>
      </c>
    </row>
    <row r="19" spans="1:5" x14ac:dyDescent="0.2">
      <c r="A19" s="32" t="s">
        <v>84</v>
      </c>
      <c r="B19" s="69"/>
      <c r="C19" s="69"/>
      <c r="D19" s="73">
        <f>+summary!H4</f>
        <v>2.84</v>
      </c>
    </row>
    <row r="20" spans="1:5" x14ac:dyDescent="0.2">
      <c r="B20" s="69"/>
      <c r="C20" s="69"/>
      <c r="D20" s="75">
        <f>+D19*D18</f>
        <v>-327667.83999999997</v>
      </c>
    </row>
    <row r="21" spans="1:5" x14ac:dyDescent="0.2">
      <c r="B21" s="69"/>
      <c r="C21" s="80"/>
      <c r="D21" s="298"/>
      <c r="E21" s="254"/>
    </row>
    <row r="22" spans="1:5" x14ac:dyDescent="0.2">
      <c r="A22" s="49">
        <v>37103</v>
      </c>
      <c r="B22" s="69"/>
      <c r="C22" s="80"/>
      <c r="D22" s="447">
        <v>704039.33</v>
      </c>
      <c r="E22" s="254"/>
    </row>
    <row r="23" spans="1:5" x14ac:dyDescent="0.2">
      <c r="B23" s="69"/>
      <c r="C23" s="80"/>
      <c r="D23" s="298"/>
      <c r="E23" s="254"/>
    </row>
    <row r="24" spans="1:5" ht="12" thickBot="1" x14ac:dyDescent="0.25">
      <c r="A24" s="49">
        <v>37128</v>
      </c>
      <c r="B24" s="69"/>
      <c r="C24" s="69"/>
      <c r="D24" s="351">
        <f>+D22+D20</f>
        <v>376371.49</v>
      </c>
      <c r="E24" s="254"/>
    </row>
    <row r="25" spans="1:5" ht="12" thickTop="1" x14ac:dyDescent="0.2">
      <c r="B25" s="69"/>
      <c r="C25" s="69"/>
      <c r="D25" s="69"/>
      <c r="E25" s="254"/>
    </row>
    <row r="31" spans="1:5" x14ac:dyDescent="0.2">
      <c r="A31" s="32" t="s">
        <v>157</v>
      </c>
    </row>
    <row r="32" spans="1:5" x14ac:dyDescent="0.2">
      <c r="A32" s="49">
        <f>+A22</f>
        <v>37103</v>
      </c>
      <c r="D32" s="212">
        <v>80036</v>
      </c>
    </row>
    <row r="33" spans="1:4" x14ac:dyDescent="0.2">
      <c r="A33" s="49">
        <f>+A24</f>
        <v>37128</v>
      </c>
      <c r="D33" s="379">
        <f>+D18</f>
        <v>-115376</v>
      </c>
    </row>
    <row r="34" spans="1:4" x14ac:dyDescent="0.2">
      <c r="D34" s="14">
        <f>+D33+D32</f>
        <v>-35340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2" workbookViewId="3">
      <selection activeCell="B14" sqref="B14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86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9236</v>
      </c>
      <c r="B5" s="364">
        <v>-52274</v>
      </c>
      <c r="C5" s="90">
        <v>-29280</v>
      </c>
      <c r="D5" s="90">
        <f t="shared" ref="D5:D13" si="0">+C5-B5</f>
        <v>22994</v>
      </c>
      <c r="E5" s="69"/>
      <c r="F5" s="70"/>
    </row>
    <row r="6" spans="1:13" x14ac:dyDescent="0.2">
      <c r="A6" s="87">
        <v>9238</v>
      </c>
      <c r="B6" s="319"/>
      <c r="C6" s="90"/>
      <c r="D6" s="90">
        <f t="shared" si="0"/>
        <v>0</v>
      </c>
      <c r="E6" s="285"/>
      <c r="F6" s="70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364">
        <v>-2816598</v>
      </c>
      <c r="C7" s="90">
        <v>-2900805</v>
      </c>
      <c r="D7" s="90">
        <f t="shared" si="0"/>
        <v>-84207</v>
      </c>
      <c r="E7" s="285"/>
      <c r="F7" s="70"/>
    </row>
    <row r="8" spans="1:13" x14ac:dyDescent="0.2">
      <c r="A8" s="87">
        <v>58710</v>
      </c>
      <c r="B8" s="364">
        <v>-22709</v>
      </c>
      <c r="C8" s="90">
        <v>-1093</v>
      </c>
      <c r="D8" s="90">
        <f t="shared" si="0"/>
        <v>21616</v>
      </c>
      <c r="E8" s="285"/>
      <c r="F8" s="70"/>
    </row>
    <row r="9" spans="1:13" x14ac:dyDescent="0.2">
      <c r="A9" s="87">
        <v>60921</v>
      </c>
      <c r="B9" s="319">
        <v>2483519</v>
      </c>
      <c r="C9" s="90">
        <v>2414565</v>
      </c>
      <c r="D9" s="90">
        <f t="shared" si="0"/>
        <v>-68954</v>
      </c>
      <c r="E9" s="285"/>
      <c r="F9" s="70"/>
    </row>
    <row r="10" spans="1:13" x14ac:dyDescent="0.2">
      <c r="A10" s="87">
        <v>78026</v>
      </c>
      <c r="B10" s="364"/>
      <c r="C10" s="90">
        <v>59600</v>
      </c>
      <c r="D10" s="90">
        <f t="shared" si="0"/>
        <v>59600</v>
      </c>
      <c r="E10" s="285"/>
      <c r="F10" s="283"/>
    </row>
    <row r="11" spans="1:13" x14ac:dyDescent="0.2">
      <c r="A11" s="87">
        <v>500084</v>
      </c>
      <c r="B11" s="364">
        <v>-18603</v>
      </c>
      <c r="C11" s="90">
        <v>-25000</v>
      </c>
      <c r="D11" s="90">
        <f t="shared" si="0"/>
        <v>-6397</v>
      </c>
      <c r="E11" s="286"/>
      <c r="F11" s="283"/>
    </row>
    <row r="12" spans="1:13" x14ac:dyDescent="0.2">
      <c r="A12" s="333">
        <v>500085</v>
      </c>
      <c r="B12" s="364"/>
      <c r="C12" s="90"/>
      <c r="D12" s="90">
        <f t="shared" si="0"/>
        <v>0</v>
      </c>
      <c r="E12" s="285"/>
      <c r="F12" s="283"/>
    </row>
    <row r="13" spans="1:13" x14ac:dyDescent="0.2">
      <c r="A13" s="87">
        <v>500097</v>
      </c>
      <c r="B13" s="336">
        <v>-108</v>
      </c>
      <c r="C13" s="90"/>
      <c r="D13" s="90">
        <f t="shared" si="0"/>
        <v>108</v>
      </c>
      <c r="E13" s="285"/>
      <c r="F13" s="283"/>
    </row>
    <row r="14" spans="1:13" x14ac:dyDescent="0.2">
      <c r="A14" s="87"/>
      <c r="B14" s="90"/>
      <c r="C14" s="90"/>
      <c r="D14" s="90"/>
      <c r="E14" s="285"/>
      <c r="F14" s="283"/>
    </row>
    <row r="15" spans="1:13" x14ac:dyDescent="0.2">
      <c r="A15" s="87"/>
      <c r="B15" s="90"/>
      <c r="C15" s="90"/>
      <c r="D15" s="90"/>
      <c r="E15" s="285"/>
      <c r="F15" s="283"/>
    </row>
    <row r="16" spans="1:13" x14ac:dyDescent="0.2">
      <c r="A16" s="87"/>
      <c r="B16" s="88"/>
      <c r="C16" s="88"/>
      <c r="D16" s="94"/>
      <c r="E16" s="285"/>
      <c r="F16" s="283"/>
    </row>
    <row r="17" spans="1:7" x14ac:dyDescent="0.2">
      <c r="A17" s="87"/>
      <c r="B17" s="88"/>
      <c r="C17" s="88"/>
      <c r="D17" s="88">
        <f>SUM(D5:D16)</f>
        <v>-55240</v>
      </c>
      <c r="E17" s="285"/>
      <c r="F17" s="283"/>
    </row>
    <row r="18" spans="1:7" x14ac:dyDescent="0.2">
      <c r="A18" s="87" t="s">
        <v>84</v>
      </c>
      <c r="B18" s="88"/>
      <c r="C18" s="88"/>
      <c r="D18" s="95">
        <f>+summary!H4</f>
        <v>2.84</v>
      </c>
      <c r="E18" s="287"/>
      <c r="F18" s="283"/>
    </row>
    <row r="19" spans="1:7" x14ac:dyDescent="0.2">
      <c r="A19" s="87"/>
      <c r="B19" s="88"/>
      <c r="C19" s="88"/>
      <c r="D19" s="96">
        <f>+D18*D17</f>
        <v>-156881.60000000001</v>
      </c>
      <c r="E19" s="209"/>
      <c r="F19" s="284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37103</v>
      </c>
      <c r="B21" s="88"/>
      <c r="C21" s="88"/>
      <c r="D21" s="452">
        <v>296780.46999999997</v>
      </c>
      <c r="E21" s="209"/>
      <c r="F21" s="66"/>
    </row>
    <row r="22" spans="1:7" x14ac:dyDescent="0.2">
      <c r="A22" s="87"/>
      <c r="B22" s="88"/>
      <c r="C22" s="88"/>
      <c r="D22" s="322"/>
      <c r="E22" s="209"/>
      <c r="F22" s="66"/>
    </row>
    <row r="23" spans="1:7" ht="13.5" thickBot="1" x14ac:dyDescent="0.25">
      <c r="A23" s="99">
        <v>37128</v>
      </c>
      <c r="B23" s="88"/>
      <c r="C23" s="88"/>
      <c r="D23" s="334">
        <f>+D21+D19</f>
        <v>139898.86999999997</v>
      </c>
      <c r="E23" s="209"/>
      <c r="F23" s="66"/>
    </row>
    <row r="24" spans="1:7" ht="13.5" thickTop="1" x14ac:dyDescent="0.2">
      <c r="E24" s="288"/>
    </row>
    <row r="25" spans="1:7" x14ac:dyDescent="0.2">
      <c r="E25" s="288"/>
    </row>
    <row r="27" spans="1:7" x14ac:dyDescent="0.2">
      <c r="A27" s="32" t="s">
        <v>157</v>
      </c>
      <c r="B27" s="32"/>
      <c r="C27" s="32"/>
      <c r="D27" s="32"/>
    </row>
    <row r="28" spans="1:7" x14ac:dyDescent="0.2">
      <c r="A28" s="49">
        <f>+A21</f>
        <v>37103</v>
      </c>
      <c r="B28" s="32"/>
      <c r="C28" s="32"/>
      <c r="D28" s="212">
        <v>67620</v>
      </c>
    </row>
    <row r="29" spans="1:7" x14ac:dyDescent="0.2">
      <c r="A29" s="49">
        <v>37114</v>
      </c>
      <c r="B29" s="32"/>
      <c r="C29" s="32"/>
      <c r="D29" s="379">
        <f>+D17</f>
        <v>-55240</v>
      </c>
    </row>
    <row r="30" spans="1:7" x14ac:dyDescent="0.2">
      <c r="A30" s="32"/>
      <c r="B30" s="32"/>
      <c r="C30" s="32"/>
      <c r="D30" s="14">
        <f>+D29+D28</f>
        <v>12380</v>
      </c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05"/>
      <c r="E36" s="69"/>
      <c r="F36" s="70"/>
      <c r="G36" s="32"/>
    </row>
    <row r="37" spans="1:7" x14ac:dyDescent="0.2">
      <c r="B37" s="69"/>
      <c r="C37" s="69"/>
      <c r="D37" s="305"/>
      <c r="E37" s="69"/>
      <c r="F37" s="70"/>
      <c r="G37" s="32"/>
    </row>
    <row r="38" spans="1:7" x14ac:dyDescent="0.2">
      <c r="B38" s="69"/>
      <c r="C38" s="69"/>
      <c r="D38" s="305"/>
      <c r="E38" s="69"/>
      <c r="F38" s="70"/>
      <c r="G38" s="32"/>
    </row>
    <row r="39" spans="1:7" x14ac:dyDescent="0.2">
      <c r="B39" s="69"/>
      <c r="C39" s="69"/>
      <c r="D39" s="305"/>
      <c r="E39" s="69"/>
      <c r="F39" s="70"/>
      <c r="G39" s="32"/>
    </row>
    <row r="40" spans="1:7" x14ac:dyDescent="0.2">
      <c r="B40" s="69"/>
      <c r="C40" s="69"/>
      <c r="D40" s="305"/>
      <c r="E40" s="69"/>
      <c r="F40" s="70"/>
      <c r="G40" s="32"/>
    </row>
    <row r="41" spans="1:7" x14ac:dyDescent="0.2">
      <c r="B41" s="69"/>
      <c r="C41" s="69"/>
      <c r="D41" s="305"/>
      <c r="E41" s="69"/>
      <c r="F41" s="70"/>
      <c r="G41" s="32"/>
    </row>
    <row r="42" spans="1:7" x14ac:dyDescent="0.2">
      <c r="B42" s="69"/>
      <c r="C42" s="69"/>
      <c r="D42" s="305"/>
      <c r="E42" s="69"/>
      <c r="F42" s="70"/>
      <c r="G42" s="32"/>
    </row>
    <row r="43" spans="1:7" x14ac:dyDescent="0.2">
      <c r="B43" s="69"/>
      <c r="C43" s="69"/>
      <c r="D43" s="305"/>
      <c r="E43" s="69"/>
      <c r="F43" s="70"/>
      <c r="G43" s="32"/>
    </row>
    <row r="44" spans="1:7" x14ac:dyDescent="0.2">
      <c r="B44" s="69"/>
      <c r="C44" s="69"/>
      <c r="D44" s="306"/>
      <c r="E44" s="285"/>
      <c r="F44" s="283"/>
      <c r="G44" s="206"/>
    </row>
    <row r="45" spans="1:7" x14ac:dyDescent="0.2">
      <c r="B45" s="69"/>
      <c r="C45" s="69"/>
      <c r="D45" s="306"/>
      <c r="E45" s="285"/>
      <c r="F45" s="283"/>
      <c r="G45" s="206"/>
    </row>
    <row r="46" spans="1:7" x14ac:dyDescent="0.2">
      <c r="A46" s="32"/>
      <c r="B46" s="69"/>
      <c r="C46" s="69"/>
      <c r="D46" s="285"/>
      <c r="E46" s="285"/>
      <c r="F46" s="283"/>
      <c r="G46" s="206"/>
    </row>
    <row r="47" spans="1:7" x14ac:dyDescent="0.2">
      <c r="A47" s="32"/>
      <c r="B47" s="69"/>
      <c r="C47" s="69"/>
      <c r="D47" s="287"/>
      <c r="E47" s="287"/>
      <c r="F47" s="283"/>
      <c r="G47" s="206"/>
    </row>
    <row r="48" spans="1:7" x14ac:dyDescent="0.2">
      <c r="B48" s="69"/>
      <c r="C48" s="69"/>
      <c r="D48" s="285"/>
      <c r="E48" s="285"/>
      <c r="F48" s="284"/>
      <c r="G48" s="206"/>
    </row>
    <row r="49" spans="1:7" x14ac:dyDescent="0.2">
      <c r="B49" s="69"/>
      <c r="C49" s="69"/>
      <c r="D49" s="285"/>
      <c r="E49" s="285"/>
      <c r="F49" s="284"/>
      <c r="G49" s="206"/>
    </row>
    <row r="50" spans="1:7" x14ac:dyDescent="0.2">
      <c r="C50" s="302"/>
      <c r="D50" s="302"/>
      <c r="E50" s="302"/>
      <c r="F50" s="303"/>
      <c r="G50" s="304"/>
    </row>
    <row r="51" spans="1:7" x14ac:dyDescent="0.2">
      <c r="A51" s="32"/>
      <c r="C51" s="302"/>
      <c r="D51" s="302"/>
      <c r="E51" s="302"/>
      <c r="F51" s="303"/>
    </row>
    <row r="52" spans="1:7" x14ac:dyDescent="0.2">
      <c r="A52" s="32"/>
      <c r="C52" s="302"/>
      <c r="D52" s="302"/>
      <c r="E52" s="302"/>
      <c r="F52" s="303"/>
    </row>
    <row r="53" spans="1:7" x14ac:dyDescent="0.2">
      <c r="A53" s="32"/>
      <c r="C53" s="302"/>
      <c r="D53" s="302"/>
      <c r="E53" s="302"/>
      <c r="F53" s="303"/>
    </row>
    <row r="54" spans="1:7" x14ac:dyDescent="0.2">
      <c r="A54" s="32"/>
      <c r="C54" s="302"/>
      <c r="D54" s="302"/>
      <c r="E54" s="302"/>
      <c r="F54" s="303"/>
    </row>
    <row r="55" spans="1:7" x14ac:dyDescent="0.2">
      <c r="A55" s="32"/>
      <c r="C55" s="302"/>
      <c r="D55" s="302"/>
      <c r="E55" s="288"/>
      <c r="F55" s="288"/>
    </row>
    <row r="56" spans="1:7" x14ac:dyDescent="0.2">
      <c r="C56" s="302"/>
      <c r="D56" s="302"/>
      <c r="E56" s="288"/>
      <c r="F56" s="288"/>
    </row>
    <row r="57" spans="1:7" x14ac:dyDescent="0.2">
      <c r="C57" s="302"/>
      <c r="D57" s="302"/>
      <c r="E57" s="288"/>
      <c r="F57" s="288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33" workbookViewId="3">
      <selection activeCell="C55" sqref="C55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1" t="s">
        <v>20</v>
      </c>
      <c r="C2" s="261" t="s">
        <v>21</v>
      </c>
      <c r="D2" s="261" t="s">
        <v>20</v>
      </c>
      <c r="E2" s="261" t="s">
        <v>21</v>
      </c>
      <c r="F2" s="262" t="s">
        <v>51</v>
      </c>
    </row>
    <row r="3" spans="1:6" x14ac:dyDescent="0.2">
      <c r="A3">
        <v>1</v>
      </c>
      <c r="B3" s="90">
        <v>53256</v>
      </c>
      <c r="C3" s="90">
        <v>50455</v>
      </c>
      <c r="D3" s="90"/>
      <c r="E3" s="90"/>
      <c r="F3" s="90">
        <f>+E3-D3+C3-B3</f>
        <v>-2801</v>
      </c>
    </row>
    <row r="4" spans="1:6" x14ac:dyDescent="0.2">
      <c r="A4">
        <v>2</v>
      </c>
      <c r="B4" s="90">
        <v>35225</v>
      </c>
      <c r="C4" s="90">
        <v>42864</v>
      </c>
      <c r="D4" s="90"/>
      <c r="E4" s="90"/>
      <c r="F4" s="90">
        <f>+E4-D4+C4-B4</f>
        <v>7639</v>
      </c>
    </row>
    <row r="5" spans="1:6" x14ac:dyDescent="0.2">
      <c r="A5">
        <v>3</v>
      </c>
      <c r="B5" s="90">
        <v>9749</v>
      </c>
      <c r="C5" s="90">
        <v>31925</v>
      </c>
      <c r="D5" s="90"/>
      <c r="E5" s="90"/>
      <c r="F5" s="90">
        <f>+E5-D5+C5-B5</f>
        <v>22176</v>
      </c>
    </row>
    <row r="6" spans="1:6" x14ac:dyDescent="0.2">
      <c r="A6">
        <v>4</v>
      </c>
      <c r="B6" s="90">
        <v>13680</v>
      </c>
      <c r="C6" s="90">
        <v>13148</v>
      </c>
      <c r="D6" s="90"/>
      <c r="E6" s="90"/>
      <c r="F6" s="90">
        <f t="shared" ref="F6:F33" si="0">+E6-D6+C6-B6</f>
        <v>-532</v>
      </c>
    </row>
    <row r="7" spans="1:6" x14ac:dyDescent="0.2">
      <c r="A7">
        <v>5</v>
      </c>
      <c r="B7" s="90">
        <v>39257</v>
      </c>
      <c r="C7" s="90">
        <v>39446</v>
      </c>
      <c r="D7" s="90"/>
      <c r="E7" s="90"/>
      <c r="F7" s="90">
        <f t="shared" si="0"/>
        <v>189</v>
      </c>
    </row>
    <row r="8" spans="1:6" x14ac:dyDescent="0.2">
      <c r="A8">
        <v>6</v>
      </c>
      <c r="B8" s="90">
        <v>39309</v>
      </c>
      <c r="C8" s="90">
        <v>39455</v>
      </c>
      <c r="D8" s="90"/>
      <c r="E8" s="90"/>
      <c r="F8" s="90">
        <f t="shared" si="0"/>
        <v>146</v>
      </c>
    </row>
    <row r="9" spans="1:6" x14ac:dyDescent="0.2">
      <c r="A9">
        <v>7</v>
      </c>
      <c r="B9" s="90">
        <v>17078</v>
      </c>
      <c r="C9" s="90">
        <v>21455</v>
      </c>
      <c r="D9" s="90"/>
      <c r="E9" s="90"/>
      <c r="F9" s="90">
        <f t="shared" si="0"/>
        <v>4377</v>
      </c>
    </row>
    <row r="10" spans="1:6" x14ac:dyDescent="0.2">
      <c r="A10">
        <v>8</v>
      </c>
      <c r="B10" s="90">
        <v>38021</v>
      </c>
      <c r="C10" s="90">
        <v>38122</v>
      </c>
      <c r="D10" s="90"/>
      <c r="E10" s="90"/>
      <c r="F10" s="90">
        <f t="shared" si="0"/>
        <v>101</v>
      </c>
    </row>
    <row r="11" spans="1:6" x14ac:dyDescent="0.2">
      <c r="A11">
        <v>9</v>
      </c>
      <c r="B11" s="90">
        <v>50313</v>
      </c>
      <c r="C11" s="90">
        <v>34788</v>
      </c>
      <c r="D11" s="90"/>
      <c r="E11" s="90"/>
      <c r="F11" s="90">
        <f t="shared" si="0"/>
        <v>-15525</v>
      </c>
    </row>
    <row r="12" spans="1:6" x14ac:dyDescent="0.2">
      <c r="A12">
        <v>10</v>
      </c>
      <c r="B12" s="90">
        <v>41422</v>
      </c>
      <c r="C12" s="90">
        <v>41455</v>
      </c>
      <c r="D12" s="90">
        <v>-663</v>
      </c>
      <c r="E12" s="90"/>
      <c r="F12" s="90">
        <f t="shared" si="0"/>
        <v>696</v>
      </c>
    </row>
    <row r="13" spans="1:6" x14ac:dyDescent="0.2">
      <c r="A13">
        <v>11</v>
      </c>
      <c r="B13" s="90">
        <v>41404</v>
      </c>
      <c r="C13" s="90">
        <v>41455</v>
      </c>
      <c r="D13" s="90">
        <v>-302</v>
      </c>
      <c r="E13" s="90"/>
      <c r="F13" s="90">
        <f t="shared" si="0"/>
        <v>353</v>
      </c>
    </row>
    <row r="14" spans="1:6" x14ac:dyDescent="0.2">
      <c r="A14">
        <v>12</v>
      </c>
      <c r="B14" s="88">
        <v>51512</v>
      </c>
      <c r="C14" s="88">
        <v>46739</v>
      </c>
      <c r="D14" s="88"/>
      <c r="E14" s="88"/>
      <c r="F14" s="90">
        <f t="shared" si="0"/>
        <v>-4773</v>
      </c>
    </row>
    <row r="15" spans="1:6" x14ac:dyDescent="0.2">
      <c r="A15">
        <v>13</v>
      </c>
      <c r="B15" s="88">
        <v>46816</v>
      </c>
      <c r="C15" s="88">
        <v>46871</v>
      </c>
      <c r="D15" s="88"/>
      <c r="E15" s="88"/>
      <c r="F15" s="90">
        <f t="shared" si="0"/>
        <v>55</v>
      </c>
    </row>
    <row r="16" spans="1:6" x14ac:dyDescent="0.2">
      <c r="A16">
        <v>14</v>
      </c>
      <c r="B16" s="88">
        <v>44923</v>
      </c>
      <c r="C16" s="88">
        <v>44937</v>
      </c>
      <c r="D16" s="88"/>
      <c r="E16" s="88"/>
      <c r="F16" s="90">
        <f t="shared" si="0"/>
        <v>14</v>
      </c>
    </row>
    <row r="17" spans="1:6" x14ac:dyDescent="0.2">
      <c r="A17">
        <v>15</v>
      </c>
      <c r="B17" s="88">
        <v>49883</v>
      </c>
      <c r="C17" s="88">
        <v>44937</v>
      </c>
      <c r="D17" s="14"/>
      <c r="E17" s="14"/>
      <c r="F17" s="90">
        <f t="shared" si="0"/>
        <v>-4946</v>
      </c>
    </row>
    <row r="18" spans="1:6" x14ac:dyDescent="0.2">
      <c r="A18">
        <v>16</v>
      </c>
      <c r="B18" s="88">
        <v>51915</v>
      </c>
      <c r="C18" s="88">
        <v>46937</v>
      </c>
      <c r="D18" s="14"/>
      <c r="E18" s="14"/>
      <c r="F18" s="90">
        <f t="shared" si="0"/>
        <v>-4978</v>
      </c>
    </row>
    <row r="19" spans="1:6" x14ac:dyDescent="0.2">
      <c r="A19">
        <v>17</v>
      </c>
      <c r="B19" s="88">
        <v>54916</v>
      </c>
      <c r="C19" s="88">
        <v>49937</v>
      </c>
      <c r="D19" s="14"/>
      <c r="E19" s="14"/>
      <c r="F19" s="90">
        <f t="shared" si="0"/>
        <v>-4979</v>
      </c>
    </row>
    <row r="20" spans="1:6" x14ac:dyDescent="0.2">
      <c r="A20">
        <v>18</v>
      </c>
      <c r="B20" s="346">
        <v>63907</v>
      </c>
      <c r="C20" s="346">
        <v>58936</v>
      </c>
      <c r="D20" s="14"/>
      <c r="E20" s="14"/>
      <c r="F20" s="90">
        <f t="shared" si="0"/>
        <v>-4971</v>
      </c>
    </row>
    <row r="21" spans="1:6" x14ac:dyDescent="0.2">
      <c r="A21">
        <v>19</v>
      </c>
      <c r="B21" s="346">
        <v>63938</v>
      </c>
      <c r="C21" s="346">
        <v>58937</v>
      </c>
      <c r="D21" s="14"/>
      <c r="E21" s="14"/>
      <c r="F21" s="90">
        <f t="shared" si="0"/>
        <v>-5001</v>
      </c>
    </row>
    <row r="22" spans="1:6" x14ac:dyDescent="0.2">
      <c r="A22">
        <v>20</v>
      </c>
      <c r="B22" s="346">
        <v>58756</v>
      </c>
      <c r="C22" s="346">
        <v>58727</v>
      </c>
      <c r="D22" s="14"/>
      <c r="E22" s="14"/>
      <c r="F22" s="90">
        <f t="shared" si="0"/>
        <v>-29</v>
      </c>
    </row>
    <row r="23" spans="1:6" x14ac:dyDescent="0.2">
      <c r="A23">
        <v>21</v>
      </c>
      <c r="B23" s="346">
        <v>49619</v>
      </c>
      <c r="C23" s="346">
        <v>49630</v>
      </c>
      <c r="D23" s="14"/>
      <c r="E23" s="14"/>
      <c r="F23" s="90">
        <f t="shared" si="0"/>
        <v>11</v>
      </c>
    </row>
    <row r="24" spans="1:6" x14ac:dyDescent="0.2">
      <c r="A24">
        <v>22</v>
      </c>
      <c r="B24" s="346">
        <v>62677</v>
      </c>
      <c r="C24" s="346">
        <v>62726</v>
      </c>
      <c r="D24" s="14"/>
      <c r="E24" s="14"/>
      <c r="F24" s="90">
        <f t="shared" si="0"/>
        <v>49</v>
      </c>
    </row>
    <row r="25" spans="1:6" x14ac:dyDescent="0.2">
      <c r="A25">
        <v>23</v>
      </c>
      <c r="B25" s="346">
        <v>25217</v>
      </c>
      <c r="C25" s="346">
        <v>24938</v>
      </c>
      <c r="D25" s="14"/>
      <c r="E25" s="14"/>
      <c r="F25" s="90">
        <f t="shared" si="0"/>
        <v>-279</v>
      </c>
    </row>
    <row r="26" spans="1:6" x14ac:dyDescent="0.2">
      <c r="A26">
        <v>24</v>
      </c>
      <c r="B26" s="346">
        <v>47555</v>
      </c>
      <c r="C26" s="346">
        <v>47771</v>
      </c>
      <c r="D26" s="14"/>
      <c r="E26" s="14"/>
      <c r="F26" s="90">
        <f t="shared" si="0"/>
        <v>216</v>
      </c>
    </row>
    <row r="27" spans="1:6" x14ac:dyDescent="0.2">
      <c r="A27">
        <v>25</v>
      </c>
      <c r="B27" s="346">
        <v>61590</v>
      </c>
      <c r="C27" s="346">
        <v>59450</v>
      </c>
      <c r="D27" s="14"/>
      <c r="E27" s="14"/>
      <c r="F27" s="90">
        <f t="shared" si="0"/>
        <v>-2140</v>
      </c>
    </row>
    <row r="28" spans="1:6" x14ac:dyDescent="0.2">
      <c r="A28">
        <v>26</v>
      </c>
      <c r="B28" s="346"/>
      <c r="C28" s="346"/>
      <c r="D28" s="14"/>
      <c r="E28" s="14"/>
      <c r="F28" s="90">
        <f t="shared" si="0"/>
        <v>0</v>
      </c>
    </row>
    <row r="29" spans="1:6" x14ac:dyDescent="0.2">
      <c r="A29">
        <v>27</v>
      </c>
      <c r="B29" s="346"/>
      <c r="C29" s="346"/>
      <c r="D29" s="14"/>
      <c r="E29" s="14"/>
      <c r="F29" s="90">
        <f t="shared" si="0"/>
        <v>0</v>
      </c>
    </row>
    <row r="30" spans="1:6" x14ac:dyDescent="0.2">
      <c r="A30">
        <v>28</v>
      </c>
      <c r="B30" s="346"/>
      <c r="C30" s="346"/>
      <c r="D30" s="14"/>
      <c r="E30" s="14"/>
      <c r="F30" s="90">
        <f t="shared" si="0"/>
        <v>0</v>
      </c>
    </row>
    <row r="31" spans="1:6" x14ac:dyDescent="0.2">
      <c r="A31">
        <v>29</v>
      </c>
      <c r="B31" s="346"/>
      <c r="C31" s="346"/>
      <c r="D31" s="14"/>
      <c r="E31" s="14"/>
      <c r="F31" s="90">
        <f t="shared" si="0"/>
        <v>0</v>
      </c>
    </row>
    <row r="32" spans="1:6" x14ac:dyDescent="0.2">
      <c r="A32">
        <v>30</v>
      </c>
      <c r="B32" s="346"/>
      <c r="C32" s="346"/>
      <c r="D32" s="14"/>
      <c r="E32" s="14"/>
      <c r="F32" s="90">
        <f t="shared" si="0"/>
        <v>0</v>
      </c>
    </row>
    <row r="33" spans="1:6" x14ac:dyDescent="0.2">
      <c r="A33">
        <v>31</v>
      </c>
      <c r="B33" s="346"/>
      <c r="C33" s="346"/>
      <c r="D33" s="14"/>
      <c r="E33" s="14"/>
      <c r="F33" s="90">
        <f t="shared" si="0"/>
        <v>0</v>
      </c>
    </row>
    <row r="34" spans="1:6" x14ac:dyDescent="0.2">
      <c r="B34" s="297">
        <f>SUM(B3:B33)</f>
        <v>1111938</v>
      </c>
      <c r="C34" s="297">
        <f>SUM(C3:C33)</f>
        <v>1096041</v>
      </c>
      <c r="D34" s="14">
        <f>SUM(D3:D33)</f>
        <v>-965</v>
      </c>
      <c r="E34" s="14">
        <f>SUM(E3:E33)</f>
        <v>0</v>
      </c>
      <c r="F34" s="14">
        <f>SUM(F3:F33)</f>
        <v>-14932</v>
      </c>
    </row>
    <row r="35" spans="1:6" x14ac:dyDescent="0.2">
      <c r="D35" s="14"/>
      <c r="E35" s="14"/>
      <c r="F35" s="14"/>
    </row>
    <row r="36" spans="1:6" x14ac:dyDescent="0.2">
      <c r="F36" s="350"/>
    </row>
    <row r="37" spans="1:6" x14ac:dyDescent="0.2">
      <c r="A37" s="263">
        <v>37103</v>
      </c>
      <c r="B37" s="14"/>
      <c r="C37" s="14"/>
      <c r="D37" s="14"/>
      <c r="E37" s="14"/>
      <c r="F37" s="446">
        <f>120271+30271</f>
        <v>150542</v>
      </c>
    </row>
    <row r="38" spans="1:6" x14ac:dyDescent="0.2">
      <c r="A38" s="263">
        <v>37128</v>
      </c>
      <c r="B38" s="14"/>
      <c r="C38" s="14"/>
      <c r="D38" s="14"/>
      <c r="E38" s="14"/>
      <c r="F38" s="150">
        <f>+F37+F34</f>
        <v>135610</v>
      </c>
    </row>
    <row r="39" spans="1:6" x14ac:dyDescent="0.2">
      <c r="F39" s="304"/>
    </row>
    <row r="40" spans="1:6" x14ac:dyDescent="0.2">
      <c r="F40" s="304"/>
    </row>
    <row r="41" spans="1:6" x14ac:dyDescent="0.2">
      <c r="F41" s="304"/>
    </row>
    <row r="42" spans="1:6" x14ac:dyDescent="0.2">
      <c r="A42" s="32" t="s">
        <v>158</v>
      </c>
      <c r="B42" s="32"/>
      <c r="C42" s="32"/>
      <c r="D42" s="47"/>
      <c r="F42" s="304"/>
    </row>
    <row r="43" spans="1:6" x14ac:dyDescent="0.2">
      <c r="A43" s="49">
        <f>+A37</f>
        <v>37103</v>
      </c>
      <c r="B43" s="32"/>
      <c r="C43" s="32"/>
      <c r="D43" s="440">
        <f>201367.37+184384.51</f>
        <v>385751.88</v>
      </c>
      <c r="F43" s="304"/>
    </row>
    <row r="44" spans="1:6" x14ac:dyDescent="0.2">
      <c r="A44" s="49">
        <f>+A38</f>
        <v>37128</v>
      </c>
      <c r="B44" s="32"/>
      <c r="C44" s="32"/>
      <c r="D44" s="408">
        <f>+F34*'by type'!J4</f>
        <v>-42406.879999999997</v>
      </c>
      <c r="F44" s="304"/>
    </row>
    <row r="45" spans="1:6" x14ac:dyDescent="0.2">
      <c r="A45" s="32"/>
      <c r="B45" s="32"/>
      <c r="C45" s="32"/>
      <c r="D45" s="202">
        <f>+D44+D43</f>
        <v>343345</v>
      </c>
      <c r="F45" s="304"/>
    </row>
    <row r="46" spans="1:6" x14ac:dyDescent="0.2">
      <c r="F46" s="304"/>
    </row>
    <row r="47" spans="1:6" x14ac:dyDescent="0.2">
      <c r="F47" s="304"/>
    </row>
    <row r="48" spans="1:6" x14ac:dyDescent="0.2">
      <c r="F48" s="3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0" workbookViewId="3">
      <selection activeCell="C25" sqref="C25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-20818</v>
      </c>
      <c r="C4" s="11">
        <v>-20000</v>
      </c>
      <c r="D4" s="25">
        <f>+C4-B4</f>
        <v>818</v>
      </c>
    </row>
    <row r="5" spans="1:4" x14ac:dyDescent="0.2">
      <c r="A5" s="10">
        <v>2</v>
      </c>
      <c r="B5" s="11">
        <v>-19999</v>
      </c>
      <c r="C5" s="11">
        <v>-20000</v>
      </c>
      <c r="D5" s="25">
        <f t="shared" ref="D5:D34" si="0">+C5-B5</f>
        <v>-1</v>
      </c>
    </row>
    <row r="6" spans="1:4" x14ac:dyDescent="0.2">
      <c r="A6" s="10">
        <v>3</v>
      </c>
      <c r="B6" s="11">
        <v>-21734</v>
      </c>
      <c r="C6" s="11">
        <v>-20609</v>
      </c>
      <c r="D6" s="25">
        <f t="shared" si="0"/>
        <v>1125</v>
      </c>
    </row>
    <row r="7" spans="1:4" x14ac:dyDescent="0.2">
      <c r="A7" s="10">
        <v>4</v>
      </c>
      <c r="B7" s="11">
        <v>-20009</v>
      </c>
      <c r="C7" s="11">
        <v>-20000</v>
      </c>
      <c r="D7" s="25">
        <f t="shared" si="0"/>
        <v>9</v>
      </c>
    </row>
    <row r="8" spans="1:4" x14ac:dyDescent="0.2">
      <c r="A8" s="10">
        <v>5</v>
      </c>
      <c r="B8" s="11">
        <v>-20393</v>
      </c>
      <c r="C8" s="11">
        <v>-20000</v>
      </c>
      <c r="D8" s="25">
        <f t="shared" si="0"/>
        <v>393</v>
      </c>
    </row>
    <row r="9" spans="1:4" x14ac:dyDescent="0.2">
      <c r="A9" s="10">
        <v>6</v>
      </c>
      <c r="B9" s="11">
        <v>-20508</v>
      </c>
      <c r="C9" s="11">
        <v>-20000</v>
      </c>
      <c r="D9" s="25">
        <f t="shared" si="0"/>
        <v>508</v>
      </c>
    </row>
    <row r="10" spans="1:4" x14ac:dyDescent="0.2">
      <c r="A10" s="10">
        <v>7</v>
      </c>
      <c r="B10" s="129">
        <v>-20768</v>
      </c>
      <c r="C10" s="11">
        <v>-20000</v>
      </c>
      <c r="D10" s="25">
        <f t="shared" si="0"/>
        <v>768</v>
      </c>
    </row>
    <row r="11" spans="1:4" x14ac:dyDescent="0.2">
      <c r="A11" s="10">
        <v>8</v>
      </c>
      <c r="B11" s="11">
        <v>-21004</v>
      </c>
      <c r="C11" s="11">
        <v>-19966</v>
      </c>
      <c r="D11" s="25">
        <f t="shared" si="0"/>
        <v>1038</v>
      </c>
    </row>
    <row r="12" spans="1:4" x14ac:dyDescent="0.2">
      <c r="A12" s="10">
        <v>9</v>
      </c>
      <c r="B12" s="11">
        <v>-20992</v>
      </c>
      <c r="C12" s="11">
        <v>-20000</v>
      </c>
      <c r="D12" s="25">
        <f t="shared" si="0"/>
        <v>992</v>
      </c>
    </row>
    <row r="13" spans="1:4" x14ac:dyDescent="0.2">
      <c r="A13" s="10">
        <v>10</v>
      </c>
      <c r="B13" s="11">
        <v>-21007</v>
      </c>
      <c r="C13" s="11">
        <v>-20702</v>
      </c>
      <c r="D13" s="25">
        <f t="shared" si="0"/>
        <v>305</v>
      </c>
    </row>
    <row r="14" spans="1:4" x14ac:dyDescent="0.2">
      <c r="A14" s="10">
        <v>11</v>
      </c>
      <c r="B14" s="11">
        <v>-20996</v>
      </c>
      <c r="C14" s="11">
        <v>-19967</v>
      </c>
      <c r="D14" s="25">
        <f t="shared" si="0"/>
        <v>1029</v>
      </c>
    </row>
    <row r="15" spans="1:4" x14ac:dyDescent="0.2">
      <c r="A15" s="10">
        <v>12</v>
      </c>
      <c r="B15" s="11">
        <v>-20140</v>
      </c>
      <c r="C15" s="11">
        <v>-19726</v>
      </c>
      <c r="D15" s="25">
        <f t="shared" si="0"/>
        <v>414</v>
      </c>
    </row>
    <row r="16" spans="1:4" x14ac:dyDescent="0.2">
      <c r="A16" s="10">
        <v>13</v>
      </c>
      <c r="B16" s="11">
        <v>-19791</v>
      </c>
      <c r="C16" s="11">
        <v>-20000</v>
      </c>
      <c r="D16" s="25">
        <f t="shared" si="0"/>
        <v>-209</v>
      </c>
    </row>
    <row r="17" spans="1:4" x14ac:dyDescent="0.2">
      <c r="A17" s="10">
        <v>14</v>
      </c>
      <c r="B17" s="11">
        <v>-20311</v>
      </c>
      <c r="C17" s="11">
        <v>-20000</v>
      </c>
      <c r="D17" s="25">
        <f t="shared" si="0"/>
        <v>311</v>
      </c>
    </row>
    <row r="18" spans="1:4" x14ac:dyDescent="0.2">
      <c r="A18" s="10">
        <v>15</v>
      </c>
      <c r="B18" s="11">
        <v>-26129</v>
      </c>
      <c r="C18" s="11">
        <v>-25702</v>
      </c>
      <c r="D18" s="25">
        <f t="shared" si="0"/>
        <v>427</v>
      </c>
    </row>
    <row r="19" spans="1:4" x14ac:dyDescent="0.2">
      <c r="A19" s="10">
        <v>16</v>
      </c>
      <c r="B19" s="11">
        <v>-20992</v>
      </c>
      <c r="C19" s="11">
        <v>-20000</v>
      </c>
      <c r="D19" s="25">
        <f t="shared" si="0"/>
        <v>992</v>
      </c>
    </row>
    <row r="20" spans="1:4" x14ac:dyDescent="0.2">
      <c r="A20" s="10">
        <v>17</v>
      </c>
      <c r="B20" s="11">
        <v>-20037</v>
      </c>
      <c r="C20" s="11">
        <v>-20000</v>
      </c>
      <c r="D20" s="25">
        <f t="shared" si="0"/>
        <v>37</v>
      </c>
    </row>
    <row r="21" spans="1:4" x14ac:dyDescent="0.2">
      <c r="A21" s="10">
        <v>18</v>
      </c>
      <c r="B21" s="11">
        <v>-24168</v>
      </c>
      <c r="C21" s="11">
        <v>-23202</v>
      </c>
      <c r="D21" s="25">
        <f t="shared" si="0"/>
        <v>966</v>
      </c>
    </row>
    <row r="22" spans="1:4" x14ac:dyDescent="0.2">
      <c r="A22" s="10">
        <v>19</v>
      </c>
      <c r="B22" s="11">
        <v>-23086</v>
      </c>
      <c r="C22" s="11">
        <v>-23202</v>
      </c>
      <c r="D22" s="25">
        <f t="shared" si="0"/>
        <v>-116</v>
      </c>
    </row>
    <row r="23" spans="1:4" x14ac:dyDescent="0.2">
      <c r="A23" s="10">
        <v>20</v>
      </c>
      <c r="B23" s="11">
        <v>-23625</v>
      </c>
      <c r="C23" s="11">
        <v>-23202</v>
      </c>
      <c r="D23" s="25">
        <f t="shared" si="0"/>
        <v>423</v>
      </c>
    </row>
    <row r="24" spans="1:4" x14ac:dyDescent="0.2">
      <c r="A24" s="10">
        <v>21</v>
      </c>
      <c r="B24" s="11">
        <v>-21002</v>
      </c>
      <c r="C24" s="11">
        <v>-20468</v>
      </c>
      <c r="D24" s="25">
        <f t="shared" si="0"/>
        <v>534</v>
      </c>
    </row>
    <row r="25" spans="1:4" x14ac:dyDescent="0.2">
      <c r="A25" s="10">
        <v>22</v>
      </c>
      <c r="B25" s="11">
        <v>-20992</v>
      </c>
      <c r="C25" s="11">
        <v>-20468</v>
      </c>
      <c r="D25" s="25">
        <f t="shared" si="0"/>
        <v>524</v>
      </c>
    </row>
    <row r="26" spans="1:4" x14ac:dyDescent="0.2">
      <c r="A26" s="10">
        <v>23</v>
      </c>
      <c r="B26" s="11">
        <v>-21004</v>
      </c>
      <c r="C26" s="11">
        <v>-20000</v>
      </c>
      <c r="D26" s="25">
        <f t="shared" si="0"/>
        <v>1004</v>
      </c>
    </row>
    <row r="27" spans="1:4" x14ac:dyDescent="0.2">
      <c r="A27" s="10">
        <v>24</v>
      </c>
      <c r="B27" s="11">
        <v>-20997</v>
      </c>
      <c r="C27" s="11">
        <v>-19966</v>
      </c>
      <c r="D27" s="25">
        <f t="shared" si="0"/>
        <v>1031</v>
      </c>
    </row>
    <row r="28" spans="1:4" x14ac:dyDescent="0.2">
      <c r="A28" s="10">
        <v>25</v>
      </c>
      <c r="B28" s="11">
        <v>-21000</v>
      </c>
      <c r="C28" s="11">
        <v>-20000</v>
      </c>
      <c r="D28" s="25">
        <f t="shared" si="0"/>
        <v>1000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-531502</v>
      </c>
      <c r="C35" s="11">
        <f>SUM(C4:C34)</f>
        <v>-517180</v>
      </c>
      <c r="D35" s="11">
        <f>SUM(D4:D34)</f>
        <v>14322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37103</v>
      </c>
      <c r="D38" s="247">
        <v>135803</v>
      </c>
    </row>
    <row r="39" spans="1:4" x14ac:dyDescent="0.2">
      <c r="A39" s="2"/>
      <c r="D39" s="24"/>
    </row>
    <row r="40" spans="1:4" x14ac:dyDescent="0.2">
      <c r="A40" s="57">
        <v>37128</v>
      </c>
      <c r="D40" s="51">
        <f>+D38+D35</f>
        <v>150125</v>
      </c>
    </row>
    <row r="44" spans="1:4" x14ac:dyDescent="0.2">
      <c r="A44" s="32" t="s">
        <v>158</v>
      </c>
      <c r="B44" s="32"/>
      <c r="C44" s="32"/>
      <c r="D44" s="47"/>
    </row>
    <row r="45" spans="1:4" x14ac:dyDescent="0.2">
      <c r="A45" s="49">
        <f>+A38</f>
        <v>37103</v>
      </c>
      <c r="B45" s="32"/>
      <c r="C45" s="32"/>
      <c r="D45" s="202">
        <v>82140</v>
      </c>
    </row>
    <row r="46" spans="1:4" x14ac:dyDescent="0.2">
      <c r="A46" s="49">
        <f>+A40</f>
        <v>37128</v>
      </c>
      <c r="B46" s="32"/>
      <c r="C46" s="32"/>
      <c r="D46" s="408">
        <f>+D35*'by type'!J4</f>
        <v>40674.479999999996</v>
      </c>
    </row>
    <row r="47" spans="1:4" x14ac:dyDescent="0.2">
      <c r="A47" s="32"/>
      <c r="B47" s="32"/>
      <c r="C47" s="32"/>
      <c r="D47" s="202">
        <f>+D46+D45</f>
        <v>122814.48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1" workbookViewId="3">
      <selection activeCell="E25" sqref="E25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26125</v>
      </c>
      <c r="C4" s="11">
        <v>26316</v>
      </c>
      <c r="D4" s="11">
        <v>9809</v>
      </c>
      <c r="E4" s="11">
        <v>8750</v>
      </c>
      <c r="F4" s="11"/>
      <c r="G4" s="11"/>
      <c r="H4" s="11"/>
      <c r="I4" s="11"/>
      <c r="J4" s="11">
        <f t="shared" ref="J4:J34" si="0">+C4+E4+G4+I4-H4-F4-D4-B4</f>
        <v>-868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25579</v>
      </c>
      <c r="C5" s="11">
        <v>26140</v>
      </c>
      <c r="D5" s="11">
        <v>9577</v>
      </c>
      <c r="E5" s="11">
        <v>8750</v>
      </c>
      <c r="F5" s="11"/>
      <c r="G5" s="11"/>
      <c r="H5" s="11"/>
      <c r="I5" s="11">
        <v>176</v>
      </c>
      <c r="J5" s="11">
        <f t="shared" si="0"/>
        <v>-90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25083</v>
      </c>
      <c r="C6" s="11">
        <v>26316</v>
      </c>
      <c r="D6" s="11">
        <v>9649</v>
      </c>
      <c r="E6" s="11">
        <v>8750</v>
      </c>
      <c r="F6" s="11"/>
      <c r="G6" s="11"/>
      <c r="H6" s="11"/>
      <c r="I6" s="11"/>
      <c r="J6" s="11">
        <f t="shared" si="0"/>
        <v>334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24738</v>
      </c>
      <c r="C7" s="11">
        <v>26069</v>
      </c>
      <c r="D7" s="11">
        <v>9083</v>
      </c>
      <c r="E7" s="11">
        <v>8668</v>
      </c>
      <c r="F7" s="11"/>
      <c r="G7" s="11"/>
      <c r="H7" s="11"/>
      <c r="I7" s="11"/>
      <c r="J7" s="11">
        <f t="shared" si="0"/>
        <v>916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24635</v>
      </c>
      <c r="C8" s="11">
        <v>26316</v>
      </c>
      <c r="D8" s="129">
        <v>9400</v>
      </c>
      <c r="E8" s="11">
        <v>8750</v>
      </c>
      <c r="F8" s="11"/>
      <c r="G8" s="11"/>
      <c r="H8" s="11"/>
      <c r="I8" s="11"/>
      <c r="J8" s="11">
        <f t="shared" si="0"/>
        <v>1031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24092</v>
      </c>
      <c r="C9" s="11">
        <v>26316</v>
      </c>
      <c r="D9" s="11">
        <v>9085</v>
      </c>
      <c r="E9" s="11">
        <v>8750</v>
      </c>
      <c r="F9" s="11"/>
      <c r="G9" s="11"/>
      <c r="H9" s="11"/>
      <c r="I9" s="11"/>
      <c r="J9" s="11">
        <f t="shared" si="0"/>
        <v>1889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23913</v>
      </c>
      <c r="C10" s="11">
        <v>26316</v>
      </c>
      <c r="D10" s="129">
        <v>7801</v>
      </c>
      <c r="E10" s="11">
        <v>8750</v>
      </c>
      <c r="F10" s="11"/>
      <c r="G10" s="11"/>
      <c r="H10" s="11">
        <v>67</v>
      </c>
      <c r="I10" s="11"/>
      <c r="J10" s="11">
        <f t="shared" si="0"/>
        <v>3285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23713</v>
      </c>
      <c r="C11" s="11">
        <v>26316</v>
      </c>
      <c r="D11" s="11">
        <v>9583</v>
      </c>
      <c r="E11" s="11">
        <v>8750</v>
      </c>
      <c r="F11" s="11"/>
      <c r="G11" s="11"/>
      <c r="H11" s="11"/>
      <c r="I11" s="11"/>
      <c r="J11" s="11">
        <f t="shared" si="0"/>
        <v>1770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23424</v>
      </c>
      <c r="C12" s="11">
        <v>22812</v>
      </c>
      <c r="D12" s="11">
        <v>9134</v>
      </c>
      <c r="E12" s="11">
        <v>8248</v>
      </c>
      <c r="F12" s="11"/>
      <c r="G12" s="11"/>
      <c r="H12" s="11"/>
      <c r="I12" s="11"/>
      <c r="J12" s="11">
        <f t="shared" si="0"/>
        <v>-1498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23086</v>
      </c>
      <c r="C13" s="11">
        <v>22816</v>
      </c>
      <c r="D13" s="11">
        <v>9222</v>
      </c>
      <c r="E13" s="11">
        <v>8250</v>
      </c>
      <c r="F13" s="11"/>
      <c r="G13" s="11"/>
      <c r="H13" s="11"/>
      <c r="I13" s="11"/>
      <c r="J13" s="11">
        <f t="shared" si="0"/>
        <v>-1242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22763</v>
      </c>
      <c r="C14" s="11">
        <v>22784</v>
      </c>
      <c r="D14" s="11">
        <v>9130</v>
      </c>
      <c r="E14" s="11">
        <v>8239</v>
      </c>
      <c r="F14" s="11"/>
      <c r="G14" s="11"/>
      <c r="H14" s="11"/>
      <c r="I14" s="11"/>
      <c r="J14" s="11">
        <f t="shared" si="0"/>
        <v>-870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22755</v>
      </c>
      <c r="C15" s="11">
        <v>22796</v>
      </c>
      <c r="D15" s="11">
        <v>9161</v>
      </c>
      <c r="E15" s="11">
        <v>8243</v>
      </c>
      <c r="F15" s="11"/>
      <c r="G15" s="11"/>
      <c r="H15" s="11"/>
      <c r="I15" s="11"/>
      <c r="J15" s="11">
        <f t="shared" si="0"/>
        <v>-877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22602</v>
      </c>
      <c r="C16" s="11">
        <v>22816</v>
      </c>
      <c r="D16" s="11">
        <v>8237</v>
      </c>
      <c r="E16" s="11">
        <v>8250</v>
      </c>
      <c r="F16" s="11"/>
      <c r="G16" s="11"/>
      <c r="H16" s="11"/>
      <c r="I16" s="11"/>
      <c r="J16" s="11">
        <f t="shared" si="0"/>
        <v>227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22706</v>
      </c>
      <c r="C17" s="11">
        <v>22816</v>
      </c>
      <c r="D17" s="11">
        <v>9219</v>
      </c>
      <c r="E17" s="11">
        <v>8250</v>
      </c>
      <c r="F17" s="11"/>
      <c r="G17" s="11"/>
      <c r="H17" s="11"/>
      <c r="I17" s="11"/>
      <c r="J17" s="11">
        <f t="shared" si="0"/>
        <v>-859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22564</v>
      </c>
      <c r="C18" s="11">
        <v>22816</v>
      </c>
      <c r="D18" s="11">
        <v>9531</v>
      </c>
      <c r="E18" s="11">
        <v>8250</v>
      </c>
      <c r="F18" s="11"/>
      <c r="G18" s="11"/>
      <c r="H18" s="11"/>
      <c r="I18" s="11"/>
      <c r="J18" s="11">
        <f t="shared" si="0"/>
        <v>-1029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22545</v>
      </c>
      <c r="C19" s="11">
        <v>22418</v>
      </c>
      <c r="D19" s="11">
        <v>9530</v>
      </c>
      <c r="E19" s="11">
        <v>8106</v>
      </c>
      <c r="F19" s="11"/>
      <c r="G19" s="11"/>
      <c r="H19" s="11"/>
      <c r="I19" s="11"/>
      <c r="J19" s="11">
        <f t="shared" si="0"/>
        <v>-1551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22399</v>
      </c>
      <c r="C20" s="11">
        <v>22816</v>
      </c>
      <c r="D20" s="11">
        <v>9520</v>
      </c>
      <c r="E20" s="11">
        <v>8250</v>
      </c>
      <c r="F20" s="11"/>
      <c r="G20" s="11"/>
      <c r="H20" s="11"/>
      <c r="I20" s="11"/>
      <c r="J20" s="11">
        <f t="shared" si="0"/>
        <v>-853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22559</v>
      </c>
      <c r="C21" s="11">
        <v>15898</v>
      </c>
      <c r="D21" s="11">
        <v>9287</v>
      </c>
      <c r="E21" s="11">
        <v>5749</v>
      </c>
      <c r="F21" s="11"/>
      <c r="G21" s="11"/>
      <c r="H21" s="11"/>
      <c r="I21" s="11"/>
      <c r="J21" s="11">
        <f t="shared" si="0"/>
        <v>-10199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22320</v>
      </c>
      <c r="C22" s="11">
        <v>15898</v>
      </c>
      <c r="D22" s="11">
        <v>8830</v>
      </c>
      <c r="E22" s="11">
        <v>5749</v>
      </c>
      <c r="F22" s="11"/>
      <c r="G22" s="11"/>
      <c r="H22" s="11"/>
      <c r="I22" s="11"/>
      <c r="J22" s="11">
        <f t="shared" si="0"/>
        <v>-9503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22134</v>
      </c>
      <c r="C23" s="11">
        <v>17352</v>
      </c>
      <c r="D23" s="11">
        <v>7841</v>
      </c>
      <c r="E23" s="11">
        <v>6274</v>
      </c>
      <c r="F23" s="11"/>
      <c r="G23" s="11"/>
      <c r="H23" s="11"/>
      <c r="I23" s="11"/>
      <c r="J23" s="11">
        <f t="shared" si="0"/>
        <v>-6349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21998</v>
      </c>
      <c r="C24" s="11">
        <v>22757</v>
      </c>
      <c r="D24" s="11">
        <v>7574</v>
      </c>
      <c r="E24" s="11">
        <v>8229</v>
      </c>
      <c r="F24" s="11"/>
      <c r="G24" s="11"/>
      <c r="H24" s="11"/>
      <c r="I24" s="11"/>
      <c r="J24" s="11">
        <f t="shared" si="0"/>
        <v>1414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21990</v>
      </c>
      <c r="C25" s="11">
        <v>22816</v>
      </c>
      <c r="D25" s="11">
        <v>9634</v>
      </c>
      <c r="E25" s="11">
        <v>8250</v>
      </c>
      <c r="F25" s="11"/>
      <c r="G25" s="11"/>
      <c r="H25" s="11"/>
      <c r="I25" s="11"/>
      <c r="J25" s="11">
        <f t="shared" si="0"/>
        <v>-558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21678</v>
      </c>
      <c r="C26" s="11">
        <v>22488</v>
      </c>
      <c r="D26" s="11">
        <v>8719</v>
      </c>
      <c r="E26" s="11">
        <v>8131</v>
      </c>
      <c r="F26" s="11"/>
      <c r="G26" s="11"/>
      <c r="H26" s="11"/>
      <c r="I26" s="11"/>
      <c r="J26" s="11">
        <f t="shared" si="0"/>
        <v>222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>
        <v>21808</v>
      </c>
      <c r="C27" s="11">
        <v>22816</v>
      </c>
      <c r="D27" s="11">
        <v>8539</v>
      </c>
      <c r="E27" s="11">
        <v>8250</v>
      </c>
      <c r="F27" s="11"/>
      <c r="G27" s="11"/>
      <c r="H27" s="11"/>
      <c r="I27" s="11"/>
      <c r="J27" s="11">
        <f t="shared" si="0"/>
        <v>719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>
        <v>21144</v>
      </c>
      <c r="C28" s="11">
        <v>22699</v>
      </c>
      <c r="D28" s="11">
        <v>8500</v>
      </c>
      <c r="E28" s="11">
        <v>8208</v>
      </c>
      <c r="F28" s="11"/>
      <c r="G28" s="11"/>
      <c r="H28" s="11"/>
      <c r="I28" s="11"/>
      <c r="J28" s="11">
        <f t="shared" si="0"/>
        <v>1263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578353</v>
      </c>
      <c r="C35" s="11">
        <f t="shared" ref="C35:I35" si="1">SUM(C4:C34)</f>
        <v>577719</v>
      </c>
      <c r="D35" s="11">
        <f t="shared" si="1"/>
        <v>225595</v>
      </c>
      <c r="E35" s="11">
        <f t="shared" si="1"/>
        <v>202844</v>
      </c>
      <c r="F35" s="11">
        <f t="shared" si="1"/>
        <v>0</v>
      </c>
      <c r="G35" s="11">
        <f t="shared" si="1"/>
        <v>0</v>
      </c>
      <c r="H35" s="11">
        <f t="shared" si="1"/>
        <v>67</v>
      </c>
      <c r="I35" s="11">
        <f t="shared" si="1"/>
        <v>176</v>
      </c>
      <c r="J35" s="11">
        <f>SUM(J4:J34)</f>
        <v>-23276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2.84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-66103.839999999997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2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37103</v>
      </c>
      <c r="C39" s="25"/>
      <c r="E39" s="25"/>
      <c r="G39" s="25"/>
      <c r="I39" s="25"/>
      <c r="J39" s="449">
        <v>150097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37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37128</v>
      </c>
      <c r="J41" s="337">
        <f>+J39+J37</f>
        <v>83993.16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2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157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37103</v>
      </c>
      <c r="B46" s="32"/>
      <c r="C46" s="32"/>
      <c r="D46" s="212">
        <v>-60022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37128</v>
      </c>
      <c r="B47" s="32"/>
      <c r="C47" s="32"/>
      <c r="D47" s="379">
        <f>+J35</f>
        <v>-23276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-83298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26" workbookViewId="3">
      <selection activeCell="C31" sqref="C31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9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119</v>
      </c>
      <c r="B4" s="235">
        <v>12353</v>
      </c>
      <c r="C4" s="24" t="s">
        <v>130</v>
      </c>
      <c r="D4" s="235">
        <v>500168</v>
      </c>
      <c r="E4" s="24" t="s">
        <v>80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-87770</v>
      </c>
      <c r="C6" s="24">
        <v>-89330</v>
      </c>
      <c r="D6" s="24"/>
      <c r="E6" s="24"/>
      <c r="F6" s="24">
        <f>+C6+E6-B6-D6</f>
        <v>-1560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-88047</v>
      </c>
      <c r="C7" s="24">
        <v>-88502</v>
      </c>
      <c r="D7" s="24"/>
      <c r="E7" s="24"/>
      <c r="F7" s="24">
        <f t="shared" ref="F7:F36" si="0">+C7+E7-B7-D7</f>
        <v>-455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-87233</v>
      </c>
      <c r="C8" s="24">
        <v>-80452</v>
      </c>
      <c r="D8" s="24"/>
      <c r="E8" s="24"/>
      <c r="F8" s="24">
        <f t="shared" si="0"/>
        <v>6781</v>
      </c>
      <c r="G8" s="215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-85416</v>
      </c>
      <c r="C9" s="24">
        <v>-89090</v>
      </c>
      <c r="D9" s="51"/>
      <c r="E9" s="24"/>
      <c r="F9" s="24">
        <f t="shared" si="0"/>
        <v>-3674</v>
      </c>
      <c r="G9" s="215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-79179</v>
      </c>
      <c r="C10" s="24">
        <v>-79090</v>
      </c>
      <c r="D10" s="51"/>
      <c r="E10" s="24"/>
      <c r="F10" s="24">
        <f t="shared" si="0"/>
        <v>89</v>
      </c>
      <c r="G10" s="216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-79663</v>
      </c>
      <c r="C11" s="24">
        <v>-79090</v>
      </c>
      <c r="D11" s="24"/>
      <c r="E11" s="24"/>
      <c r="F11" s="24">
        <f t="shared" si="0"/>
        <v>573</v>
      </c>
      <c r="G11" s="216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-110402</v>
      </c>
      <c r="C12" s="24">
        <v>-111234</v>
      </c>
      <c r="D12" s="51">
        <v>-10778</v>
      </c>
      <c r="E12" s="24">
        <v>-10000</v>
      </c>
      <c r="F12" s="24">
        <f t="shared" si="0"/>
        <v>-54</v>
      </c>
      <c r="G12" s="216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-84430</v>
      </c>
      <c r="C13" s="24">
        <v>-82502</v>
      </c>
      <c r="D13" s="24">
        <v>-10987</v>
      </c>
      <c r="E13" s="24">
        <v>-10000</v>
      </c>
      <c r="F13" s="24">
        <f t="shared" si="0"/>
        <v>2915</v>
      </c>
      <c r="G13" s="216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-116235</v>
      </c>
      <c r="C14" s="24">
        <v>-118726</v>
      </c>
      <c r="D14" s="24">
        <v>-16703</v>
      </c>
      <c r="E14" s="24">
        <v>-16908</v>
      </c>
      <c r="F14" s="24">
        <f t="shared" si="0"/>
        <v>-2696</v>
      </c>
      <c r="G14" s="216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-88622</v>
      </c>
      <c r="C15" s="24">
        <v>-89290</v>
      </c>
      <c r="D15" s="24">
        <v>-8183</v>
      </c>
      <c r="E15" s="24">
        <v>-10000</v>
      </c>
      <c r="F15" s="24">
        <f t="shared" si="0"/>
        <v>-2485</v>
      </c>
      <c r="G15" s="216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-99079</v>
      </c>
      <c r="C16" s="24">
        <v>-99924</v>
      </c>
      <c r="D16" s="24"/>
      <c r="E16" s="24"/>
      <c r="F16" s="24">
        <f t="shared" si="0"/>
        <v>-845</v>
      </c>
      <c r="G16" s="216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-99644</v>
      </c>
      <c r="C17" s="24">
        <v>-99924</v>
      </c>
      <c r="D17" s="24"/>
      <c r="E17" s="24"/>
      <c r="F17" s="24">
        <f t="shared" si="0"/>
        <v>-280</v>
      </c>
      <c r="G17" s="216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-96896</v>
      </c>
      <c r="C18" s="24">
        <v>-99924</v>
      </c>
      <c r="D18" s="24"/>
      <c r="E18" s="24"/>
      <c r="F18" s="24">
        <f t="shared" si="0"/>
        <v>-3028</v>
      </c>
      <c r="G18" s="216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-60119</v>
      </c>
      <c r="C19" s="24">
        <v>-59502</v>
      </c>
      <c r="D19" s="24">
        <v>-1</v>
      </c>
      <c r="E19" s="24"/>
      <c r="F19" s="24">
        <f t="shared" si="0"/>
        <v>618</v>
      </c>
      <c r="G19" s="216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-100957</v>
      </c>
      <c r="C20" s="24">
        <v>-100332</v>
      </c>
      <c r="D20" s="24"/>
      <c r="E20" s="24"/>
      <c r="F20" s="24">
        <f t="shared" si="0"/>
        <v>625</v>
      </c>
      <c r="G20" s="216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-52592</v>
      </c>
      <c r="C21" s="24">
        <v>-50761</v>
      </c>
      <c r="D21" s="24"/>
      <c r="E21" s="24"/>
      <c r="F21" s="24">
        <f t="shared" si="0"/>
        <v>1831</v>
      </c>
      <c r="G21" s="216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-75444</v>
      </c>
      <c r="C22" s="24">
        <v>-74973</v>
      </c>
      <c r="D22" s="24"/>
      <c r="E22" s="24"/>
      <c r="F22" s="24">
        <f t="shared" si="0"/>
        <v>471</v>
      </c>
      <c r="G22" s="216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-37835</v>
      </c>
      <c r="C23" s="24">
        <v>-37403</v>
      </c>
      <c r="D23" s="24"/>
      <c r="E23" s="24"/>
      <c r="F23" s="24">
        <f t="shared" si="0"/>
        <v>432</v>
      </c>
      <c r="G23" s="216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-36917</v>
      </c>
      <c r="C24" s="24">
        <v>-37403</v>
      </c>
      <c r="D24" s="24"/>
      <c r="E24" s="24"/>
      <c r="F24" s="24">
        <f t="shared" si="0"/>
        <v>-486</v>
      </c>
      <c r="G24" s="216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-27048</v>
      </c>
      <c r="C25" s="24">
        <v>-27119</v>
      </c>
      <c r="D25" s="24"/>
      <c r="E25" s="24"/>
      <c r="F25" s="24">
        <f t="shared" si="0"/>
        <v>-71</v>
      </c>
      <c r="G25" s="216"/>
      <c r="O25" s="135"/>
      <c r="P25" s="205"/>
      <c r="Q25" s="217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-70875</v>
      </c>
      <c r="C26" s="24">
        <v>-74286</v>
      </c>
      <c r="D26" s="24"/>
      <c r="E26" s="24"/>
      <c r="F26" s="24">
        <f t="shared" si="0"/>
        <v>-3411</v>
      </c>
      <c r="G26" s="216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-59872</v>
      </c>
      <c r="C27" s="24">
        <v>-59332</v>
      </c>
      <c r="D27" s="24"/>
      <c r="E27" s="24"/>
      <c r="F27" s="24">
        <f t="shared" si="0"/>
        <v>540</v>
      </c>
      <c r="G27" s="216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>
        <v>-84167</v>
      </c>
      <c r="C28" s="24">
        <v>-87235</v>
      </c>
      <c r="D28" s="24"/>
      <c r="E28" s="24"/>
      <c r="F28" s="24">
        <f t="shared" si="0"/>
        <v>-3068</v>
      </c>
      <c r="G28" s="216"/>
      <c r="O28" s="135"/>
      <c r="P28" s="205"/>
      <c r="Q28" s="135"/>
      <c r="R28" s="14"/>
      <c r="U28" s="14"/>
      <c r="V28" s="14"/>
      <c r="W28" s="75"/>
      <c r="X28" s="216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>
        <v>-53411</v>
      </c>
      <c r="C29" s="24">
        <v>-54502</v>
      </c>
      <c r="D29" s="24"/>
      <c r="E29" s="24"/>
      <c r="F29" s="24">
        <f t="shared" si="0"/>
        <v>-1091</v>
      </c>
      <c r="G29" s="216"/>
      <c r="P29" s="205"/>
      <c r="Q29" s="135"/>
      <c r="R29" s="14"/>
      <c r="U29" s="14"/>
      <c r="V29" s="14"/>
      <c r="W29" s="75"/>
      <c r="X29" s="219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>
        <v>-60976</v>
      </c>
      <c r="C30" s="24">
        <v>-61097</v>
      </c>
      <c r="D30" s="24"/>
      <c r="E30" s="24"/>
      <c r="F30" s="24">
        <f t="shared" si="0"/>
        <v>-121</v>
      </c>
      <c r="G30" s="216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6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6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6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6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6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6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-1922829</v>
      </c>
      <c r="C37" s="24">
        <f>SUM(C6:C36)</f>
        <v>-1931023</v>
      </c>
      <c r="D37" s="24">
        <f>SUM(D6:D36)</f>
        <v>-46652</v>
      </c>
      <c r="E37" s="24">
        <f>SUM(E6:E36)</f>
        <v>-46908</v>
      </c>
      <c r="F37" s="24">
        <f>SUM(F6:F36)</f>
        <v>-8450</v>
      </c>
      <c r="G37" s="340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81</v>
      </c>
      <c r="E38" s="14"/>
      <c r="F38" s="104">
        <f>+summary!H4</f>
        <v>2.84</v>
      </c>
      <c r="G38" s="216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-23998</v>
      </c>
      <c r="G39" s="22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26">
        <v>37103</v>
      </c>
      <c r="E40" s="14"/>
      <c r="F40" s="448">
        <v>469765.91</v>
      </c>
      <c r="G40" s="22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26">
        <v>37128</v>
      </c>
      <c r="E41" s="14"/>
      <c r="F41" s="104">
        <f>+F40+F39</f>
        <v>445767.91</v>
      </c>
      <c r="G41" s="22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8"/>
      <c r="E43" s="209"/>
      <c r="F43" s="206"/>
      <c r="G43" s="216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8"/>
      <c r="E44" s="209"/>
      <c r="F44" s="206"/>
      <c r="G44" s="216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157</v>
      </c>
      <c r="B45" s="32"/>
      <c r="C45" s="32"/>
      <c r="D45" s="32"/>
      <c r="E45" s="209"/>
      <c r="F45" s="206"/>
      <c r="G45" s="216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37103</v>
      </c>
      <c r="B46" s="32"/>
      <c r="C46" s="32"/>
      <c r="D46" s="212">
        <v>29027</v>
      </c>
      <c r="E46" s="209"/>
      <c r="F46" s="206"/>
      <c r="G46" s="216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37128</v>
      </c>
      <c r="B47" s="32"/>
      <c r="C47" s="32"/>
      <c r="D47" s="379">
        <f>+F37</f>
        <v>-8450</v>
      </c>
      <c r="E47" s="209"/>
      <c r="F47" s="206"/>
      <c r="G47" s="216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20577</v>
      </c>
      <c r="E48" s="209"/>
      <c r="F48" s="206"/>
      <c r="G48" s="216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16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6"/>
      <c r="D50" s="208"/>
      <c r="E50" s="209"/>
      <c r="F50" s="206"/>
      <c r="G50" s="206"/>
      <c r="AD50" s="101"/>
      <c r="AE50" s="214"/>
      <c r="AF50" s="24"/>
      <c r="AG50" s="24"/>
      <c r="AH50" s="106"/>
      <c r="AI50" s="221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2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3"/>
    </row>
    <row r="55" spans="1:36" ht="17.100000000000001" customHeight="1" x14ac:dyDescent="0.2">
      <c r="AD55" s="223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4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5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5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6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7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4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8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8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9"/>
      <c r="D84" s="24"/>
      <c r="R84" s="14"/>
      <c r="S84" s="14"/>
      <c r="T84" s="14"/>
      <c r="U84" s="14"/>
      <c r="AD84" s="223"/>
      <c r="AE84" s="213"/>
      <c r="AF84" s="24"/>
      <c r="AG84" s="24"/>
      <c r="AH84" s="24"/>
      <c r="AI84" s="143"/>
      <c r="AJ84" s="230"/>
    </row>
    <row r="85" spans="3:36" ht="15" customHeight="1" thickTop="1" x14ac:dyDescent="0.2">
      <c r="C85" s="227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3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1"/>
      <c r="R87" s="14"/>
      <c r="S87" s="14"/>
      <c r="T87" s="14"/>
      <c r="U87" s="14"/>
      <c r="AD87" s="232"/>
      <c r="AE87" s="233"/>
      <c r="AF87" s="150"/>
      <c r="AG87" s="150"/>
      <c r="AH87" s="150"/>
      <c r="AI87" s="234"/>
      <c r="AJ87" s="216"/>
    </row>
    <row r="88" spans="3:36" ht="24.95" customHeight="1" thickTop="1" x14ac:dyDescent="0.2">
      <c r="C88" s="228"/>
      <c r="D88" s="24"/>
      <c r="R88" s="14"/>
      <c r="S88" s="14"/>
      <c r="T88" s="14"/>
      <c r="U88" s="14"/>
      <c r="AD88" s="38"/>
      <c r="AJ88" s="216"/>
    </row>
    <row r="89" spans="3:36" ht="15" customHeight="1" x14ac:dyDescent="0.2">
      <c r="D89" s="128"/>
      <c r="E89" s="110"/>
      <c r="F89" s="2"/>
      <c r="G89" s="12"/>
      <c r="H89" s="235"/>
      <c r="I89" s="128"/>
      <c r="J89" s="24"/>
      <c r="K89" s="12"/>
      <c r="L89" s="235"/>
      <c r="M89" s="24"/>
      <c r="N89" s="24"/>
      <c r="O89" s="12"/>
      <c r="P89" s="235"/>
      <c r="Q89" s="24"/>
      <c r="R89" s="24"/>
      <c r="S89" s="101"/>
      <c r="T89" s="235"/>
      <c r="U89" s="24"/>
      <c r="V89" s="24"/>
      <c r="AD89" s="236"/>
      <c r="AJ89" s="216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6"/>
      <c r="AJ90" s="216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6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6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6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6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6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6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7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7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7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8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7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7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7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5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7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7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8"/>
      <c r="D134" s="240"/>
      <c r="E134" s="110"/>
      <c r="F134" s="2"/>
      <c r="G134" s="2"/>
      <c r="R134" s="14"/>
      <c r="S134" s="12"/>
      <c r="T134" s="24"/>
      <c r="U134" s="24"/>
      <c r="V134" s="24"/>
      <c r="X134" s="237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1"/>
      <c r="D135" s="128"/>
      <c r="E135" s="110"/>
      <c r="F135" s="2"/>
      <c r="G135" s="2"/>
      <c r="R135" s="14"/>
      <c r="S135" s="12"/>
      <c r="T135" s="24"/>
      <c r="U135" s="24"/>
      <c r="V135" s="24"/>
      <c r="X135" s="237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7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7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7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2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5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2"/>
      <c r="AG168" s="242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3"/>
      <c r="AB169" s="87"/>
      <c r="AC169" s="87"/>
      <c r="AD169" s="101"/>
      <c r="AE169" s="214"/>
      <c r="AF169" s="242"/>
      <c r="AG169" s="242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3"/>
      <c r="AB170" s="87"/>
      <c r="AC170" s="87"/>
      <c r="AD170" s="101"/>
      <c r="AE170" s="214"/>
      <c r="AF170" s="242"/>
      <c r="AG170" s="242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3"/>
      <c r="AB171" s="87"/>
      <c r="AC171" s="87"/>
      <c r="AD171" s="101"/>
      <c r="AE171" s="214"/>
      <c r="AF171" s="242"/>
      <c r="AG171" s="242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3"/>
      <c r="AB172" s="87"/>
      <c r="AC172" s="87"/>
      <c r="AD172" s="101"/>
      <c r="AE172" s="214"/>
      <c r="AF172" s="24"/>
      <c r="AG172" s="242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3"/>
      <c r="AB173" s="87"/>
      <c r="AC173" s="87"/>
      <c r="AD173" s="101"/>
      <c r="AE173" s="214"/>
      <c r="AF173" s="242"/>
      <c r="AG173" s="242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3"/>
      <c r="AB174" s="87"/>
      <c r="AC174" s="87"/>
      <c r="AD174" s="101"/>
      <c r="AE174" s="214"/>
      <c r="AF174" s="242"/>
      <c r="AG174" s="242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3"/>
      <c r="AB175" s="87"/>
      <c r="AC175" s="87"/>
      <c r="AD175" s="101"/>
      <c r="AE175" s="214"/>
      <c r="AF175" s="24"/>
      <c r="AG175" s="242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3"/>
      <c r="AB176" s="87"/>
      <c r="AC176" s="87"/>
      <c r="AD176" s="101"/>
      <c r="AE176" s="214"/>
      <c r="AF176" s="24"/>
      <c r="AG176" s="242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3"/>
      <c r="AB177" s="87"/>
      <c r="AC177" s="87"/>
      <c r="AD177" s="101"/>
      <c r="AE177" s="214"/>
      <c r="AF177" s="24"/>
      <c r="AG177" s="242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3"/>
      <c r="AB178" s="87"/>
      <c r="AC178" s="87"/>
      <c r="AD178" s="101"/>
      <c r="AE178" s="214"/>
      <c r="AF178" s="24"/>
      <c r="AG178" s="242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3"/>
      <c r="AB179" s="87"/>
      <c r="AC179" s="87"/>
      <c r="AD179" s="101"/>
      <c r="AE179" s="214"/>
      <c r="AF179" s="24"/>
      <c r="AG179" s="242"/>
      <c r="AH179" s="24"/>
      <c r="AI179" s="143"/>
      <c r="AJ179" s="104"/>
    </row>
    <row r="180" spans="2:36" ht="15" customHeight="1" x14ac:dyDescent="0.2">
      <c r="C180" s="228"/>
      <c r="D180" s="240"/>
      <c r="E180" s="110"/>
      <c r="R180" s="12"/>
      <c r="S180" s="24"/>
      <c r="T180" s="24"/>
      <c r="U180" s="24"/>
      <c r="X180" s="87"/>
      <c r="Y180" s="87"/>
      <c r="Z180" s="87"/>
      <c r="AA180" s="243"/>
      <c r="AB180" s="87"/>
      <c r="AC180" s="87"/>
      <c r="AD180" s="101"/>
      <c r="AE180" s="214"/>
      <c r="AF180" s="24"/>
      <c r="AG180" s="242"/>
      <c r="AH180" s="24"/>
      <c r="AI180" s="143"/>
      <c r="AJ180" s="104"/>
    </row>
    <row r="181" spans="2:36" ht="15" customHeight="1" x14ac:dyDescent="0.2">
      <c r="C181" s="228"/>
      <c r="D181" s="240"/>
      <c r="E181" s="110"/>
      <c r="R181" s="12"/>
      <c r="S181" s="24"/>
      <c r="T181" s="24"/>
      <c r="U181" s="24"/>
      <c r="X181" s="87"/>
      <c r="Y181" s="87"/>
      <c r="Z181" s="87"/>
      <c r="AA181" s="243"/>
      <c r="AB181" s="87"/>
      <c r="AC181" s="87"/>
      <c r="AD181" s="101"/>
      <c r="AE181" s="214"/>
      <c r="AF181" s="24"/>
      <c r="AG181" s="242"/>
      <c r="AH181" s="24"/>
      <c r="AI181" s="143"/>
      <c r="AJ181" s="104"/>
    </row>
    <row r="182" spans="2:36" ht="15" customHeight="1" x14ac:dyDescent="0.2">
      <c r="C182" s="228"/>
      <c r="D182" s="240"/>
      <c r="E182" s="110"/>
      <c r="R182" s="12"/>
      <c r="S182" s="24"/>
      <c r="T182" s="24"/>
      <c r="U182" s="24"/>
      <c r="X182" s="87"/>
      <c r="Y182" s="87"/>
      <c r="Z182" s="87"/>
      <c r="AA182" s="243"/>
      <c r="AB182" s="87"/>
      <c r="AC182" s="87"/>
      <c r="AD182" s="101"/>
      <c r="AE182" s="214"/>
      <c r="AF182" s="24"/>
      <c r="AG182" s="242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3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3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3"/>
      <c r="AB185" s="87"/>
      <c r="AC185" s="87"/>
      <c r="AD185" s="101"/>
      <c r="AE185" s="214"/>
      <c r="AF185" s="24"/>
      <c r="AG185" s="242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3"/>
      <c r="AB186" s="87"/>
      <c r="AC186" s="87"/>
      <c r="AD186" s="101"/>
      <c r="AE186" s="214"/>
      <c r="AF186" s="24"/>
      <c r="AG186" s="242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3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3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3"/>
      <c r="AB189" s="87"/>
      <c r="AC189" s="87"/>
      <c r="AD189" s="101"/>
      <c r="AE189" s="214"/>
      <c r="AF189" s="242"/>
      <c r="AG189" s="242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3"/>
      <c r="AB190" s="87"/>
      <c r="AC190" s="87"/>
      <c r="AD190" s="101"/>
      <c r="AE190" s="214"/>
      <c r="AF190" s="242"/>
      <c r="AG190" s="242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3"/>
      <c r="AB191" s="87"/>
      <c r="AC191" s="87"/>
      <c r="AD191" s="101"/>
      <c r="AE191" s="214"/>
      <c r="AF191" s="242"/>
      <c r="AG191" s="242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3"/>
      <c r="AB192" s="87"/>
      <c r="AC192" s="87"/>
      <c r="AD192" s="101"/>
      <c r="AE192" s="214"/>
      <c r="AF192" s="242"/>
      <c r="AG192" s="242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3"/>
      <c r="AB193" s="87"/>
      <c r="AC193" s="87"/>
      <c r="AD193" s="101"/>
      <c r="AE193" s="214"/>
      <c r="AF193" s="24"/>
      <c r="AG193" s="242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3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3"/>
      <c r="AB195" s="87"/>
      <c r="AC195" s="87"/>
      <c r="AD195" s="101"/>
      <c r="AE195" s="214"/>
      <c r="AF195" s="242"/>
      <c r="AG195" s="242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3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3"/>
      <c r="AB197" s="87"/>
      <c r="AC197" s="87"/>
      <c r="AD197" s="101"/>
      <c r="AE197" s="214"/>
      <c r="AF197" s="242"/>
      <c r="AG197" s="242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2"/>
      <c r="AG199" s="242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2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2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2"/>
      <c r="AG202" s="242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2"/>
      <c r="AG203" s="242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2"/>
      <c r="AG204" s="242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5"/>
      <c r="T207" s="24"/>
      <c r="U207" s="24"/>
      <c r="AD207" s="101"/>
      <c r="AE207" s="214"/>
      <c r="AF207" s="242"/>
      <c r="AG207" s="242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2"/>
      <c r="AG208" s="242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2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2"/>
      <c r="AG210" s="242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2"/>
      <c r="AG211" s="242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2"/>
      <c r="AG212" s="242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2"/>
      <c r="AG213" s="242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2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0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0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0"/>
      <c r="AG217" s="240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4"/>
      <c r="AG218" s="244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4"/>
      <c r="AG219" s="244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4"/>
      <c r="AG220" s="244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4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2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2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2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0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0"/>
      <c r="AG226" s="240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0"/>
      <c r="AG227" s="240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0"/>
      <c r="AG228" s="240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0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0"/>
      <c r="AG230" s="244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0"/>
      <c r="AG231" s="244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0"/>
      <c r="AG232" s="244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2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0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0"/>
      <c r="AG239" s="245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0"/>
      <c r="AG240" s="245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0"/>
      <c r="AG241" s="245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0"/>
      <c r="AG242" s="244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0"/>
      <c r="AG243" s="245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0"/>
      <c r="AG244" s="244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0"/>
      <c r="AG245" s="244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2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6"/>
      <c r="AG247" s="247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6"/>
      <c r="AG248" s="246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8"/>
      <c r="AG249" s="245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8"/>
      <c r="AG250" s="245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6"/>
      <c r="AG251" s="246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2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6"/>
      <c r="AG255" s="244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6"/>
      <c r="AG256" s="246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8"/>
      <c r="AG257" s="245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6"/>
      <c r="AG258" s="246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2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8"/>
      <c r="AG263" s="247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6"/>
      <c r="AG264" s="246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6"/>
      <c r="AG265" s="246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2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2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2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2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2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8"/>
      <c r="AG271" s="244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8"/>
      <c r="AG272" s="246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6"/>
      <c r="AG273" s="246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2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2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2"/>
      <c r="AG276" s="242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8"/>
      <c r="AG278" s="247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8"/>
      <c r="AG279" s="245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8"/>
      <c r="AG280" s="245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2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2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2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3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3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32" workbookViewId="3">
      <selection activeCell="A44" sqref="A44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111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41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">
      <c r="A40" s="26"/>
      <c r="C40" s="14"/>
      <c r="F40" s="260">
        <f>+summary!H4</f>
        <v>2.84</v>
      </c>
    </row>
    <row r="41" spans="1:6" x14ac:dyDescent="0.2">
      <c r="F41" s="138">
        <f>+F40*F39</f>
        <v>0</v>
      </c>
    </row>
    <row r="42" spans="1:6" x14ac:dyDescent="0.2">
      <c r="A42" s="57">
        <v>37103</v>
      </c>
      <c r="C42" s="15"/>
      <c r="F42" s="359">
        <v>-5216.57</v>
      </c>
    </row>
    <row r="43" spans="1:6" x14ac:dyDescent="0.2">
      <c r="A43" s="57">
        <v>37128</v>
      </c>
      <c r="C43" s="48"/>
      <c r="F43" s="138">
        <f>+F42+F41</f>
        <v>-5216.57</v>
      </c>
    </row>
    <row r="47" spans="1:6" x14ac:dyDescent="0.2">
      <c r="A47" s="32" t="s">
        <v>157</v>
      </c>
      <c r="B47" s="32"/>
      <c r="C47" s="32"/>
      <c r="D47" s="32"/>
    </row>
    <row r="48" spans="1:6" x14ac:dyDescent="0.2">
      <c r="A48" s="49">
        <f>+A42</f>
        <v>37103</v>
      </c>
      <c r="B48" s="32"/>
      <c r="C48" s="32"/>
      <c r="D48" s="212">
        <v>-17302</v>
      </c>
    </row>
    <row r="49" spans="1:4" x14ac:dyDescent="0.2">
      <c r="A49" s="49">
        <f>+A43</f>
        <v>37128</v>
      </c>
      <c r="B49" s="32"/>
      <c r="C49" s="32"/>
      <c r="D49" s="379">
        <f>+F39</f>
        <v>0</v>
      </c>
    </row>
    <row r="50" spans="1:4" x14ac:dyDescent="0.2">
      <c r="A50" s="32"/>
      <c r="B50" s="32"/>
      <c r="C50" s="32"/>
      <c r="D50" s="14">
        <f>+D49+D48</f>
        <v>-17302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5" workbookViewId="3">
      <selection activeCell="B27" sqref="B27"/>
    </sheetView>
  </sheetViews>
  <sheetFormatPr defaultRowHeight="12.75" x14ac:dyDescent="0.2"/>
  <sheetData>
    <row r="5" spans="1:4" ht="15" x14ac:dyDescent="0.25">
      <c r="A5" s="134"/>
      <c r="B5" s="34" t="s">
        <v>114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>
        <v>5789</v>
      </c>
      <c r="C8" s="11">
        <v>7579</v>
      </c>
      <c r="D8" s="25">
        <f>+C8-B8</f>
        <v>1790</v>
      </c>
    </row>
    <row r="9" spans="1:4" x14ac:dyDescent="0.2">
      <c r="A9" s="10">
        <v>2</v>
      </c>
      <c r="B9" s="11">
        <v>2411</v>
      </c>
      <c r="C9" s="11">
        <v>7579</v>
      </c>
      <c r="D9" s="25">
        <f t="shared" ref="D9:D38" si="0">+C9-B9</f>
        <v>5168</v>
      </c>
    </row>
    <row r="10" spans="1:4" x14ac:dyDescent="0.2">
      <c r="A10" s="10">
        <v>3</v>
      </c>
      <c r="B10" s="11">
        <v>7806</v>
      </c>
      <c r="C10" s="11">
        <v>7579</v>
      </c>
      <c r="D10" s="25">
        <f t="shared" si="0"/>
        <v>-227</v>
      </c>
    </row>
    <row r="11" spans="1:4" x14ac:dyDescent="0.2">
      <c r="A11" s="10">
        <v>4</v>
      </c>
      <c r="B11" s="11">
        <v>7637</v>
      </c>
      <c r="C11" s="11">
        <v>7579</v>
      </c>
      <c r="D11" s="25">
        <f t="shared" si="0"/>
        <v>-58</v>
      </c>
    </row>
    <row r="12" spans="1:4" x14ac:dyDescent="0.2">
      <c r="A12" s="10">
        <v>5</v>
      </c>
      <c r="B12" s="11">
        <v>7209</v>
      </c>
      <c r="C12" s="11">
        <v>7579</v>
      </c>
      <c r="D12" s="25">
        <f t="shared" si="0"/>
        <v>370</v>
      </c>
    </row>
    <row r="13" spans="1:4" x14ac:dyDescent="0.2">
      <c r="A13" s="10">
        <v>6</v>
      </c>
      <c r="B13" s="11">
        <v>4529</v>
      </c>
      <c r="C13" s="11">
        <v>7579</v>
      </c>
      <c r="D13" s="25">
        <f t="shared" si="0"/>
        <v>3050</v>
      </c>
    </row>
    <row r="14" spans="1:4" x14ac:dyDescent="0.2">
      <c r="A14" s="10">
        <v>7</v>
      </c>
      <c r="B14" s="11">
        <v>1886</v>
      </c>
      <c r="C14" s="11">
        <v>7579</v>
      </c>
      <c r="D14" s="25">
        <f t="shared" si="0"/>
        <v>5693</v>
      </c>
    </row>
    <row r="15" spans="1:4" x14ac:dyDescent="0.2">
      <c r="A15" s="10">
        <v>8</v>
      </c>
      <c r="B15" s="11">
        <v>0</v>
      </c>
      <c r="C15" s="11">
        <v>7579</v>
      </c>
      <c r="D15" s="25">
        <f t="shared" si="0"/>
        <v>7579</v>
      </c>
    </row>
    <row r="16" spans="1:4" x14ac:dyDescent="0.2">
      <c r="A16" s="10">
        <v>9</v>
      </c>
      <c r="B16" s="11">
        <v>2449</v>
      </c>
      <c r="C16" s="11">
        <v>7579</v>
      </c>
      <c r="D16" s="25">
        <f t="shared" si="0"/>
        <v>5130</v>
      </c>
    </row>
    <row r="17" spans="1:4" x14ac:dyDescent="0.2">
      <c r="A17" s="10">
        <v>10</v>
      </c>
      <c r="B17" s="11">
        <v>7660</v>
      </c>
      <c r="C17" s="11">
        <v>7579</v>
      </c>
      <c r="D17" s="25">
        <f t="shared" si="0"/>
        <v>-81</v>
      </c>
    </row>
    <row r="18" spans="1:4" x14ac:dyDescent="0.2">
      <c r="A18" s="10">
        <v>11</v>
      </c>
      <c r="B18" s="11">
        <v>3951</v>
      </c>
      <c r="C18" s="11">
        <v>7579</v>
      </c>
      <c r="D18" s="25">
        <f t="shared" si="0"/>
        <v>3628</v>
      </c>
    </row>
    <row r="19" spans="1:4" x14ac:dyDescent="0.2">
      <c r="A19" s="10">
        <v>12</v>
      </c>
      <c r="B19" s="11">
        <v>5968</v>
      </c>
      <c r="C19" s="11">
        <v>7579</v>
      </c>
      <c r="D19" s="25">
        <f t="shared" si="0"/>
        <v>1611</v>
      </c>
    </row>
    <row r="20" spans="1:4" x14ac:dyDescent="0.2">
      <c r="A20" s="10">
        <v>13</v>
      </c>
      <c r="B20" s="11">
        <v>5793</v>
      </c>
      <c r="C20" s="11">
        <v>7579</v>
      </c>
      <c r="D20" s="25">
        <f t="shared" si="0"/>
        <v>1786</v>
      </c>
    </row>
    <row r="21" spans="1:4" x14ac:dyDescent="0.2">
      <c r="A21" s="10">
        <v>14</v>
      </c>
      <c r="B21" s="11">
        <v>6933</v>
      </c>
      <c r="C21" s="11">
        <v>7579</v>
      </c>
      <c r="D21" s="25">
        <f t="shared" si="0"/>
        <v>646</v>
      </c>
    </row>
    <row r="22" spans="1:4" x14ac:dyDescent="0.2">
      <c r="A22" s="10">
        <v>15</v>
      </c>
      <c r="B22" s="11">
        <v>7195</v>
      </c>
      <c r="C22" s="11">
        <v>7579</v>
      </c>
      <c r="D22" s="25">
        <f t="shared" si="0"/>
        <v>384</v>
      </c>
    </row>
    <row r="23" spans="1:4" x14ac:dyDescent="0.2">
      <c r="A23" s="10">
        <v>16</v>
      </c>
      <c r="B23" s="11">
        <v>7192</v>
      </c>
      <c r="C23" s="11">
        <v>7579</v>
      </c>
      <c r="D23" s="25">
        <f t="shared" si="0"/>
        <v>387</v>
      </c>
    </row>
    <row r="24" spans="1:4" x14ac:dyDescent="0.2">
      <c r="A24" s="10">
        <v>17</v>
      </c>
      <c r="B24" s="11">
        <v>8173</v>
      </c>
      <c r="C24" s="11">
        <v>7579</v>
      </c>
      <c r="D24" s="25">
        <f t="shared" si="0"/>
        <v>-594</v>
      </c>
    </row>
    <row r="25" spans="1:4" x14ac:dyDescent="0.2">
      <c r="A25" s="10">
        <v>18</v>
      </c>
      <c r="B25" s="11">
        <v>8169</v>
      </c>
      <c r="C25" s="11">
        <v>7579</v>
      </c>
      <c r="D25" s="25">
        <f t="shared" si="0"/>
        <v>-590</v>
      </c>
    </row>
    <row r="26" spans="1:4" x14ac:dyDescent="0.2">
      <c r="A26" s="10">
        <v>19</v>
      </c>
      <c r="B26" s="11">
        <v>7779</v>
      </c>
      <c r="C26" s="11">
        <v>7579</v>
      </c>
      <c r="D26" s="25">
        <f t="shared" si="0"/>
        <v>-200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108529</v>
      </c>
      <c r="C39" s="11">
        <f>SUM(C8:C38)</f>
        <v>144001</v>
      </c>
      <c r="D39" s="25">
        <f>SUM(D8:D38)</f>
        <v>35472</v>
      </c>
    </row>
    <row r="40" spans="1:4" x14ac:dyDescent="0.2">
      <c r="A40" s="26"/>
      <c r="C40" s="14"/>
      <c r="D40" s="260">
        <f>+summary!H4</f>
        <v>2.84</v>
      </c>
    </row>
    <row r="41" spans="1:4" x14ac:dyDescent="0.2">
      <c r="D41" s="138">
        <f>+D40*D39</f>
        <v>100740.48</v>
      </c>
    </row>
    <row r="42" spans="1:4" x14ac:dyDescent="0.2">
      <c r="A42" s="57">
        <v>37103</v>
      </c>
      <c r="C42" s="15"/>
      <c r="D42" s="368">
        <v>326755</v>
      </c>
    </row>
    <row r="43" spans="1:4" x14ac:dyDescent="0.2">
      <c r="A43" s="57">
        <v>37125</v>
      </c>
      <c r="C43" s="48"/>
      <c r="D43" s="138">
        <f>+D42+D41</f>
        <v>427495.48</v>
      </c>
    </row>
    <row r="46" spans="1:4" x14ac:dyDescent="0.2">
      <c r="A46" s="32" t="s">
        <v>157</v>
      </c>
      <c r="B46" s="32"/>
      <c r="C46" s="32"/>
      <c r="D46" s="32"/>
    </row>
    <row r="47" spans="1:4" x14ac:dyDescent="0.2">
      <c r="A47" s="49">
        <f>+A42</f>
        <v>37103</v>
      </c>
      <c r="B47" s="32"/>
      <c r="C47" s="32"/>
      <c r="D47" s="14">
        <v>6289</v>
      </c>
    </row>
    <row r="48" spans="1:4" x14ac:dyDescent="0.2">
      <c r="A48" s="49">
        <f>+A43</f>
        <v>37125</v>
      </c>
      <c r="B48" s="32"/>
      <c r="C48" s="32"/>
      <c r="D48" s="379">
        <f>+D39</f>
        <v>35472</v>
      </c>
    </row>
    <row r="49" spans="1:4" x14ac:dyDescent="0.2">
      <c r="A49" s="32"/>
      <c r="B49" s="32"/>
      <c r="C49" s="32"/>
      <c r="D49" s="14">
        <f>+D48+D47</f>
        <v>41761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/>
    <sheetView topLeftCell="A26" workbookViewId="2">
      <selection activeCell="D34" sqref="D34"/>
    </sheetView>
    <sheetView topLeftCell="A26" workbookViewId="3">
      <selection activeCell="C31" sqref="C31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135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-77614</v>
      </c>
      <c r="C6" s="11">
        <v>-65229</v>
      </c>
      <c r="D6" s="25">
        <f>+C6-B6</f>
        <v>12385</v>
      </c>
    </row>
    <row r="7" spans="1:4" x14ac:dyDescent="0.2">
      <c r="A7" s="10">
        <v>2</v>
      </c>
      <c r="B7" s="11">
        <v>-71168</v>
      </c>
      <c r="C7" s="11">
        <v>-80300</v>
      </c>
      <c r="D7" s="25">
        <f t="shared" ref="D7:D36" si="0">+C7-B7</f>
        <v>-9132</v>
      </c>
    </row>
    <row r="8" spans="1:4" x14ac:dyDescent="0.2">
      <c r="A8" s="10">
        <v>3</v>
      </c>
      <c r="B8" s="11">
        <v>-41277</v>
      </c>
      <c r="C8" s="11">
        <v>-50000</v>
      </c>
      <c r="D8" s="25">
        <f t="shared" si="0"/>
        <v>-8723</v>
      </c>
    </row>
    <row r="9" spans="1:4" x14ac:dyDescent="0.2">
      <c r="A9" s="10">
        <v>4</v>
      </c>
      <c r="B9" s="11">
        <v>-41015</v>
      </c>
      <c r="C9" s="11">
        <v>-50000</v>
      </c>
      <c r="D9" s="25">
        <f t="shared" si="0"/>
        <v>-8985</v>
      </c>
    </row>
    <row r="10" spans="1:4" x14ac:dyDescent="0.2">
      <c r="A10" s="10">
        <v>5</v>
      </c>
      <c r="B10" s="11">
        <v>-41598</v>
      </c>
      <c r="C10" s="11">
        <v>-50000</v>
      </c>
      <c r="D10" s="25">
        <f t="shared" si="0"/>
        <v>-8402</v>
      </c>
    </row>
    <row r="11" spans="1:4" x14ac:dyDescent="0.2">
      <c r="A11" s="10">
        <v>6</v>
      </c>
      <c r="B11" s="11">
        <v>-67163</v>
      </c>
      <c r="C11" s="11">
        <v>-50000</v>
      </c>
      <c r="D11" s="25">
        <f t="shared" si="0"/>
        <v>17163</v>
      </c>
    </row>
    <row r="12" spans="1:4" x14ac:dyDescent="0.2">
      <c r="A12" s="10">
        <v>7</v>
      </c>
      <c r="B12" s="11">
        <v>-78830</v>
      </c>
      <c r="C12" s="11">
        <v>-80300</v>
      </c>
      <c r="D12" s="25">
        <f t="shared" si="0"/>
        <v>-1470</v>
      </c>
    </row>
    <row r="13" spans="1:4" x14ac:dyDescent="0.2">
      <c r="A13" s="10">
        <v>8</v>
      </c>
      <c r="B13" s="11">
        <v>-82222</v>
      </c>
      <c r="C13" s="11">
        <v>-80300</v>
      </c>
      <c r="D13" s="25">
        <f t="shared" si="0"/>
        <v>1922</v>
      </c>
    </row>
    <row r="14" spans="1:4" x14ac:dyDescent="0.2">
      <c r="A14" s="10">
        <v>9</v>
      </c>
      <c r="B14" s="11">
        <v>-81974</v>
      </c>
      <c r="C14" s="11">
        <v>-80168</v>
      </c>
      <c r="D14" s="25">
        <f t="shared" si="0"/>
        <v>1806</v>
      </c>
    </row>
    <row r="15" spans="1:4" x14ac:dyDescent="0.2">
      <c r="A15" s="10">
        <v>10</v>
      </c>
      <c r="B15" s="11">
        <v>-77458</v>
      </c>
      <c r="C15" s="11">
        <v>-79752</v>
      </c>
      <c r="D15" s="25">
        <f t="shared" si="0"/>
        <v>-2294</v>
      </c>
    </row>
    <row r="16" spans="1:4" x14ac:dyDescent="0.2">
      <c r="A16" s="10">
        <v>11</v>
      </c>
      <c r="B16" s="11">
        <v>-77550</v>
      </c>
      <c r="C16" s="11">
        <v>-79499</v>
      </c>
      <c r="D16" s="25">
        <f t="shared" si="0"/>
        <v>-1949</v>
      </c>
    </row>
    <row r="17" spans="1:4" x14ac:dyDescent="0.2">
      <c r="A17" s="10">
        <v>12</v>
      </c>
      <c r="B17" s="11">
        <v>-79020</v>
      </c>
      <c r="C17" s="11">
        <v>-79795</v>
      </c>
      <c r="D17" s="25">
        <f t="shared" si="0"/>
        <v>-775</v>
      </c>
    </row>
    <row r="18" spans="1:4" x14ac:dyDescent="0.2">
      <c r="A18" s="10">
        <v>13</v>
      </c>
      <c r="B18" s="11">
        <v>-81735</v>
      </c>
      <c r="C18" s="11">
        <v>-80070</v>
      </c>
      <c r="D18" s="25">
        <f t="shared" si="0"/>
        <v>1665</v>
      </c>
    </row>
    <row r="19" spans="1:4" x14ac:dyDescent="0.2">
      <c r="A19" s="10">
        <v>14</v>
      </c>
      <c r="B19" s="11">
        <v>-83487</v>
      </c>
      <c r="C19" s="11">
        <v>-80300</v>
      </c>
      <c r="D19" s="25">
        <f t="shared" si="0"/>
        <v>3187</v>
      </c>
    </row>
    <row r="20" spans="1:4" x14ac:dyDescent="0.2">
      <c r="A20" s="10">
        <v>15</v>
      </c>
      <c r="B20" s="11">
        <v>-61528</v>
      </c>
      <c r="C20" s="11">
        <v>-59563</v>
      </c>
      <c r="D20" s="25">
        <f t="shared" si="0"/>
        <v>1965</v>
      </c>
    </row>
    <row r="21" spans="1:4" x14ac:dyDescent="0.2">
      <c r="A21" s="10">
        <v>16</v>
      </c>
      <c r="B21" s="11">
        <v>-41521</v>
      </c>
      <c r="C21" s="11">
        <v>-50000</v>
      </c>
      <c r="D21" s="25">
        <f t="shared" si="0"/>
        <v>-8479</v>
      </c>
    </row>
    <row r="22" spans="1:4" x14ac:dyDescent="0.2">
      <c r="A22" s="10">
        <v>17</v>
      </c>
      <c r="B22" s="11">
        <v>-42402</v>
      </c>
      <c r="C22" s="11">
        <v>-50000</v>
      </c>
      <c r="D22" s="25">
        <f t="shared" si="0"/>
        <v>-7598</v>
      </c>
    </row>
    <row r="23" spans="1:4" x14ac:dyDescent="0.2">
      <c r="A23" s="10">
        <v>18</v>
      </c>
      <c r="B23" s="11">
        <v>-52322</v>
      </c>
      <c r="C23" s="11">
        <v>-50000</v>
      </c>
      <c r="D23" s="25">
        <f t="shared" si="0"/>
        <v>2322</v>
      </c>
    </row>
    <row r="24" spans="1:4" x14ac:dyDescent="0.2">
      <c r="A24" s="10">
        <v>19</v>
      </c>
      <c r="B24" s="11">
        <v>-79654</v>
      </c>
      <c r="C24" s="11">
        <v>-48847</v>
      </c>
      <c r="D24" s="25">
        <f t="shared" si="0"/>
        <v>30807</v>
      </c>
    </row>
    <row r="25" spans="1:4" x14ac:dyDescent="0.2">
      <c r="A25" s="10">
        <v>20</v>
      </c>
      <c r="B25" s="11">
        <v>-81639</v>
      </c>
      <c r="C25" s="11">
        <v>-60462</v>
      </c>
      <c r="D25" s="25">
        <f t="shared" si="0"/>
        <v>21177</v>
      </c>
    </row>
    <row r="26" spans="1:4" x14ac:dyDescent="0.2">
      <c r="A26" s="10">
        <v>21</v>
      </c>
      <c r="B26" s="11">
        <v>-82328</v>
      </c>
      <c r="C26" s="11">
        <v>-89045</v>
      </c>
      <c r="D26" s="25">
        <f t="shared" si="0"/>
        <v>-6717</v>
      </c>
    </row>
    <row r="27" spans="1:4" x14ac:dyDescent="0.2">
      <c r="A27" s="10">
        <v>22</v>
      </c>
      <c r="B27" s="11">
        <v>-70813</v>
      </c>
      <c r="C27" s="11">
        <v>-65162</v>
      </c>
      <c r="D27" s="25">
        <f t="shared" si="0"/>
        <v>5651</v>
      </c>
    </row>
    <row r="28" spans="1:4" x14ac:dyDescent="0.2">
      <c r="A28" s="10">
        <v>23</v>
      </c>
      <c r="B28" s="11">
        <v>-69354</v>
      </c>
      <c r="C28" s="11">
        <v>-83170</v>
      </c>
      <c r="D28" s="25">
        <f t="shared" si="0"/>
        <v>-13816</v>
      </c>
    </row>
    <row r="29" spans="1:4" x14ac:dyDescent="0.2">
      <c r="A29" s="10">
        <v>24</v>
      </c>
      <c r="B29" s="11">
        <v>-40965</v>
      </c>
      <c r="C29" s="11">
        <v>-43257</v>
      </c>
      <c r="D29" s="25">
        <f t="shared" si="0"/>
        <v>-2292</v>
      </c>
    </row>
    <row r="30" spans="1:4" x14ac:dyDescent="0.2">
      <c r="A30" s="10">
        <v>25</v>
      </c>
      <c r="B30" s="11">
        <v>-40926</v>
      </c>
      <c r="C30" s="11">
        <v>-38167</v>
      </c>
      <c r="D30" s="25">
        <f t="shared" si="0"/>
        <v>2759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-1645563</v>
      </c>
      <c r="C37" s="11">
        <f>SUM(C6:C36)</f>
        <v>-1623386</v>
      </c>
      <c r="D37" s="25">
        <f>SUM(D6:D36)</f>
        <v>22177</v>
      </c>
    </row>
    <row r="38" spans="1:4" x14ac:dyDescent="0.2">
      <c r="A38" s="26"/>
      <c r="C38" s="14"/>
      <c r="D38" s="345">
        <f>+summary!H4</f>
        <v>2.84</v>
      </c>
    </row>
    <row r="39" spans="1:4" x14ac:dyDescent="0.2">
      <c r="D39" s="138">
        <f>+D38*D37</f>
        <v>62982.68</v>
      </c>
    </row>
    <row r="40" spans="1:4" x14ac:dyDescent="0.2">
      <c r="A40" s="57">
        <v>37103</v>
      </c>
      <c r="C40" s="15"/>
      <c r="D40" s="457">
        <v>21736.76</v>
      </c>
    </row>
    <row r="41" spans="1:4" x14ac:dyDescent="0.2">
      <c r="A41" s="57">
        <v>37128</v>
      </c>
      <c r="C41" s="48"/>
      <c r="D41" s="138">
        <f>+D40+D39</f>
        <v>84719.44</v>
      </c>
    </row>
    <row r="44" spans="1:4" x14ac:dyDescent="0.2">
      <c r="A44" s="32" t="s">
        <v>157</v>
      </c>
      <c r="B44" s="32"/>
      <c r="C44" s="32"/>
      <c r="D44" s="32"/>
    </row>
    <row r="45" spans="1:4" x14ac:dyDescent="0.2">
      <c r="A45" s="49">
        <f>+A40</f>
        <v>37103</v>
      </c>
      <c r="B45" s="32"/>
      <c r="C45" s="32"/>
      <c r="D45" s="212">
        <f>117315-4335-4130</f>
        <v>108850</v>
      </c>
    </row>
    <row r="46" spans="1:4" x14ac:dyDescent="0.2">
      <c r="A46" s="49">
        <f>+A41</f>
        <v>37128</v>
      </c>
      <c r="B46" s="32"/>
      <c r="C46" s="32"/>
      <c r="D46" s="379">
        <f>+D37</f>
        <v>22177</v>
      </c>
    </row>
    <row r="47" spans="1:4" x14ac:dyDescent="0.2">
      <c r="A47" s="32"/>
      <c r="B47" s="32"/>
      <c r="C47" s="32"/>
      <c r="D47" s="14">
        <f>+D46+D45</f>
        <v>131027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topLeftCell="A21" workbookViewId="3">
      <selection activeCell="C31" sqref="C31"/>
    </sheetView>
  </sheetViews>
  <sheetFormatPr defaultRowHeight="12.75" x14ac:dyDescent="0.2"/>
  <sheetData>
    <row r="3" spans="1:4" ht="15" x14ac:dyDescent="0.25">
      <c r="A3" s="134"/>
      <c r="B3" s="34" t="s">
        <v>133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32539</v>
      </c>
      <c r="C6" s="11">
        <v>31400</v>
      </c>
      <c r="D6" s="25">
        <f>+C6-B6</f>
        <v>-1139</v>
      </c>
    </row>
    <row r="7" spans="1:4" x14ac:dyDescent="0.2">
      <c r="A7" s="10">
        <v>2</v>
      </c>
      <c r="B7" s="11">
        <v>32516</v>
      </c>
      <c r="C7" s="11">
        <v>31400</v>
      </c>
      <c r="D7" s="25">
        <f t="shared" ref="D7:D36" si="0">+C7-B7</f>
        <v>-1116</v>
      </c>
    </row>
    <row r="8" spans="1:4" x14ac:dyDescent="0.2">
      <c r="A8" s="10">
        <v>3</v>
      </c>
      <c r="B8" s="11">
        <v>39547</v>
      </c>
      <c r="C8" s="11">
        <v>36521</v>
      </c>
      <c r="D8" s="25">
        <f t="shared" si="0"/>
        <v>-3026</v>
      </c>
    </row>
    <row r="9" spans="1:4" x14ac:dyDescent="0.2">
      <c r="A9" s="10">
        <v>4</v>
      </c>
      <c r="B9" s="11">
        <v>37821</v>
      </c>
      <c r="C9" s="11">
        <v>33628</v>
      </c>
      <c r="D9" s="25">
        <f t="shared" si="0"/>
        <v>-4193</v>
      </c>
    </row>
    <row r="10" spans="1:4" x14ac:dyDescent="0.2">
      <c r="A10" s="10">
        <v>5</v>
      </c>
      <c r="B10" s="11">
        <v>35429</v>
      </c>
      <c r="C10" s="11">
        <v>38484</v>
      </c>
      <c r="D10" s="25">
        <f t="shared" si="0"/>
        <v>3055</v>
      </c>
    </row>
    <row r="11" spans="1:4" x14ac:dyDescent="0.2">
      <c r="A11" s="10">
        <v>6</v>
      </c>
      <c r="B11" s="129">
        <v>39523</v>
      </c>
      <c r="C11" s="11">
        <v>38484</v>
      </c>
      <c r="D11" s="25">
        <f t="shared" si="0"/>
        <v>-1039</v>
      </c>
    </row>
    <row r="12" spans="1:4" x14ac:dyDescent="0.2">
      <c r="A12" s="10">
        <v>7</v>
      </c>
      <c r="B12" s="129">
        <v>40822</v>
      </c>
      <c r="C12" s="11">
        <v>38500</v>
      </c>
      <c r="D12" s="25">
        <f t="shared" si="0"/>
        <v>-2322</v>
      </c>
    </row>
    <row r="13" spans="1:4" x14ac:dyDescent="0.2">
      <c r="A13" s="10">
        <v>8</v>
      </c>
      <c r="B13" s="129">
        <v>41242</v>
      </c>
      <c r="C13" s="11">
        <v>38499</v>
      </c>
      <c r="D13" s="25">
        <f t="shared" si="0"/>
        <v>-2743</v>
      </c>
    </row>
    <row r="14" spans="1:4" x14ac:dyDescent="0.2">
      <c r="A14" s="10">
        <v>9</v>
      </c>
      <c r="B14" s="129">
        <v>39629</v>
      </c>
      <c r="C14" s="11">
        <v>37100</v>
      </c>
      <c r="D14" s="25">
        <f t="shared" si="0"/>
        <v>-2529</v>
      </c>
    </row>
    <row r="15" spans="1:4" x14ac:dyDescent="0.2">
      <c r="A15" s="10">
        <v>10</v>
      </c>
      <c r="B15" s="129">
        <v>39802</v>
      </c>
      <c r="C15" s="11">
        <v>37879</v>
      </c>
      <c r="D15" s="25">
        <f t="shared" si="0"/>
        <v>-1923</v>
      </c>
    </row>
    <row r="16" spans="1:4" x14ac:dyDescent="0.2">
      <c r="A16" s="10">
        <v>11</v>
      </c>
      <c r="B16" s="129">
        <v>39852</v>
      </c>
      <c r="C16" s="11">
        <v>38499</v>
      </c>
      <c r="D16" s="25">
        <f t="shared" si="0"/>
        <v>-1353</v>
      </c>
    </row>
    <row r="17" spans="1:4" x14ac:dyDescent="0.2">
      <c r="A17" s="10">
        <v>12</v>
      </c>
      <c r="B17" s="129">
        <v>18864</v>
      </c>
      <c r="C17" s="11">
        <v>24382</v>
      </c>
      <c r="D17" s="25">
        <f t="shared" si="0"/>
        <v>5518</v>
      </c>
    </row>
    <row r="18" spans="1:4" x14ac:dyDescent="0.2">
      <c r="A18" s="10">
        <v>13</v>
      </c>
      <c r="B18" s="129">
        <v>34489</v>
      </c>
      <c r="C18" s="11">
        <v>35457</v>
      </c>
      <c r="D18" s="25">
        <f t="shared" si="0"/>
        <v>968</v>
      </c>
    </row>
    <row r="19" spans="1:4" x14ac:dyDescent="0.2">
      <c r="A19" s="10">
        <v>14</v>
      </c>
      <c r="B19" s="129">
        <v>40193</v>
      </c>
      <c r="C19" s="11">
        <v>39600</v>
      </c>
      <c r="D19" s="25">
        <f t="shared" si="0"/>
        <v>-593</v>
      </c>
    </row>
    <row r="20" spans="1:4" x14ac:dyDescent="0.2">
      <c r="A20" s="10">
        <v>15</v>
      </c>
      <c r="B20" s="129">
        <v>40662</v>
      </c>
      <c r="C20" s="11">
        <v>38879</v>
      </c>
      <c r="D20" s="25">
        <f t="shared" si="0"/>
        <v>-1783</v>
      </c>
    </row>
    <row r="21" spans="1:4" x14ac:dyDescent="0.2">
      <c r="A21" s="10">
        <v>16</v>
      </c>
      <c r="B21" s="11">
        <v>38470</v>
      </c>
      <c r="C21" s="11">
        <v>39600</v>
      </c>
      <c r="D21" s="25">
        <f t="shared" si="0"/>
        <v>1130</v>
      </c>
    </row>
    <row r="22" spans="1:4" x14ac:dyDescent="0.2">
      <c r="A22" s="10">
        <v>17</v>
      </c>
      <c r="B22" s="11">
        <v>40314</v>
      </c>
      <c r="C22" s="11">
        <v>39600</v>
      </c>
      <c r="D22" s="25">
        <f t="shared" si="0"/>
        <v>-714</v>
      </c>
    </row>
    <row r="23" spans="1:4" x14ac:dyDescent="0.2">
      <c r="A23" s="10">
        <v>18</v>
      </c>
      <c r="B23" s="11">
        <v>40863</v>
      </c>
      <c r="C23" s="11">
        <v>39600</v>
      </c>
      <c r="D23" s="25">
        <f t="shared" si="0"/>
        <v>-1263</v>
      </c>
    </row>
    <row r="24" spans="1:4" x14ac:dyDescent="0.2">
      <c r="A24" s="10">
        <v>19</v>
      </c>
      <c r="B24" s="11">
        <v>39065</v>
      </c>
      <c r="C24" s="11">
        <v>39600</v>
      </c>
      <c r="D24" s="25">
        <f t="shared" si="0"/>
        <v>535</v>
      </c>
    </row>
    <row r="25" spans="1:4" x14ac:dyDescent="0.2">
      <c r="A25" s="10">
        <v>20</v>
      </c>
      <c r="B25" s="11">
        <v>40407</v>
      </c>
      <c r="C25" s="11">
        <v>39600</v>
      </c>
      <c r="D25" s="25">
        <f t="shared" si="0"/>
        <v>-807</v>
      </c>
    </row>
    <row r="26" spans="1:4" x14ac:dyDescent="0.2">
      <c r="A26" s="10">
        <v>21</v>
      </c>
      <c r="B26" s="11">
        <v>42088</v>
      </c>
      <c r="C26" s="11">
        <v>36760</v>
      </c>
      <c r="D26" s="25">
        <f t="shared" si="0"/>
        <v>-5328</v>
      </c>
    </row>
    <row r="27" spans="1:4" x14ac:dyDescent="0.2">
      <c r="A27" s="10">
        <v>22</v>
      </c>
      <c r="B27" s="11">
        <v>41031</v>
      </c>
      <c r="C27" s="11">
        <v>35000</v>
      </c>
      <c r="D27" s="25">
        <f t="shared" si="0"/>
        <v>-6031</v>
      </c>
    </row>
    <row r="28" spans="1:4" x14ac:dyDescent="0.2">
      <c r="A28" s="10">
        <v>23</v>
      </c>
      <c r="B28" s="11">
        <v>40034</v>
      </c>
      <c r="C28" s="11">
        <v>35000</v>
      </c>
      <c r="D28" s="25">
        <f t="shared" si="0"/>
        <v>-5034</v>
      </c>
    </row>
    <row r="29" spans="1:4" x14ac:dyDescent="0.2">
      <c r="A29" s="10">
        <v>24</v>
      </c>
      <c r="B29" s="11">
        <v>41568</v>
      </c>
      <c r="C29" s="11">
        <v>35000</v>
      </c>
      <c r="D29" s="25">
        <f t="shared" si="0"/>
        <v>-6568</v>
      </c>
    </row>
    <row r="30" spans="1:4" x14ac:dyDescent="0.2">
      <c r="A30" s="10">
        <v>25</v>
      </c>
      <c r="B30" s="11">
        <v>31257</v>
      </c>
      <c r="C30" s="11">
        <v>37000</v>
      </c>
      <c r="D30" s="25">
        <f t="shared" si="0"/>
        <v>5743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948027</v>
      </c>
      <c r="C37" s="11">
        <f>SUM(C6:C36)</f>
        <v>915472</v>
      </c>
      <c r="D37" s="25">
        <f>SUM(D6:D36)</f>
        <v>-32555</v>
      </c>
    </row>
    <row r="38" spans="1:4" x14ac:dyDescent="0.2">
      <c r="A38" s="26"/>
      <c r="C38" s="14"/>
      <c r="D38" s="345">
        <f>+summary!H5</f>
        <v>2.93</v>
      </c>
    </row>
    <row r="39" spans="1:4" x14ac:dyDescent="0.2">
      <c r="D39" s="138">
        <f>+D38*D37</f>
        <v>-95386.150000000009</v>
      </c>
    </row>
    <row r="40" spans="1:4" x14ac:dyDescent="0.2">
      <c r="A40" s="57">
        <v>37103</v>
      </c>
      <c r="C40" s="15"/>
      <c r="D40" s="359">
        <v>-38120.6</v>
      </c>
    </row>
    <row r="41" spans="1:4" x14ac:dyDescent="0.2">
      <c r="A41" s="57">
        <v>37128</v>
      </c>
      <c r="C41" s="48"/>
      <c r="D41" s="138">
        <f>+D40+D39</f>
        <v>-133506.75</v>
      </c>
    </row>
    <row r="44" spans="1:4" x14ac:dyDescent="0.2">
      <c r="A44" s="32" t="s">
        <v>157</v>
      </c>
      <c r="B44" s="32"/>
      <c r="C44" s="32"/>
      <c r="D44" s="32"/>
    </row>
    <row r="45" spans="1:4" x14ac:dyDescent="0.2">
      <c r="A45" s="49">
        <f>+A40</f>
        <v>37103</v>
      </c>
      <c r="B45" s="32"/>
      <c r="C45" s="32"/>
      <c r="D45" s="212">
        <v>-2104</v>
      </c>
    </row>
    <row r="46" spans="1:4" x14ac:dyDescent="0.2">
      <c r="A46" s="49">
        <f>+A41</f>
        <v>37128</v>
      </c>
      <c r="B46" s="32"/>
      <c r="C46" s="32"/>
      <c r="D46" s="379">
        <f>+D37</f>
        <v>-32555</v>
      </c>
    </row>
    <row r="47" spans="1:4" x14ac:dyDescent="0.2">
      <c r="A47" s="32"/>
      <c r="B47" s="32"/>
      <c r="C47" s="32"/>
      <c r="D47" s="14">
        <f>+D46+D45</f>
        <v>-34659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topLeftCell="A2" workbookViewId="1">
      <selection activeCell="G11" sqref="G11"/>
    </sheetView>
    <sheetView topLeftCell="A26" workbookViewId="2">
      <selection activeCell="J38" sqref="J38"/>
    </sheetView>
    <sheetView topLeftCell="A21" workbookViewId="3">
      <selection activeCell="E29" sqref="E29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  <col min="14" max="14" width="9.85546875" bestFit="1" customWidth="1"/>
    <col min="15" max="15" width="12" bestFit="1" customWidth="1"/>
    <col min="16" max="16" width="10.7109375" style="267" bestFit="1" customWidth="1"/>
    <col min="17" max="17" width="8" style="462" bestFit="1" customWidth="1"/>
    <col min="18" max="18" width="11.42578125" style="267" bestFit="1" customWidth="1"/>
  </cols>
  <sheetData>
    <row r="1" spans="1:35" x14ac:dyDescent="0.2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90"/>
      <c r="R2" s="15"/>
      <c r="S2" s="32"/>
      <c r="T2" s="32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61"/>
      <c r="N3" s="2"/>
      <c r="O3" s="2"/>
      <c r="P3" s="104"/>
      <c r="Q3" s="143" t="s">
        <v>59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320046</v>
      </c>
      <c r="C4" s="11">
        <v>326630</v>
      </c>
      <c r="D4" s="11">
        <v>68213</v>
      </c>
      <c r="E4" s="11">
        <v>62006</v>
      </c>
      <c r="F4" s="11">
        <v>60282</v>
      </c>
      <c r="G4" s="11">
        <v>67308</v>
      </c>
      <c r="H4" s="11">
        <v>134575</v>
      </c>
      <c r="I4" s="11">
        <v>120400</v>
      </c>
      <c r="J4" s="11">
        <f t="shared" ref="J4:J34" si="0">+C4+E4+G4+I4-H4-F4-D4-B4</f>
        <v>-6772</v>
      </c>
      <c r="M4" s="461" t="s">
        <v>40</v>
      </c>
      <c r="N4" s="4" t="s">
        <v>20</v>
      </c>
      <c r="O4" s="4" t="s">
        <v>21</v>
      </c>
      <c r="P4" s="459" t="s">
        <v>51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322443</v>
      </c>
      <c r="C5" s="11">
        <v>342258</v>
      </c>
      <c r="D5" s="11">
        <v>80613</v>
      </c>
      <c r="E5" s="11">
        <v>62006</v>
      </c>
      <c r="F5" s="11">
        <v>65523</v>
      </c>
      <c r="G5" s="11">
        <v>61458</v>
      </c>
      <c r="H5" s="11">
        <v>114858</v>
      </c>
      <c r="I5" s="11">
        <v>123670</v>
      </c>
      <c r="J5" s="11">
        <f t="shared" si="0"/>
        <v>5955</v>
      </c>
      <c r="M5" s="461"/>
      <c r="N5" s="14"/>
      <c r="O5" s="14"/>
      <c r="P5" s="14">
        <f t="shared" ref="P5:P13" si="1">+O5-N5</f>
        <v>0</v>
      </c>
      <c r="Q5" s="390"/>
      <c r="R5" s="75">
        <f t="shared" ref="R5:R13" si="2">+Q5*P5</f>
        <v>0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339003</v>
      </c>
      <c r="C6" s="11">
        <v>356730</v>
      </c>
      <c r="D6" s="11">
        <v>65345</v>
      </c>
      <c r="E6" s="11">
        <v>62006</v>
      </c>
      <c r="F6" s="11">
        <v>62518</v>
      </c>
      <c r="G6" s="11">
        <v>57038</v>
      </c>
      <c r="H6" s="11">
        <v>133408</v>
      </c>
      <c r="I6" s="11">
        <v>135294</v>
      </c>
      <c r="J6" s="11">
        <f t="shared" si="0"/>
        <v>10794</v>
      </c>
      <c r="M6" s="461">
        <v>36861</v>
      </c>
      <c r="N6" s="24">
        <v>19698194</v>
      </c>
      <c r="O6" s="24">
        <v>19662410</v>
      </c>
      <c r="P6" s="14">
        <f t="shared" si="1"/>
        <v>-35784</v>
      </c>
      <c r="Q6" s="390">
        <v>7.95</v>
      </c>
      <c r="R6" s="75">
        <f t="shared" si="2"/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330189</v>
      </c>
      <c r="C7" s="11">
        <v>334992</v>
      </c>
      <c r="D7" s="11">
        <v>71515</v>
      </c>
      <c r="E7" s="11">
        <v>62006</v>
      </c>
      <c r="F7" s="11">
        <v>68003</v>
      </c>
      <c r="G7" s="11">
        <v>60854</v>
      </c>
      <c r="H7" s="11">
        <v>121528</v>
      </c>
      <c r="I7" s="11">
        <v>122443</v>
      </c>
      <c r="J7" s="11">
        <f t="shared" si="0"/>
        <v>-10940</v>
      </c>
      <c r="M7" s="461">
        <v>36892</v>
      </c>
      <c r="N7" s="24">
        <v>18949781</v>
      </c>
      <c r="O7" s="14">
        <v>18975457</v>
      </c>
      <c r="P7" s="14">
        <f t="shared" si="1"/>
        <v>25676</v>
      </c>
      <c r="Q7" s="390">
        <v>8.1</v>
      </c>
      <c r="R7" s="75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325424</v>
      </c>
      <c r="C8" s="11">
        <v>357543</v>
      </c>
      <c r="D8" s="129">
        <v>76506</v>
      </c>
      <c r="E8" s="11">
        <v>45334</v>
      </c>
      <c r="F8" s="11">
        <v>60101</v>
      </c>
      <c r="G8" s="11">
        <v>61458</v>
      </c>
      <c r="H8" s="129">
        <v>122124</v>
      </c>
      <c r="I8" s="11">
        <v>116046</v>
      </c>
      <c r="J8" s="11">
        <f t="shared" si="0"/>
        <v>-3774</v>
      </c>
      <c r="M8" s="461">
        <v>36923</v>
      </c>
      <c r="N8" s="24">
        <v>15193330</v>
      </c>
      <c r="O8" s="14">
        <v>15256233</v>
      </c>
      <c r="P8" s="14">
        <f t="shared" si="1"/>
        <v>62903</v>
      </c>
      <c r="Q8" s="390">
        <v>5.61</v>
      </c>
      <c r="R8" s="75">
        <f t="shared" si="2"/>
        <v>352885.83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338716</v>
      </c>
      <c r="C9" s="11">
        <v>363512</v>
      </c>
      <c r="D9" s="11">
        <v>73883</v>
      </c>
      <c r="E9" s="11">
        <v>62006</v>
      </c>
      <c r="F9" s="11">
        <v>63277</v>
      </c>
      <c r="G9" s="11">
        <v>61458</v>
      </c>
      <c r="H9" s="11">
        <v>128438</v>
      </c>
      <c r="I9" s="11">
        <v>126142</v>
      </c>
      <c r="J9" s="11">
        <f t="shared" si="0"/>
        <v>8804</v>
      </c>
      <c r="M9" s="461">
        <v>36951</v>
      </c>
      <c r="N9" s="24">
        <v>17049350</v>
      </c>
      <c r="O9" s="14">
        <v>17089226</v>
      </c>
      <c r="P9" s="14">
        <f t="shared" si="1"/>
        <v>39876</v>
      </c>
      <c r="Q9" s="390">
        <v>4.87</v>
      </c>
      <c r="R9" s="75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307409</v>
      </c>
      <c r="C10" s="11">
        <v>329009</v>
      </c>
      <c r="D10" s="129">
        <v>81561</v>
      </c>
      <c r="E10" s="11">
        <v>62006</v>
      </c>
      <c r="F10" s="129">
        <v>61385</v>
      </c>
      <c r="G10" s="11">
        <v>66177</v>
      </c>
      <c r="H10" s="129">
        <v>128949</v>
      </c>
      <c r="I10" s="11">
        <v>116696</v>
      </c>
      <c r="J10" s="11">
        <f t="shared" si="0"/>
        <v>-5416</v>
      </c>
      <c r="M10" s="461">
        <v>36982</v>
      </c>
      <c r="N10" s="24">
        <v>17652369</v>
      </c>
      <c r="O10" s="14">
        <v>17743987</v>
      </c>
      <c r="P10" s="14">
        <f t="shared" si="1"/>
        <v>91618</v>
      </c>
      <c r="Q10" s="390">
        <v>4.62</v>
      </c>
      <c r="R10" s="75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335665</v>
      </c>
      <c r="C11" s="11">
        <v>339813</v>
      </c>
      <c r="D11" s="11">
        <v>69904</v>
      </c>
      <c r="E11" s="11">
        <v>62006</v>
      </c>
      <c r="F11" s="11">
        <v>64156</v>
      </c>
      <c r="G11" s="11">
        <v>66309</v>
      </c>
      <c r="H11" s="11">
        <v>123188</v>
      </c>
      <c r="I11" s="11">
        <v>131814</v>
      </c>
      <c r="J11" s="11">
        <f t="shared" si="0"/>
        <v>7029</v>
      </c>
      <c r="M11" s="461">
        <v>37012</v>
      </c>
      <c r="N11" s="24">
        <v>16124989</v>
      </c>
      <c r="O11" s="14">
        <v>16282021</v>
      </c>
      <c r="P11" s="14">
        <f t="shared" si="1"/>
        <v>157032</v>
      </c>
      <c r="Q11" s="390">
        <v>3.44</v>
      </c>
      <c r="R11" s="75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339468</v>
      </c>
      <c r="C12" s="11">
        <v>343257</v>
      </c>
      <c r="D12" s="11">
        <v>62256</v>
      </c>
      <c r="E12" s="11">
        <v>62006</v>
      </c>
      <c r="F12" s="11">
        <v>68558</v>
      </c>
      <c r="G12" s="11">
        <v>62714</v>
      </c>
      <c r="H12" s="11">
        <v>133641</v>
      </c>
      <c r="I12" s="11">
        <v>126893</v>
      </c>
      <c r="J12" s="11">
        <f t="shared" si="0"/>
        <v>-9053</v>
      </c>
      <c r="M12" s="461">
        <v>37043</v>
      </c>
      <c r="N12" s="24">
        <v>15928675</v>
      </c>
      <c r="O12" s="14">
        <v>15936227</v>
      </c>
      <c r="P12" s="14">
        <f t="shared" si="1"/>
        <v>7552</v>
      </c>
      <c r="Q12" s="390">
        <v>2.4500000000000002</v>
      </c>
      <c r="R12" s="75">
        <f t="shared" si="2"/>
        <v>18502.400000000001</v>
      </c>
      <c r="S12" s="21"/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325004</v>
      </c>
      <c r="C13" s="11">
        <v>326102</v>
      </c>
      <c r="D13" s="129">
        <v>61460</v>
      </c>
      <c r="E13" s="11">
        <v>62006</v>
      </c>
      <c r="F13" s="129">
        <v>56382</v>
      </c>
      <c r="G13" s="11">
        <v>53686</v>
      </c>
      <c r="H13" s="129">
        <v>141587</v>
      </c>
      <c r="I13" s="11">
        <v>135180</v>
      </c>
      <c r="J13" s="11">
        <f t="shared" si="0"/>
        <v>-7459</v>
      </c>
      <c r="M13" s="461">
        <v>37073</v>
      </c>
      <c r="N13" s="24">
        <v>16669639</v>
      </c>
      <c r="O13" s="14">
        <v>16693576</v>
      </c>
      <c r="P13" s="14">
        <f t="shared" si="1"/>
        <v>23937</v>
      </c>
      <c r="Q13" s="390">
        <v>2.4500000000000002</v>
      </c>
      <c r="R13" s="75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348691</v>
      </c>
      <c r="C14" s="11">
        <v>329322</v>
      </c>
      <c r="D14" s="11">
        <v>39888</v>
      </c>
      <c r="E14" s="11">
        <v>62006</v>
      </c>
      <c r="F14" s="11">
        <v>62036</v>
      </c>
      <c r="G14" s="11">
        <v>61116</v>
      </c>
      <c r="H14" s="11">
        <v>154963</v>
      </c>
      <c r="I14" s="11">
        <v>154094</v>
      </c>
      <c r="J14" s="11">
        <f t="shared" si="0"/>
        <v>960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343074</v>
      </c>
      <c r="C15" s="11">
        <v>331485</v>
      </c>
      <c r="D15" s="11">
        <v>41056</v>
      </c>
      <c r="E15" s="11">
        <v>62006</v>
      </c>
      <c r="F15" s="11">
        <v>63625</v>
      </c>
      <c r="G15" s="11">
        <v>61306</v>
      </c>
      <c r="H15" s="11">
        <v>145898</v>
      </c>
      <c r="I15" s="11">
        <v>141767</v>
      </c>
      <c r="J15" s="11">
        <f t="shared" si="0"/>
        <v>2911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329776</v>
      </c>
      <c r="C16" s="11">
        <v>327012</v>
      </c>
      <c r="D16" s="11">
        <v>46642</v>
      </c>
      <c r="E16" s="11">
        <v>59179</v>
      </c>
      <c r="F16" s="11">
        <v>62952</v>
      </c>
      <c r="G16" s="11">
        <v>61308</v>
      </c>
      <c r="H16" s="11">
        <v>138478</v>
      </c>
      <c r="I16" s="11">
        <v>126232</v>
      </c>
      <c r="J16" s="11">
        <f t="shared" si="0"/>
        <v>-4117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326625</v>
      </c>
      <c r="C17" s="11">
        <v>336221</v>
      </c>
      <c r="D17" s="11">
        <v>37103</v>
      </c>
      <c r="E17" s="11">
        <v>26877</v>
      </c>
      <c r="F17" s="11">
        <v>56806</v>
      </c>
      <c r="G17" s="11">
        <v>58064</v>
      </c>
      <c r="H17" s="11">
        <v>133830</v>
      </c>
      <c r="I17" s="11">
        <v>131396</v>
      </c>
      <c r="J17" s="11">
        <f t="shared" si="0"/>
        <v>-1806</v>
      </c>
      <c r="M17" s="461"/>
      <c r="N17" s="24"/>
      <c r="O17" s="14"/>
      <c r="P17" s="14">
        <f>+O17-N17</f>
        <v>0</v>
      </c>
      <c r="Q17" s="390"/>
      <c r="R17" s="75">
        <f>+Q17*P17</f>
        <v>0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336681</v>
      </c>
      <c r="C18" s="11">
        <v>332244</v>
      </c>
      <c r="D18" s="11">
        <v>61849</v>
      </c>
      <c r="E18" s="11">
        <v>62006</v>
      </c>
      <c r="F18" s="11">
        <v>56541</v>
      </c>
      <c r="G18" s="11">
        <v>57130</v>
      </c>
      <c r="H18" s="11">
        <v>149355</v>
      </c>
      <c r="I18" s="11">
        <v>149369</v>
      </c>
      <c r="J18" s="11">
        <f t="shared" si="0"/>
        <v>-3677</v>
      </c>
      <c r="M18" s="461"/>
      <c r="N18" s="24"/>
      <c r="O18" s="14"/>
      <c r="P18" s="14"/>
      <c r="Q18" s="390"/>
      <c r="R18" s="110"/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330403</v>
      </c>
      <c r="C19" s="11">
        <v>330339</v>
      </c>
      <c r="D19" s="11">
        <v>63183</v>
      </c>
      <c r="E19" s="11">
        <v>62006</v>
      </c>
      <c r="F19" s="11">
        <v>56691</v>
      </c>
      <c r="G19" s="11">
        <v>58312</v>
      </c>
      <c r="H19" s="11">
        <v>153223</v>
      </c>
      <c r="I19" s="11">
        <v>151210</v>
      </c>
      <c r="J19" s="11">
        <f t="shared" si="0"/>
        <v>-1633</v>
      </c>
      <c r="M19" s="461"/>
      <c r="N19" s="14"/>
      <c r="O19" s="14"/>
      <c r="P19" s="14"/>
      <c r="Q19" s="390"/>
      <c r="R19" s="15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334818</v>
      </c>
      <c r="C20" s="11">
        <v>346212</v>
      </c>
      <c r="D20" s="11">
        <v>81572</v>
      </c>
      <c r="E20" s="11">
        <v>62006</v>
      </c>
      <c r="F20" s="11">
        <v>63376</v>
      </c>
      <c r="G20" s="11">
        <v>65126</v>
      </c>
      <c r="H20" s="11">
        <v>135420</v>
      </c>
      <c r="I20" s="11">
        <v>142145</v>
      </c>
      <c r="J20" s="11">
        <f t="shared" si="0"/>
        <v>303</v>
      </c>
      <c r="M20" s="461"/>
      <c r="N20" s="14"/>
      <c r="O20" s="14"/>
      <c r="P20" s="15"/>
      <c r="Q20" s="390"/>
      <c r="R20" s="15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366455</v>
      </c>
      <c r="C21" s="11">
        <v>357416</v>
      </c>
      <c r="D21" s="11">
        <v>64878</v>
      </c>
      <c r="E21" s="11">
        <v>62006</v>
      </c>
      <c r="F21" s="11">
        <v>59007</v>
      </c>
      <c r="G21" s="11">
        <v>58705</v>
      </c>
      <c r="H21" s="11">
        <v>125144</v>
      </c>
      <c r="I21" s="11">
        <v>131878</v>
      </c>
      <c r="J21" s="11">
        <f t="shared" si="0"/>
        <v>-5479</v>
      </c>
      <c r="M21" s="461"/>
      <c r="N21" s="24"/>
      <c r="O21" s="24"/>
      <c r="P21" s="110"/>
      <c r="Q21" s="463"/>
      <c r="R21" s="110"/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297258</v>
      </c>
      <c r="C22" s="11">
        <v>320201</v>
      </c>
      <c r="D22" s="11">
        <v>63849</v>
      </c>
      <c r="E22" s="11">
        <v>62006</v>
      </c>
      <c r="F22" s="11">
        <v>57721</v>
      </c>
      <c r="G22" s="11">
        <v>60383</v>
      </c>
      <c r="H22" s="11">
        <v>126422</v>
      </c>
      <c r="I22" s="11">
        <v>129766</v>
      </c>
      <c r="J22" s="11">
        <f t="shared" si="0"/>
        <v>27106</v>
      </c>
      <c r="M22" s="32"/>
      <c r="N22" s="24"/>
      <c r="O22" s="24"/>
      <c r="P22" s="24">
        <f>SUM(P5:P21)</f>
        <v>372810</v>
      </c>
      <c r="Q22" s="463"/>
      <c r="R22" s="110">
        <f>SUM(R5:R21)</f>
        <v>1511188.0399999998</v>
      </c>
      <c r="S22" s="21"/>
      <c r="T22" s="104"/>
      <c r="U22" s="16"/>
      <c r="V22" s="15"/>
      <c r="W22" s="13"/>
    </row>
    <row r="23" spans="1:35" x14ac:dyDescent="0.2">
      <c r="A23" s="10">
        <v>20</v>
      </c>
      <c r="B23" s="11">
        <v>322632</v>
      </c>
      <c r="C23" s="11">
        <v>322211</v>
      </c>
      <c r="D23" s="11">
        <v>62973</v>
      </c>
      <c r="E23" s="11">
        <v>62006</v>
      </c>
      <c r="F23" s="11">
        <v>57755</v>
      </c>
      <c r="G23" s="11">
        <v>56963</v>
      </c>
      <c r="H23" s="11">
        <v>119641</v>
      </c>
      <c r="I23" s="11">
        <v>119045</v>
      </c>
      <c r="J23" s="11">
        <f t="shared" si="0"/>
        <v>-2776</v>
      </c>
      <c r="M23" s="32"/>
      <c r="N23" s="24"/>
      <c r="O23" s="24"/>
      <c r="P23" s="110"/>
      <c r="Q23" s="463"/>
      <c r="R23" s="110"/>
      <c r="S23" s="21"/>
      <c r="T23" s="104"/>
      <c r="U23" s="16"/>
      <c r="V23" s="15"/>
      <c r="W23" s="13"/>
    </row>
    <row r="24" spans="1:35" x14ac:dyDescent="0.2">
      <c r="A24" s="10">
        <v>21</v>
      </c>
      <c r="B24" s="11">
        <v>338791</v>
      </c>
      <c r="C24" s="11">
        <v>340947</v>
      </c>
      <c r="D24" s="11">
        <v>64404</v>
      </c>
      <c r="E24" s="11">
        <v>60467</v>
      </c>
      <c r="F24" s="11">
        <v>52773</v>
      </c>
      <c r="G24" s="11">
        <v>50154</v>
      </c>
      <c r="H24" s="11">
        <v>128561</v>
      </c>
      <c r="I24" s="11">
        <v>132981</v>
      </c>
      <c r="J24" s="11">
        <f t="shared" si="0"/>
        <v>20</v>
      </c>
      <c r="M24" s="32"/>
      <c r="N24" s="24"/>
      <c r="O24" s="24"/>
      <c r="P24" s="110"/>
      <c r="Q24" s="463"/>
      <c r="R24" s="110"/>
      <c r="S24" s="21"/>
      <c r="T24" s="104"/>
      <c r="U24" s="16"/>
      <c r="V24" s="15"/>
      <c r="W24" s="13"/>
    </row>
    <row r="25" spans="1:35" x14ac:dyDescent="0.2">
      <c r="A25" s="10">
        <v>22</v>
      </c>
      <c r="B25" s="11">
        <v>322113</v>
      </c>
      <c r="C25" s="11">
        <v>321612</v>
      </c>
      <c r="D25" s="11">
        <v>62032</v>
      </c>
      <c r="E25" s="11">
        <v>62005</v>
      </c>
      <c r="F25" s="11">
        <v>59462</v>
      </c>
      <c r="G25" s="11">
        <v>53971</v>
      </c>
      <c r="H25" s="11">
        <v>124463</v>
      </c>
      <c r="I25" s="11">
        <v>122727</v>
      </c>
      <c r="J25" s="11">
        <f t="shared" si="0"/>
        <v>-7755</v>
      </c>
      <c r="M25" s="32"/>
      <c r="N25" s="24"/>
      <c r="O25" s="24"/>
      <c r="P25" s="110"/>
      <c r="Q25" s="463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>
        <v>317312</v>
      </c>
      <c r="C26" s="11">
        <v>313150</v>
      </c>
      <c r="D26" s="11">
        <v>62012</v>
      </c>
      <c r="E26" s="11">
        <v>60837</v>
      </c>
      <c r="F26" s="11">
        <v>54209</v>
      </c>
      <c r="G26" s="11">
        <v>52721</v>
      </c>
      <c r="H26" s="11">
        <v>140828</v>
      </c>
      <c r="I26" s="11">
        <v>137994</v>
      </c>
      <c r="J26" s="11">
        <f t="shared" si="0"/>
        <v>-9659</v>
      </c>
      <c r="M26" s="32"/>
      <c r="N26" s="24"/>
      <c r="O26" s="24"/>
      <c r="P26" s="110"/>
      <c r="Q26" s="463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>
        <v>280757</v>
      </c>
      <c r="C27" s="11">
        <v>274743</v>
      </c>
      <c r="D27" s="11">
        <v>68585</v>
      </c>
      <c r="E27" s="11">
        <v>82867</v>
      </c>
      <c r="F27" s="11">
        <v>51834</v>
      </c>
      <c r="G27" s="11">
        <v>49477</v>
      </c>
      <c r="H27" s="11">
        <v>139939</v>
      </c>
      <c r="I27" s="11">
        <v>138872</v>
      </c>
      <c r="J27" s="11">
        <f t="shared" si="0"/>
        <v>4844</v>
      </c>
      <c r="M27" s="32"/>
      <c r="N27" s="24"/>
      <c r="O27" s="24"/>
      <c r="P27" s="110"/>
      <c r="Q27" s="463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>
        <v>305788</v>
      </c>
      <c r="C28" s="11">
        <v>302147</v>
      </c>
      <c r="D28" s="11">
        <v>64078</v>
      </c>
      <c r="E28" s="11">
        <v>62006</v>
      </c>
      <c r="F28" s="11">
        <v>47855</v>
      </c>
      <c r="G28" s="11">
        <v>55810</v>
      </c>
      <c r="H28" s="11">
        <v>117719</v>
      </c>
      <c r="I28" s="11">
        <v>111618</v>
      </c>
      <c r="J28" s="11">
        <f t="shared" si="0"/>
        <v>-3859</v>
      </c>
      <c r="M28" s="32"/>
      <c r="N28" s="24"/>
      <c r="O28" s="24"/>
      <c r="P28" s="110"/>
      <c r="Q28" s="463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63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63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63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90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90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90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8184541</v>
      </c>
      <c r="C35" s="11">
        <f t="shared" ref="C35:I35" si="3">SUM(C4:C34)</f>
        <v>8305108</v>
      </c>
      <c r="D35" s="11">
        <f t="shared" si="3"/>
        <v>1595360</v>
      </c>
      <c r="E35" s="11">
        <f t="shared" si="3"/>
        <v>1513674</v>
      </c>
      <c r="F35" s="11">
        <f t="shared" si="3"/>
        <v>1492828</v>
      </c>
      <c r="G35" s="11">
        <f t="shared" si="3"/>
        <v>1479006</v>
      </c>
      <c r="H35" s="11">
        <f t="shared" si="3"/>
        <v>3316180</v>
      </c>
      <c r="I35" s="11">
        <f t="shared" si="3"/>
        <v>3275672</v>
      </c>
      <c r="J35" s="11">
        <f>SUM(J4:J34)</f>
        <v>-15449</v>
      </c>
      <c r="M35" s="32"/>
      <c r="N35" s="24"/>
      <c r="O35" s="32"/>
      <c r="P35" s="15"/>
      <c r="Q35" s="390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90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90"/>
      <c r="R37" s="110"/>
      <c r="S37" s="19"/>
      <c r="T37" s="104"/>
      <c r="U37" s="16"/>
      <c r="V37" s="15"/>
      <c r="W37" s="13"/>
    </row>
    <row r="38" spans="1:23" x14ac:dyDescent="0.2">
      <c r="A38" s="56">
        <v>37103</v>
      </c>
      <c r="C38" s="25"/>
      <c r="E38" s="25"/>
      <c r="G38" s="25"/>
      <c r="I38" s="25"/>
      <c r="J38" s="439">
        <v>310268</v>
      </c>
      <c r="M38" s="32"/>
      <c r="N38" s="24"/>
      <c r="O38" s="32"/>
      <c r="P38" s="15"/>
      <c r="Q38" s="390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90"/>
      <c r="R39" s="110"/>
      <c r="S39" s="19"/>
      <c r="T39" s="104"/>
      <c r="U39" s="16"/>
      <c r="V39" s="15"/>
      <c r="W39" s="13"/>
    </row>
    <row r="40" spans="1:23" x14ac:dyDescent="0.2">
      <c r="A40" s="33">
        <v>37128</v>
      </c>
      <c r="J40" s="51">
        <f>+J38+J35</f>
        <v>294819</v>
      </c>
      <c r="M40" s="32"/>
      <c r="N40" s="24"/>
      <c r="O40" s="32"/>
      <c r="P40" s="15"/>
      <c r="Q40" s="390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90"/>
      <c r="R41" s="110"/>
      <c r="S41" s="19"/>
      <c r="T41" s="104"/>
      <c r="U41" s="16"/>
      <c r="V41" s="15"/>
      <c r="W41" s="13"/>
    </row>
    <row r="42" spans="1:23" x14ac:dyDescent="0.2">
      <c r="M42" s="32"/>
      <c r="N42" s="24"/>
      <c r="O42" s="32"/>
      <c r="P42" s="15"/>
      <c r="Q42" s="390"/>
      <c r="R42" s="110"/>
      <c r="S42" s="19"/>
      <c r="T42" s="104"/>
      <c r="U42" s="16"/>
      <c r="V42" s="15"/>
      <c r="W42" s="13"/>
    </row>
    <row r="43" spans="1:23" x14ac:dyDescent="0.2">
      <c r="M43" s="32"/>
      <c r="N43" s="24"/>
      <c r="O43" s="32"/>
      <c r="P43" s="15"/>
      <c r="Q43" s="390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01"/>
      <c r="N44" s="24"/>
      <c r="O44" s="32"/>
      <c r="P44" s="15"/>
      <c r="Q44" s="390"/>
      <c r="R44" s="110"/>
      <c r="S44" s="19"/>
      <c r="T44" s="104"/>
      <c r="U44" s="16"/>
      <c r="V44" s="15"/>
      <c r="W44" s="13"/>
    </row>
    <row r="45" spans="1:23" x14ac:dyDescent="0.2">
      <c r="A45" s="32" t="s">
        <v>158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90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37103</v>
      </c>
      <c r="B46" s="32"/>
      <c r="C46" s="32"/>
      <c r="D46" s="440">
        <v>1379269.57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90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37128</v>
      </c>
      <c r="B47" s="32"/>
      <c r="C47" s="32"/>
      <c r="D47" s="408">
        <f>+J35*'by type'!J3</f>
        <v>-41094.340000000004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90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2">
        <f>+D47+D46</f>
        <v>1338175.23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90"/>
      <c r="R48" s="15"/>
      <c r="S48" s="19"/>
      <c r="T48" s="32"/>
    </row>
    <row r="49" spans="1:20" x14ac:dyDescent="0.2">
      <c r="A49" s="139"/>
      <c r="B49" s="119"/>
      <c r="C49" s="140"/>
      <c r="D49" s="409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90"/>
      <c r="R49" s="15"/>
      <c r="S49" s="32"/>
      <c r="T49" s="32"/>
    </row>
    <row r="50" spans="1:20" x14ac:dyDescent="0.2">
      <c r="A50" s="10"/>
      <c r="B50" s="11"/>
      <c r="C50" s="11"/>
      <c r="D50" s="410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90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90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90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90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90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90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90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90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90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90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90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90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90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90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90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90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90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90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63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63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63"/>
      <c r="R70" s="110"/>
      <c r="S70" s="19"/>
      <c r="T70" s="138"/>
    </row>
    <row r="71" spans="1:20" x14ac:dyDescent="0.2">
      <c r="A71" s="10"/>
      <c r="B71" s="11"/>
      <c r="C71" s="11"/>
      <c r="D71" s="28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63"/>
      <c r="R71" s="110"/>
      <c r="S71" s="19"/>
      <c r="T71" s="138"/>
    </row>
    <row r="72" spans="1:20" x14ac:dyDescent="0.2">
      <c r="A72" s="10"/>
      <c r="B72" s="11"/>
      <c r="C72" s="11"/>
      <c r="D72" s="28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63"/>
      <c r="R72" s="110"/>
      <c r="S72" s="19"/>
      <c r="T72" s="138"/>
    </row>
    <row r="73" spans="1:20" x14ac:dyDescent="0.2">
      <c r="A73" s="10"/>
      <c r="B73" s="11"/>
      <c r="C73" s="11"/>
      <c r="D73" s="28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63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63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63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63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63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63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63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63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63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63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63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63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63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63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63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63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63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90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90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90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90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90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90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90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90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90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90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90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90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90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90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90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90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90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90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90"/>
      <c r="R109" s="15"/>
      <c r="S109" s="32"/>
      <c r="T109" s="32"/>
    </row>
    <row r="110" spans="1:2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64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59"/>
      <c r="Q255" s="143"/>
      <c r="R255" s="459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60"/>
      <c r="Q256" s="465"/>
      <c r="R256" s="460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63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63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63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63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63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63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63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63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63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63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63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63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63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63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63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63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63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63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63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63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63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63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63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63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63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63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63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63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63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63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63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63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64"/>
      <c r="S295" s="1"/>
    </row>
    <row r="296" spans="9:21" x14ac:dyDescent="0.2">
      <c r="K296" s="2"/>
      <c r="M296" s="30"/>
      <c r="N296" s="4"/>
      <c r="O296" s="4"/>
      <c r="P296" s="459"/>
      <c r="Q296" s="143"/>
      <c r="R296" s="459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60"/>
      <c r="Q297" s="465"/>
      <c r="R297" s="460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63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63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63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63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63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63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63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63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63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63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63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63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63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63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63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63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63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63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63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63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63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63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63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63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63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63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63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63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63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63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63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63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64"/>
      <c r="S337" s="1"/>
    </row>
    <row r="338" spans="11:21" x14ac:dyDescent="0.2">
      <c r="K338" s="2"/>
      <c r="M338" s="30"/>
      <c r="N338" s="4"/>
      <c r="O338" s="4"/>
      <c r="P338" s="459"/>
      <c r="Q338" s="143"/>
      <c r="R338" s="459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60"/>
      <c r="Q339" s="465"/>
      <c r="R339" s="460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63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63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63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63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63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63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63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63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63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63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63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63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63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63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63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63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63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63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63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63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63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63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63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63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63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63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63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63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63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63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63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63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64"/>
      <c r="S379" s="1"/>
    </row>
    <row r="380" spans="11:21" x14ac:dyDescent="0.2">
      <c r="K380" s="2"/>
      <c r="M380" s="30"/>
      <c r="N380" s="4"/>
      <c r="O380" s="4"/>
      <c r="P380" s="459"/>
      <c r="Q380" s="143"/>
      <c r="R380" s="459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60"/>
      <c r="Q381" s="465"/>
      <c r="R381" s="460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63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63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63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63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63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63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63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63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63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63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63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63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63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63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63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63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63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63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63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63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63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63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63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63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63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63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63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63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63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63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63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63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64"/>
      <c r="S423" s="1"/>
    </row>
    <row r="424" spans="11:21" x14ac:dyDescent="0.2">
      <c r="K424" s="2"/>
      <c r="M424" s="30"/>
      <c r="N424" s="4"/>
      <c r="O424" s="4"/>
      <c r="P424" s="459"/>
      <c r="Q424" s="143"/>
      <c r="R424" s="459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60"/>
      <c r="Q425" s="465"/>
      <c r="R425" s="460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63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63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63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63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63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63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63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63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63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63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63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63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63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63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63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63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63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63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63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63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63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63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63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63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63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63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63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63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63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63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63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63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64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59"/>
      <c r="Q466" s="143"/>
      <c r="R466" s="459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60"/>
      <c r="Q467" s="465"/>
      <c r="R467" s="460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63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63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63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63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63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63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63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63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63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63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63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63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63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63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63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63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63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63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63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63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63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63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63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63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63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63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63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63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63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63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63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63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7" workbookViewId="3">
      <selection activeCell="C35" sqref="C35"/>
    </sheetView>
  </sheetViews>
  <sheetFormatPr defaultRowHeight="12.75" x14ac:dyDescent="0.2"/>
  <sheetData>
    <row r="3" spans="1:4" ht="15" x14ac:dyDescent="0.25">
      <c r="A3" s="134"/>
      <c r="B3" s="34" t="s">
        <v>136</v>
      </c>
    </row>
    <row r="4" spans="1:4" x14ac:dyDescent="0.2">
      <c r="A4" s="3"/>
      <c r="B4" s="59" t="s">
        <v>137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49839</v>
      </c>
      <c r="C6" s="11">
        <v>42521</v>
      </c>
      <c r="D6" s="25">
        <f>+C6-B6</f>
        <v>-7318</v>
      </c>
    </row>
    <row r="7" spans="1:4" x14ac:dyDescent="0.2">
      <c r="A7" s="10">
        <v>2</v>
      </c>
      <c r="B7" s="129">
        <v>58661</v>
      </c>
      <c r="C7" s="11">
        <v>61095</v>
      </c>
      <c r="D7" s="25">
        <f t="shared" ref="D7:D36" si="0">+C7-B7</f>
        <v>2434</v>
      </c>
    </row>
    <row r="8" spans="1:4" x14ac:dyDescent="0.2">
      <c r="A8" s="10">
        <v>3</v>
      </c>
      <c r="B8" s="11">
        <v>57956</v>
      </c>
      <c r="C8" s="11">
        <v>59505</v>
      </c>
      <c r="D8" s="25">
        <f t="shared" si="0"/>
        <v>1549</v>
      </c>
    </row>
    <row r="9" spans="1:4" x14ac:dyDescent="0.2">
      <c r="A9" s="10">
        <v>4</v>
      </c>
      <c r="B9" s="11">
        <v>62170</v>
      </c>
      <c r="C9" s="11">
        <v>61574</v>
      </c>
      <c r="D9" s="25">
        <f t="shared" si="0"/>
        <v>-596</v>
      </c>
    </row>
    <row r="10" spans="1:4" x14ac:dyDescent="0.2">
      <c r="A10" s="10">
        <v>5</v>
      </c>
      <c r="B10" s="11">
        <v>63269</v>
      </c>
      <c r="C10" s="11">
        <v>58996</v>
      </c>
      <c r="D10" s="25">
        <f t="shared" si="0"/>
        <v>-4273</v>
      </c>
    </row>
    <row r="11" spans="1:4" x14ac:dyDescent="0.2">
      <c r="A11" s="10">
        <v>6</v>
      </c>
      <c r="B11" s="11">
        <v>62745</v>
      </c>
      <c r="C11" s="11">
        <v>62359</v>
      </c>
      <c r="D11" s="25">
        <f t="shared" si="0"/>
        <v>-386</v>
      </c>
    </row>
    <row r="12" spans="1:4" x14ac:dyDescent="0.2">
      <c r="A12" s="10">
        <v>7</v>
      </c>
      <c r="B12" s="11">
        <v>66886</v>
      </c>
      <c r="C12" s="11">
        <v>73126</v>
      </c>
      <c r="D12" s="25">
        <f t="shared" si="0"/>
        <v>6240</v>
      </c>
    </row>
    <row r="13" spans="1:4" x14ac:dyDescent="0.2">
      <c r="A13" s="10">
        <v>8</v>
      </c>
      <c r="B13" s="11">
        <v>66326</v>
      </c>
      <c r="C13" s="11">
        <v>65213</v>
      </c>
      <c r="D13" s="25">
        <f t="shared" si="0"/>
        <v>-1113</v>
      </c>
    </row>
    <row r="14" spans="1:4" x14ac:dyDescent="0.2">
      <c r="A14" s="10">
        <v>9</v>
      </c>
      <c r="B14" s="11">
        <v>63811</v>
      </c>
      <c r="C14" s="11">
        <v>63118</v>
      </c>
      <c r="D14" s="25">
        <f t="shared" si="0"/>
        <v>-693</v>
      </c>
    </row>
    <row r="15" spans="1:4" x14ac:dyDescent="0.2">
      <c r="A15" s="10">
        <v>10</v>
      </c>
      <c r="B15" s="11">
        <v>60111</v>
      </c>
      <c r="C15" s="11">
        <v>59591</v>
      </c>
      <c r="D15" s="25">
        <f t="shared" si="0"/>
        <v>-520</v>
      </c>
    </row>
    <row r="16" spans="1:4" x14ac:dyDescent="0.2">
      <c r="A16" s="10">
        <v>11</v>
      </c>
      <c r="B16" s="11">
        <v>64319</v>
      </c>
      <c r="C16" s="11">
        <v>64464</v>
      </c>
      <c r="D16" s="25">
        <f t="shared" si="0"/>
        <v>145</v>
      </c>
    </row>
    <row r="17" spans="1:4" x14ac:dyDescent="0.2">
      <c r="A17" s="10">
        <v>12</v>
      </c>
      <c r="B17" s="11">
        <v>64945</v>
      </c>
      <c r="C17" s="11">
        <v>63665</v>
      </c>
      <c r="D17" s="25">
        <f t="shared" si="0"/>
        <v>-1280</v>
      </c>
    </row>
    <row r="18" spans="1:4" x14ac:dyDescent="0.2">
      <c r="A18" s="10">
        <v>13</v>
      </c>
      <c r="B18" s="11">
        <v>64939</v>
      </c>
      <c r="C18" s="11">
        <v>64464</v>
      </c>
      <c r="D18" s="25">
        <f t="shared" si="0"/>
        <v>-475</v>
      </c>
    </row>
    <row r="19" spans="1:4" x14ac:dyDescent="0.2">
      <c r="A19" s="10">
        <v>14</v>
      </c>
      <c r="B19" s="11">
        <v>63062</v>
      </c>
      <c r="C19" s="11">
        <v>63411</v>
      </c>
      <c r="D19" s="25">
        <f t="shared" si="0"/>
        <v>349</v>
      </c>
    </row>
    <row r="20" spans="1:4" x14ac:dyDescent="0.2">
      <c r="A20" s="10">
        <v>15</v>
      </c>
      <c r="B20" s="11">
        <v>56053</v>
      </c>
      <c r="C20" s="11">
        <v>59448</v>
      </c>
      <c r="D20" s="25">
        <f t="shared" si="0"/>
        <v>3395</v>
      </c>
    </row>
    <row r="21" spans="1:4" x14ac:dyDescent="0.2">
      <c r="A21" s="10">
        <v>16</v>
      </c>
      <c r="B21" s="11">
        <v>62374</v>
      </c>
      <c r="C21" s="11">
        <v>63447</v>
      </c>
      <c r="D21" s="25">
        <f t="shared" si="0"/>
        <v>1073</v>
      </c>
    </row>
    <row r="22" spans="1:4" x14ac:dyDescent="0.2">
      <c r="A22" s="10">
        <v>17</v>
      </c>
      <c r="B22" s="11">
        <v>61677</v>
      </c>
      <c r="C22" s="11">
        <v>61277</v>
      </c>
      <c r="D22" s="25">
        <f t="shared" si="0"/>
        <v>-400</v>
      </c>
    </row>
    <row r="23" spans="1:4" x14ac:dyDescent="0.2">
      <c r="A23" s="10">
        <v>18</v>
      </c>
      <c r="B23" s="11">
        <v>60811</v>
      </c>
      <c r="C23" s="11">
        <v>60711</v>
      </c>
      <c r="D23" s="25">
        <f t="shared" si="0"/>
        <v>-100</v>
      </c>
    </row>
    <row r="24" spans="1:4" x14ac:dyDescent="0.2">
      <c r="A24" s="10">
        <v>19</v>
      </c>
      <c r="B24" s="11">
        <v>60896</v>
      </c>
      <c r="C24" s="11">
        <v>60711</v>
      </c>
      <c r="D24" s="25">
        <f t="shared" si="0"/>
        <v>-185</v>
      </c>
    </row>
    <row r="25" spans="1:4" x14ac:dyDescent="0.2">
      <c r="A25" s="10">
        <v>20</v>
      </c>
      <c r="B25" s="11">
        <v>60946</v>
      </c>
      <c r="C25" s="11">
        <v>60636</v>
      </c>
      <c r="D25" s="25">
        <f t="shared" si="0"/>
        <v>-310</v>
      </c>
    </row>
    <row r="26" spans="1:4" x14ac:dyDescent="0.2">
      <c r="A26" s="10">
        <v>21</v>
      </c>
      <c r="B26" s="11">
        <v>61474</v>
      </c>
      <c r="C26" s="11">
        <v>63821</v>
      </c>
      <c r="D26" s="25">
        <f t="shared" si="0"/>
        <v>2347</v>
      </c>
    </row>
    <row r="27" spans="1:4" x14ac:dyDescent="0.2">
      <c r="A27" s="10">
        <v>22</v>
      </c>
      <c r="B27" s="11">
        <v>48657</v>
      </c>
      <c r="C27" s="11">
        <v>48609</v>
      </c>
      <c r="D27" s="25">
        <f t="shared" si="0"/>
        <v>-48</v>
      </c>
    </row>
    <row r="28" spans="1:4" x14ac:dyDescent="0.2">
      <c r="A28" s="10">
        <v>23</v>
      </c>
      <c r="B28" s="11">
        <v>59613</v>
      </c>
      <c r="C28" s="11">
        <v>60860</v>
      </c>
      <c r="D28" s="25">
        <f t="shared" si="0"/>
        <v>1247</v>
      </c>
    </row>
    <row r="29" spans="1:4" x14ac:dyDescent="0.2">
      <c r="A29" s="10">
        <v>24</v>
      </c>
      <c r="B29" s="11">
        <v>63878</v>
      </c>
      <c r="C29" s="11">
        <v>65031</v>
      </c>
      <c r="D29" s="25">
        <f t="shared" si="0"/>
        <v>1153</v>
      </c>
    </row>
    <row r="30" spans="1:4" x14ac:dyDescent="0.2">
      <c r="A30" s="10">
        <v>25</v>
      </c>
      <c r="B30" s="11">
        <v>50648</v>
      </c>
      <c r="C30" s="11">
        <v>51858</v>
      </c>
      <c r="D30" s="25">
        <f t="shared" si="0"/>
        <v>1210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1516066</v>
      </c>
      <c r="C37" s="11">
        <f>SUM(C6:C36)</f>
        <v>1519511</v>
      </c>
      <c r="D37" s="25">
        <f>SUM(D6:D36)</f>
        <v>3445</v>
      </c>
    </row>
    <row r="38" spans="1:4" x14ac:dyDescent="0.2">
      <c r="A38" s="26"/>
      <c r="C38" s="14"/>
      <c r="D38" s="345">
        <f>+summary!H5</f>
        <v>2.93</v>
      </c>
    </row>
    <row r="39" spans="1:4" x14ac:dyDescent="0.2">
      <c r="D39" s="138">
        <f>+D38*D37</f>
        <v>10093.85</v>
      </c>
    </row>
    <row r="40" spans="1:4" x14ac:dyDescent="0.2">
      <c r="A40" s="57">
        <v>37103</v>
      </c>
      <c r="C40" s="15"/>
      <c r="D40" s="368">
        <v>0</v>
      </c>
    </row>
    <row r="41" spans="1:4" x14ac:dyDescent="0.2">
      <c r="A41" s="57">
        <v>37128</v>
      </c>
      <c r="C41" s="48"/>
      <c r="D41" s="138">
        <f>+D40+D39</f>
        <v>10093.85</v>
      </c>
    </row>
    <row r="45" spans="1:4" x14ac:dyDescent="0.2">
      <c r="A45" s="32" t="s">
        <v>157</v>
      </c>
      <c r="B45" s="32"/>
      <c r="C45" s="32"/>
      <c r="D45" s="32"/>
    </row>
    <row r="46" spans="1:4" x14ac:dyDescent="0.2">
      <c r="A46" s="49">
        <f>+A40</f>
        <v>37103</v>
      </c>
      <c r="B46" s="32"/>
      <c r="C46" s="32"/>
      <c r="D46" s="212">
        <v>53363</v>
      </c>
    </row>
    <row r="47" spans="1:4" x14ac:dyDescent="0.2">
      <c r="A47" s="49">
        <f>+A41</f>
        <v>37128</v>
      </c>
      <c r="B47" s="32"/>
      <c r="C47" s="32"/>
      <c r="D47" s="379">
        <f>+D37</f>
        <v>3445</v>
      </c>
    </row>
    <row r="48" spans="1:4" x14ac:dyDescent="0.2">
      <c r="A48" s="32"/>
      <c r="B48" s="32"/>
      <c r="C48" s="32"/>
      <c r="D48" s="14">
        <f>+D47+D46</f>
        <v>56808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workbookViewId="0"/>
    <sheetView workbookViewId="1"/>
    <sheetView topLeftCell="A26" workbookViewId="2">
      <selection activeCell="D40" sqref="D40"/>
    </sheetView>
    <sheetView topLeftCell="A21" workbookViewId="3">
      <selection activeCell="A42" sqref="A42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138</v>
      </c>
      <c r="C3" s="87"/>
      <c r="D3" s="87"/>
      <c r="E3" s="87"/>
    </row>
    <row r="4" spans="1:13" x14ac:dyDescent="0.2">
      <c r="A4" s="3"/>
      <c r="B4" s="347" t="s">
        <v>139</v>
      </c>
      <c r="C4" s="87"/>
      <c r="D4" s="3"/>
      <c r="E4" s="87"/>
    </row>
    <row r="5" spans="1:13" x14ac:dyDescent="0.2">
      <c r="A5" s="5" t="s">
        <v>11</v>
      </c>
      <c r="B5" s="6" t="s">
        <v>20</v>
      </c>
      <c r="C5" s="6" t="s">
        <v>21</v>
      </c>
    </row>
    <row r="6" spans="1:13" x14ac:dyDescent="0.2">
      <c r="A6" s="10">
        <v>1</v>
      </c>
      <c r="B6" s="11">
        <v>-2001</v>
      </c>
      <c r="C6" s="11">
        <v>-2139</v>
      </c>
      <c r="D6" s="25">
        <f>+C6-B6</f>
        <v>-138</v>
      </c>
    </row>
    <row r="7" spans="1:13" x14ac:dyDescent="0.2">
      <c r="A7" s="10">
        <v>2</v>
      </c>
      <c r="B7" s="11">
        <v>-79</v>
      </c>
      <c r="C7" s="11">
        <v>-2139</v>
      </c>
      <c r="D7" s="25">
        <f t="shared" ref="D7:D36" si="0">+C7-B7</f>
        <v>-2060</v>
      </c>
    </row>
    <row r="8" spans="1:13" x14ac:dyDescent="0.2">
      <c r="A8" s="10">
        <v>3</v>
      </c>
      <c r="B8" s="11">
        <v>-553</v>
      </c>
      <c r="C8" s="11">
        <v>-2453</v>
      </c>
      <c r="D8" s="25">
        <f t="shared" si="0"/>
        <v>-1900</v>
      </c>
    </row>
    <row r="9" spans="1:13" x14ac:dyDescent="0.2">
      <c r="A9" s="10">
        <v>4</v>
      </c>
      <c r="B9" s="11">
        <v>-1052</v>
      </c>
      <c r="C9" s="11">
        <v>-2453</v>
      </c>
      <c r="D9" s="25">
        <f t="shared" si="0"/>
        <v>-1401</v>
      </c>
    </row>
    <row r="10" spans="1:13" x14ac:dyDescent="0.2">
      <c r="A10" s="10">
        <v>5</v>
      </c>
      <c r="B10" s="11">
        <v>-1743</v>
      </c>
      <c r="C10" s="11">
        <v>-2453</v>
      </c>
      <c r="D10" s="25">
        <f t="shared" si="0"/>
        <v>-710</v>
      </c>
    </row>
    <row r="11" spans="1:13" x14ac:dyDescent="0.2">
      <c r="A11" s="10">
        <v>6</v>
      </c>
      <c r="B11" s="11">
        <v>-1725</v>
      </c>
      <c r="C11" s="11">
        <v>-2453</v>
      </c>
      <c r="D11" s="25">
        <f t="shared" si="0"/>
        <v>-728</v>
      </c>
    </row>
    <row r="12" spans="1:13" x14ac:dyDescent="0.2">
      <c r="A12" s="10">
        <v>7</v>
      </c>
      <c r="B12" s="11">
        <v>-1957</v>
      </c>
      <c r="C12" s="11">
        <v>-2139</v>
      </c>
      <c r="D12" s="25">
        <f t="shared" si="0"/>
        <v>-182</v>
      </c>
    </row>
    <row r="13" spans="1:13" x14ac:dyDescent="0.2">
      <c r="A13" s="10">
        <v>8</v>
      </c>
      <c r="B13" s="11">
        <v>-1968</v>
      </c>
      <c r="C13" s="11">
        <v>-2139</v>
      </c>
      <c r="D13" s="25">
        <f t="shared" si="0"/>
        <v>-171</v>
      </c>
      <c r="H13" s="118"/>
      <c r="I13" s="34"/>
      <c r="J13" s="34"/>
      <c r="K13" s="189"/>
      <c r="L13" s="467" t="s">
        <v>197</v>
      </c>
      <c r="M13" s="189"/>
    </row>
    <row r="14" spans="1:13" x14ac:dyDescent="0.2">
      <c r="A14" s="10">
        <v>9</v>
      </c>
      <c r="B14" s="11">
        <v>-76</v>
      </c>
      <c r="C14" s="11">
        <v>-711</v>
      </c>
      <c r="D14" s="25">
        <f t="shared" si="0"/>
        <v>-635</v>
      </c>
      <c r="H14" s="118" t="s">
        <v>40</v>
      </c>
      <c r="I14" s="468" t="s">
        <v>20</v>
      </c>
      <c r="J14" s="468" t="s">
        <v>21</v>
      </c>
      <c r="K14" s="469" t="s">
        <v>51</v>
      </c>
      <c r="L14" s="467" t="s">
        <v>16</v>
      </c>
      <c r="M14" s="189" t="s">
        <v>28</v>
      </c>
    </row>
    <row r="15" spans="1:13" x14ac:dyDescent="0.2">
      <c r="A15" s="10">
        <v>10</v>
      </c>
      <c r="B15" s="11">
        <v>-800</v>
      </c>
      <c r="C15" s="11">
        <v>-2139</v>
      </c>
      <c r="D15" s="25">
        <f t="shared" si="0"/>
        <v>-1339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-1249</v>
      </c>
      <c r="C16" s="11">
        <v>-2139</v>
      </c>
      <c r="D16" s="25">
        <f t="shared" si="0"/>
        <v>-890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67">
        <v>8.2100000000000009</v>
      </c>
      <c r="M16" s="472">
        <f t="shared" ref="M16:M22" si="2">+L16*K16</f>
        <v>-148748.78000000003</v>
      </c>
    </row>
    <row r="17" spans="1:15" x14ac:dyDescent="0.2">
      <c r="A17" s="10">
        <v>12</v>
      </c>
      <c r="B17" s="11">
        <v>-1989</v>
      </c>
      <c r="C17" s="11">
        <v>-2139</v>
      </c>
      <c r="D17" s="25">
        <f t="shared" si="0"/>
        <v>-150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67">
        <v>5.62</v>
      </c>
      <c r="M17" s="472">
        <f t="shared" si="2"/>
        <v>-91100.2</v>
      </c>
    </row>
    <row r="18" spans="1:15" x14ac:dyDescent="0.2">
      <c r="A18" s="10">
        <v>13</v>
      </c>
      <c r="B18" s="11">
        <v>-1956</v>
      </c>
      <c r="C18" s="11">
        <v>-2139</v>
      </c>
      <c r="D18" s="25">
        <f t="shared" si="0"/>
        <v>-183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67">
        <v>4.9800000000000004</v>
      </c>
      <c r="M18" s="472">
        <f t="shared" si="2"/>
        <v>-118748.1</v>
      </c>
    </row>
    <row r="19" spans="1:15" x14ac:dyDescent="0.2">
      <c r="A19" s="10">
        <v>14</v>
      </c>
      <c r="B19" s="11">
        <v>-1952</v>
      </c>
      <c r="C19" s="11">
        <v>-2139</v>
      </c>
      <c r="D19" s="25">
        <f t="shared" si="0"/>
        <v>-187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67">
        <v>4.87</v>
      </c>
      <c r="M19" s="472">
        <f t="shared" si="2"/>
        <v>63012.93</v>
      </c>
      <c r="O19" s="267"/>
    </row>
    <row r="20" spans="1:15" x14ac:dyDescent="0.2">
      <c r="A20" s="10">
        <v>15</v>
      </c>
      <c r="B20" s="11">
        <v>-1924</v>
      </c>
      <c r="C20" s="11">
        <v>-2139</v>
      </c>
      <c r="D20" s="25">
        <f t="shared" si="0"/>
        <v>-215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67">
        <v>3.82</v>
      </c>
      <c r="M20" s="472">
        <f t="shared" si="2"/>
        <v>32531.119999999999</v>
      </c>
    </row>
    <row r="21" spans="1:15" x14ac:dyDescent="0.2">
      <c r="A21" s="10">
        <v>16</v>
      </c>
      <c r="B21" s="11">
        <v>-530</v>
      </c>
      <c r="C21" s="11">
        <v>-2250</v>
      </c>
      <c r="D21" s="25">
        <f t="shared" si="0"/>
        <v>-1720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67">
        <v>3.2</v>
      </c>
      <c r="M21" s="472">
        <f t="shared" si="2"/>
        <v>-47644.800000000003</v>
      </c>
    </row>
    <row r="22" spans="1:15" x14ac:dyDescent="0.2">
      <c r="A22" s="10">
        <v>17</v>
      </c>
      <c r="B22" s="11">
        <v>-528</v>
      </c>
      <c r="C22" s="11">
        <v>-2139</v>
      </c>
      <c r="D22" s="25">
        <f t="shared" si="0"/>
        <v>-1611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67">
        <v>2.77</v>
      </c>
      <c r="M22" s="473">
        <f t="shared" si="2"/>
        <v>-43139.98</v>
      </c>
    </row>
    <row r="23" spans="1:15" ht="13.5" thickBot="1" x14ac:dyDescent="0.25">
      <c r="A23" s="10">
        <v>18</v>
      </c>
      <c r="B23" s="11">
        <v>-1187</v>
      </c>
      <c r="C23" s="11">
        <v>-2139</v>
      </c>
      <c r="D23" s="25">
        <f t="shared" si="0"/>
        <v>-952</v>
      </c>
      <c r="H23" s="34"/>
      <c r="I23" s="119"/>
      <c r="J23" s="119"/>
      <c r="K23" s="119"/>
      <c r="L23" s="470"/>
      <c r="M23" s="471">
        <f>SUM(M16:M22)</f>
        <v>-353837.81000000006</v>
      </c>
      <c r="O23" s="267"/>
    </row>
    <row r="24" spans="1:15" ht="13.5" thickTop="1" x14ac:dyDescent="0.2">
      <c r="A24" s="10">
        <v>19</v>
      </c>
      <c r="B24" s="11">
        <v>-1956</v>
      </c>
      <c r="C24" s="11">
        <v>-1979</v>
      </c>
      <c r="D24" s="25">
        <f t="shared" si="0"/>
        <v>-23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>
        <v>-2023</v>
      </c>
      <c r="C25" s="11">
        <v>-625</v>
      </c>
      <c r="D25" s="25">
        <f t="shared" si="0"/>
        <v>1398</v>
      </c>
    </row>
    <row r="26" spans="1:15" x14ac:dyDescent="0.2">
      <c r="A26" s="10">
        <v>21</v>
      </c>
      <c r="B26" s="11">
        <v>-1961</v>
      </c>
      <c r="C26" s="11">
        <v>-2139</v>
      </c>
      <c r="D26" s="25">
        <f t="shared" si="0"/>
        <v>-178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>
        <v>-1992</v>
      </c>
      <c r="C27" s="11">
        <v>-2139</v>
      </c>
      <c r="D27" s="25">
        <f t="shared" si="0"/>
        <v>-147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>
        <v>-78</v>
      </c>
      <c r="C28" s="11">
        <v>-2139</v>
      </c>
      <c r="D28" s="25">
        <f t="shared" si="0"/>
        <v>-2061</v>
      </c>
    </row>
    <row r="29" spans="1:15" x14ac:dyDescent="0.2">
      <c r="A29" s="10">
        <v>24</v>
      </c>
      <c r="B29" s="11">
        <v>-566</v>
      </c>
      <c r="C29" s="11">
        <v>-714</v>
      </c>
      <c r="D29" s="25">
        <f t="shared" si="0"/>
        <v>-148</v>
      </c>
    </row>
    <row r="30" spans="1:15" x14ac:dyDescent="0.2">
      <c r="A30" s="10">
        <v>25</v>
      </c>
      <c r="B30" s="11">
        <v>-1350</v>
      </c>
      <c r="C30" s="11">
        <v>-714</v>
      </c>
      <c r="D30" s="25">
        <f t="shared" si="0"/>
        <v>636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-33195</v>
      </c>
      <c r="C37" s="11">
        <f>SUM(C6:C36)</f>
        <v>-48890</v>
      </c>
      <c r="D37" s="25">
        <f>SUM(D6:D36)</f>
        <v>-15695</v>
      </c>
    </row>
    <row r="38" spans="1:4" x14ac:dyDescent="0.2">
      <c r="A38" s="26"/>
      <c r="C38" s="14"/>
      <c r="D38" s="345">
        <f>+summary!H4</f>
        <v>2.84</v>
      </c>
    </row>
    <row r="39" spans="1:4" x14ac:dyDescent="0.2">
      <c r="D39" s="138">
        <f>+D38*D37</f>
        <v>-44573.799999999996</v>
      </c>
    </row>
    <row r="40" spans="1:4" x14ac:dyDescent="0.2">
      <c r="A40" s="57">
        <v>37103</v>
      </c>
      <c r="C40" s="15"/>
      <c r="D40" s="359">
        <v>-394244.14</v>
      </c>
    </row>
    <row r="41" spans="1:4" x14ac:dyDescent="0.2">
      <c r="A41" s="57">
        <v>37128</v>
      </c>
      <c r="C41" s="48"/>
      <c r="D41" s="138">
        <f>+D40+D39</f>
        <v>-438817.94</v>
      </c>
    </row>
    <row r="47" spans="1:4" x14ac:dyDescent="0.2">
      <c r="A47" s="32" t="s">
        <v>157</v>
      </c>
      <c r="B47" s="32"/>
      <c r="C47" s="32"/>
      <c r="D47" s="32"/>
    </row>
    <row r="48" spans="1:4" x14ac:dyDescent="0.2">
      <c r="A48" s="49">
        <f>+A40</f>
        <v>37103</v>
      </c>
      <c r="B48" s="32"/>
      <c r="C48" s="32"/>
      <c r="D48" s="212">
        <v>-68282</v>
      </c>
    </row>
    <row r="49" spans="1:4" x14ac:dyDescent="0.2">
      <c r="A49" s="49">
        <f>+A41</f>
        <v>37128</v>
      </c>
      <c r="B49" s="32"/>
      <c r="C49" s="32"/>
      <c r="D49" s="379">
        <f>+D37</f>
        <v>-15695</v>
      </c>
    </row>
    <row r="50" spans="1:4" x14ac:dyDescent="0.2">
      <c r="A50" s="32"/>
      <c r="B50" s="32"/>
      <c r="C50" s="32"/>
      <c r="D50" s="14">
        <f>+D49+D48</f>
        <v>-83977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topLeftCell="A26" workbookViewId="3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144</v>
      </c>
      <c r="C3" s="87"/>
      <c r="D3" s="87"/>
    </row>
    <row r="4" spans="1:4" x14ac:dyDescent="0.2">
      <c r="A4" s="3"/>
      <c r="B4" s="347" t="s">
        <v>141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>
        <v>-4125</v>
      </c>
      <c r="C7" s="11"/>
      <c r="D7" s="25">
        <f t="shared" ref="D7:D36" si="0">+C7-B7</f>
        <v>4125</v>
      </c>
    </row>
    <row r="8" spans="1:4" x14ac:dyDescent="0.2">
      <c r="A8" s="10">
        <v>3</v>
      </c>
      <c r="B8" s="11"/>
      <c r="C8" s="11"/>
      <c r="D8" s="25">
        <f t="shared" si="0"/>
        <v>0</v>
      </c>
    </row>
    <row r="9" spans="1:4" x14ac:dyDescent="0.2">
      <c r="A9" s="10">
        <v>4</v>
      </c>
      <c r="B9" s="11">
        <v>-24674</v>
      </c>
      <c r="C9" s="11"/>
      <c r="D9" s="25">
        <f t="shared" si="0"/>
        <v>24674</v>
      </c>
    </row>
    <row r="10" spans="1:4" x14ac:dyDescent="0.2">
      <c r="A10" s="10">
        <v>5</v>
      </c>
      <c r="B10" s="11">
        <v>-62427</v>
      </c>
      <c r="C10" s="11">
        <v>-29082</v>
      </c>
      <c r="D10" s="25">
        <f t="shared" si="0"/>
        <v>33345</v>
      </c>
    </row>
    <row r="11" spans="1:4" x14ac:dyDescent="0.2">
      <c r="A11" s="10">
        <v>6</v>
      </c>
      <c r="B11" s="11">
        <v>-88065</v>
      </c>
      <c r="C11" s="11">
        <v>-70000</v>
      </c>
      <c r="D11" s="25">
        <f t="shared" si="0"/>
        <v>18065</v>
      </c>
    </row>
    <row r="12" spans="1:4" x14ac:dyDescent="0.2">
      <c r="A12" s="10">
        <v>7</v>
      </c>
      <c r="B12" s="11">
        <v>-97070</v>
      </c>
      <c r="C12" s="11">
        <v>-108743</v>
      </c>
      <c r="D12" s="25">
        <f t="shared" si="0"/>
        <v>-11673</v>
      </c>
    </row>
    <row r="13" spans="1:4" x14ac:dyDescent="0.2">
      <c r="A13" s="10">
        <v>8</v>
      </c>
      <c r="B13" s="11">
        <v>-94202</v>
      </c>
      <c r="C13" s="11">
        <v>-117060</v>
      </c>
      <c r="D13" s="25">
        <f t="shared" si="0"/>
        <v>-22858</v>
      </c>
    </row>
    <row r="14" spans="1:4" x14ac:dyDescent="0.2">
      <c r="A14" s="10">
        <v>9</v>
      </c>
      <c r="B14" s="11">
        <v>-22431</v>
      </c>
      <c r="C14" s="11">
        <v>-43500</v>
      </c>
      <c r="D14" s="25">
        <f t="shared" si="0"/>
        <v>-21069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>
        <v>-407</v>
      </c>
      <c r="C16" s="11"/>
      <c r="D16" s="25">
        <f t="shared" si="0"/>
        <v>407</v>
      </c>
    </row>
    <row r="17" spans="1:4" x14ac:dyDescent="0.2">
      <c r="A17" s="10">
        <v>12</v>
      </c>
      <c r="B17" s="11">
        <v>-13135</v>
      </c>
      <c r="C17" s="11">
        <v>-20000</v>
      </c>
      <c r="D17" s="25">
        <f t="shared" si="0"/>
        <v>-6865</v>
      </c>
    </row>
    <row r="18" spans="1:4" x14ac:dyDescent="0.2">
      <c r="A18" s="10">
        <v>13</v>
      </c>
      <c r="B18" s="11">
        <v>-60483</v>
      </c>
      <c r="C18" s="11">
        <v>-29781</v>
      </c>
      <c r="D18" s="25">
        <f t="shared" si="0"/>
        <v>30702</v>
      </c>
    </row>
    <row r="19" spans="1:4" x14ac:dyDescent="0.2">
      <c r="A19" s="10">
        <v>14</v>
      </c>
      <c r="B19" s="11">
        <v>-57710</v>
      </c>
      <c r="C19" s="11">
        <v>-79525</v>
      </c>
      <c r="D19" s="25">
        <f t="shared" si="0"/>
        <v>-21815</v>
      </c>
    </row>
    <row r="20" spans="1:4" x14ac:dyDescent="0.2">
      <c r="A20" s="10">
        <v>15</v>
      </c>
      <c r="B20" s="11">
        <v>-92681</v>
      </c>
      <c r="C20" s="11">
        <v>-85129</v>
      </c>
      <c r="D20" s="25">
        <f t="shared" si="0"/>
        <v>7552</v>
      </c>
    </row>
    <row r="21" spans="1:4" x14ac:dyDescent="0.2">
      <c r="A21" s="10">
        <v>16</v>
      </c>
      <c r="B21" s="11">
        <v>-99516</v>
      </c>
      <c r="C21" s="11">
        <v>-74859</v>
      </c>
      <c r="D21" s="25">
        <f t="shared" si="0"/>
        <v>24657</v>
      </c>
    </row>
    <row r="22" spans="1:4" x14ac:dyDescent="0.2">
      <c r="A22" s="10">
        <v>17</v>
      </c>
      <c r="B22" s="11">
        <v>-32937</v>
      </c>
      <c r="C22" s="11">
        <v>-30000</v>
      </c>
      <c r="D22" s="25">
        <f t="shared" si="0"/>
        <v>2937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>
        <v>-5244</v>
      </c>
      <c r="D25" s="25">
        <f t="shared" si="0"/>
        <v>-5244</v>
      </c>
    </row>
    <row r="26" spans="1:4" x14ac:dyDescent="0.2">
      <c r="A26" s="10">
        <v>21</v>
      </c>
      <c r="B26" s="11">
        <v>-188</v>
      </c>
      <c r="C26" s="11">
        <v>-4252</v>
      </c>
      <c r="D26" s="25">
        <f t="shared" si="0"/>
        <v>-4064</v>
      </c>
    </row>
    <row r="27" spans="1:4" x14ac:dyDescent="0.2">
      <c r="A27" s="10">
        <v>22</v>
      </c>
      <c r="B27" s="11">
        <v>-7</v>
      </c>
      <c r="C27" s="11"/>
      <c r="D27" s="25">
        <f t="shared" si="0"/>
        <v>7</v>
      </c>
    </row>
    <row r="28" spans="1:4" x14ac:dyDescent="0.2">
      <c r="A28" s="10">
        <v>23</v>
      </c>
      <c r="B28" s="11">
        <v>-12322</v>
      </c>
      <c r="C28" s="11">
        <v>-22851</v>
      </c>
      <c r="D28" s="25">
        <f t="shared" si="0"/>
        <v>-10529</v>
      </c>
    </row>
    <row r="29" spans="1:4" x14ac:dyDescent="0.2">
      <c r="A29" s="10">
        <v>24</v>
      </c>
      <c r="B29" s="11">
        <v>-40282</v>
      </c>
      <c r="C29" s="11">
        <v>-37582</v>
      </c>
      <c r="D29" s="25">
        <f t="shared" si="0"/>
        <v>2700</v>
      </c>
    </row>
    <row r="30" spans="1:4" x14ac:dyDescent="0.2">
      <c r="A30" s="10">
        <v>25</v>
      </c>
      <c r="B30" s="11">
        <v>-46817</v>
      </c>
      <c r="C30" s="11">
        <v>-42731</v>
      </c>
      <c r="D30" s="25">
        <f t="shared" si="0"/>
        <v>4086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-849479</v>
      </c>
      <c r="C37" s="11">
        <f>SUM(C6:C36)</f>
        <v>-800339</v>
      </c>
      <c r="D37" s="25">
        <f>SUM(D6:D36)</f>
        <v>49140</v>
      </c>
    </row>
    <row r="38" spans="1:4" x14ac:dyDescent="0.2">
      <c r="A38" s="26"/>
      <c r="C38" s="14"/>
      <c r="D38" s="345">
        <f>+summary!H4</f>
        <v>2.84</v>
      </c>
    </row>
    <row r="39" spans="1:4" x14ac:dyDescent="0.2">
      <c r="D39" s="138">
        <f>+D38*D37</f>
        <v>139557.6</v>
      </c>
    </row>
    <row r="40" spans="1:4" x14ac:dyDescent="0.2">
      <c r="A40" s="57">
        <v>37103</v>
      </c>
      <c r="C40" s="15"/>
      <c r="D40" s="359">
        <v>-351170.32</v>
      </c>
    </row>
    <row r="41" spans="1:4" x14ac:dyDescent="0.2">
      <c r="A41" s="57">
        <v>37128</v>
      </c>
      <c r="C41" s="48"/>
      <c r="D41" s="138">
        <f>+D40+D39</f>
        <v>-211612.72</v>
      </c>
    </row>
    <row r="42" spans="1:4" x14ac:dyDescent="0.2">
      <c r="D42" s="24"/>
    </row>
    <row r="45" spans="1:4" x14ac:dyDescent="0.2">
      <c r="A45" s="32" t="s">
        <v>157</v>
      </c>
      <c r="B45" s="32"/>
      <c r="C45" s="32"/>
      <c r="D45" s="32"/>
    </row>
    <row r="46" spans="1:4" x14ac:dyDescent="0.2">
      <c r="A46" s="49">
        <f>+A40</f>
        <v>37103</v>
      </c>
      <c r="B46" s="32"/>
      <c r="C46" s="32"/>
      <c r="D46" s="212">
        <v>-150287</v>
      </c>
    </row>
    <row r="47" spans="1:4" x14ac:dyDescent="0.2">
      <c r="A47" s="49">
        <f>+A41</f>
        <v>37128</v>
      </c>
      <c r="B47" s="32"/>
      <c r="C47" s="32"/>
      <c r="D47" s="379">
        <f>+D37</f>
        <v>49140</v>
      </c>
    </row>
    <row r="48" spans="1:4" x14ac:dyDescent="0.2">
      <c r="A48" s="32"/>
      <c r="B48" s="32"/>
      <c r="C48" s="32"/>
      <c r="D48" s="14">
        <f>+D47+D46</f>
        <v>-101147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topLeftCell="A2" workbookViewId="3">
      <selection activeCell="A19" sqref="A19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140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56659</v>
      </c>
      <c r="B5" s="342">
        <v>-26177</v>
      </c>
      <c r="C5" s="90">
        <v>-2925</v>
      </c>
      <c r="D5" s="90">
        <f>+C5-B5</f>
        <v>23252</v>
      </c>
      <c r="E5" s="285"/>
      <c r="F5" s="283"/>
    </row>
    <row r="6" spans="1:13" x14ac:dyDescent="0.2">
      <c r="A6" s="87">
        <v>500046</v>
      </c>
      <c r="B6" s="90">
        <v>-584</v>
      </c>
      <c r="C6" s="90"/>
      <c r="D6" s="90">
        <f t="shared" ref="D6:D11" si="0">+C6-B6</f>
        <v>584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5"/>
      <c r="F7" s="283"/>
      <c r="L7" t="s">
        <v>26</v>
      </c>
      <c r="M7">
        <v>7.6</v>
      </c>
    </row>
    <row r="8" spans="1:13" x14ac:dyDescent="0.2">
      <c r="A8" s="87">
        <v>500134</v>
      </c>
      <c r="B8" s="92"/>
      <c r="C8" s="90"/>
      <c r="D8" s="90">
        <f t="shared" si="0"/>
        <v>0</v>
      </c>
      <c r="E8" s="285"/>
      <c r="F8" s="283"/>
    </row>
    <row r="9" spans="1:13" x14ac:dyDescent="0.2">
      <c r="A9" s="87">
        <v>500528</v>
      </c>
      <c r="B9" s="92"/>
      <c r="C9" s="90"/>
      <c r="D9" s="90">
        <f t="shared" si="0"/>
        <v>0</v>
      </c>
      <c r="E9" s="285"/>
      <c r="F9" s="283"/>
    </row>
    <row r="10" spans="1:13" x14ac:dyDescent="0.2">
      <c r="A10" s="87">
        <v>500529</v>
      </c>
      <c r="B10" s="90"/>
      <c r="C10" s="319"/>
      <c r="D10" s="90">
        <f t="shared" si="0"/>
        <v>0</v>
      </c>
      <c r="E10" s="285"/>
      <c r="F10" s="283"/>
    </row>
    <row r="11" spans="1:13" x14ac:dyDescent="0.2">
      <c r="A11" s="87">
        <v>500619</v>
      </c>
      <c r="B11" s="319"/>
      <c r="C11" s="90"/>
      <c r="D11" s="354">
        <f t="shared" si="0"/>
        <v>0</v>
      </c>
      <c r="E11" s="285"/>
      <c r="F11" s="283"/>
    </row>
    <row r="12" spans="1:13" x14ac:dyDescent="0.2">
      <c r="A12" s="87"/>
      <c r="B12" s="88"/>
      <c r="C12" s="88"/>
      <c r="D12" s="88">
        <f>SUM(D5:D11)</f>
        <v>23836</v>
      </c>
      <c r="E12" s="285"/>
      <c r="F12" s="283"/>
    </row>
    <row r="13" spans="1:13" x14ac:dyDescent="0.2">
      <c r="A13" s="87" t="s">
        <v>84</v>
      </c>
      <c r="B13" s="88"/>
      <c r="C13" s="88"/>
      <c r="D13" s="95">
        <f>+summary!H4</f>
        <v>2.84</v>
      </c>
      <c r="E13" s="287"/>
      <c r="F13" s="283"/>
    </row>
    <row r="14" spans="1:13" x14ac:dyDescent="0.2">
      <c r="A14" s="87"/>
      <c r="B14" s="88"/>
      <c r="C14" s="88"/>
      <c r="D14" s="96">
        <f>+D13*D12</f>
        <v>67694.239999999991</v>
      </c>
      <c r="E14" s="209"/>
      <c r="F14" s="284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37103</v>
      </c>
      <c r="B16" s="88"/>
      <c r="C16" s="88"/>
      <c r="D16" s="452">
        <v>-856340.66</v>
      </c>
      <c r="E16" s="209"/>
      <c r="F16" s="66"/>
    </row>
    <row r="17" spans="1:7" x14ac:dyDescent="0.2">
      <c r="A17" s="87"/>
      <c r="B17" s="88"/>
      <c r="C17" s="88"/>
      <c r="D17" s="322"/>
      <c r="E17" s="209"/>
      <c r="F17" s="66"/>
    </row>
    <row r="18" spans="1:7" ht="13.5" thickBot="1" x14ac:dyDescent="0.25">
      <c r="A18" s="99">
        <v>37128</v>
      </c>
      <c r="B18" s="88"/>
      <c r="C18" s="88"/>
      <c r="D18" s="334">
        <f>+D16+D14</f>
        <v>-788646.42</v>
      </c>
      <c r="E18" s="209"/>
      <c r="F18" s="66"/>
    </row>
    <row r="19" spans="1:7" ht="13.5" thickTop="1" x14ac:dyDescent="0.2">
      <c r="E19" s="288"/>
    </row>
    <row r="21" spans="1:7" x14ac:dyDescent="0.2">
      <c r="A21" s="32" t="s">
        <v>157</v>
      </c>
      <c r="B21" s="32"/>
      <c r="C21" s="32"/>
      <c r="D21" s="32"/>
    </row>
    <row r="22" spans="1:7" x14ac:dyDescent="0.2">
      <c r="A22" s="49">
        <f>+A16</f>
        <v>37103</v>
      </c>
      <c r="B22" s="32"/>
      <c r="C22" s="32"/>
      <c r="D22" s="212">
        <v>-187753</v>
      </c>
    </row>
    <row r="23" spans="1:7" x14ac:dyDescent="0.2">
      <c r="A23" s="49">
        <f>+A18</f>
        <v>37128</v>
      </c>
      <c r="B23" s="32"/>
      <c r="C23" s="32"/>
      <c r="D23" s="379">
        <f>+D12</f>
        <v>23836</v>
      </c>
    </row>
    <row r="24" spans="1:7" x14ac:dyDescent="0.2">
      <c r="A24" s="32"/>
      <c r="B24" s="32"/>
      <c r="C24" s="32"/>
      <c r="D24" s="14">
        <f>+D23+D22</f>
        <v>-163917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36" workbookViewId="3">
      <selection activeCell="A40" sqref="A40"/>
    </sheetView>
  </sheetViews>
  <sheetFormatPr defaultRowHeight="12.75" x14ac:dyDescent="0.2"/>
  <sheetData>
    <row r="3" spans="1:4" ht="15" x14ac:dyDescent="0.25">
      <c r="A3" s="134"/>
      <c r="B3" s="34" t="s">
        <v>147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-2368</v>
      </c>
      <c r="D8" s="25">
        <f t="shared" si="0"/>
        <v>-2368</v>
      </c>
    </row>
    <row r="9" spans="1:4" x14ac:dyDescent="0.2">
      <c r="A9" s="10">
        <v>4</v>
      </c>
      <c r="B9" s="11"/>
      <c r="C9" s="11">
        <v>-2368</v>
      </c>
      <c r="D9" s="25">
        <f t="shared" si="0"/>
        <v>-2368</v>
      </c>
    </row>
    <row r="10" spans="1:4" x14ac:dyDescent="0.2">
      <c r="A10" s="10">
        <v>5</v>
      </c>
      <c r="B10" s="11"/>
      <c r="C10" s="11">
        <v>-2368</v>
      </c>
      <c r="D10" s="25">
        <f t="shared" si="0"/>
        <v>-2368</v>
      </c>
    </row>
    <row r="11" spans="1:4" x14ac:dyDescent="0.2">
      <c r="A11" s="10">
        <v>6</v>
      </c>
      <c r="B11" s="11"/>
      <c r="C11" s="11">
        <v>-2368</v>
      </c>
      <c r="D11" s="25">
        <f t="shared" si="0"/>
        <v>-2368</v>
      </c>
    </row>
    <row r="12" spans="1:4" x14ac:dyDescent="0.2">
      <c r="A12" s="10">
        <v>7</v>
      </c>
      <c r="B12" s="11"/>
      <c r="C12" s="11">
        <v>-2368</v>
      </c>
      <c r="D12" s="25">
        <f t="shared" si="0"/>
        <v>-2368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>
        <v>-4</v>
      </c>
      <c r="C21" s="11"/>
      <c r="D21" s="25">
        <f t="shared" si="0"/>
        <v>4</v>
      </c>
    </row>
    <row r="22" spans="1:4" x14ac:dyDescent="0.2">
      <c r="A22" s="10">
        <v>17</v>
      </c>
      <c r="B22" s="11">
        <v>-1</v>
      </c>
      <c r="C22" s="11"/>
      <c r="D22" s="25">
        <f t="shared" si="0"/>
        <v>1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</v>
      </c>
      <c r="C37" s="11">
        <f>SUM(C6:C36)</f>
        <v>-11840</v>
      </c>
      <c r="D37" s="25">
        <f>SUM(D6:D36)</f>
        <v>-11835</v>
      </c>
    </row>
    <row r="38" spans="1:4" x14ac:dyDescent="0.2">
      <c r="A38" s="26"/>
      <c r="C38" s="14"/>
      <c r="D38" s="360"/>
    </row>
    <row r="39" spans="1:4" x14ac:dyDescent="0.2">
      <c r="D39" s="138"/>
    </row>
    <row r="40" spans="1:4" x14ac:dyDescent="0.2">
      <c r="A40" s="57">
        <v>37103</v>
      </c>
      <c r="C40" s="15"/>
      <c r="D40" s="439">
        <v>76325</v>
      </c>
    </row>
    <row r="41" spans="1:4" x14ac:dyDescent="0.2">
      <c r="A41" s="57">
        <v>37128</v>
      </c>
      <c r="C41" s="48"/>
      <c r="D41" s="25">
        <f>+D40+D37</f>
        <v>64490</v>
      </c>
    </row>
    <row r="44" spans="1:4" x14ac:dyDescent="0.2">
      <c r="A44" s="32" t="s">
        <v>158</v>
      </c>
      <c r="B44" s="32"/>
      <c r="C44" s="32"/>
      <c r="D44" s="47"/>
    </row>
    <row r="45" spans="1:4" x14ac:dyDescent="0.2">
      <c r="A45" s="49">
        <f>+A40</f>
        <v>37103</v>
      </c>
      <c r="B45" s="32"/>
      <c r="C45" s="32"/>
      <c r="D45" s="440">
        <v>341220.3</v>
      </c>
    </row>
    <row r="46" spans="1:4" x14ac:dyDescent="0.2">
      <c r="A46" s="49">
        <f>+A41</f>
        <v>37128</v>
      </c>
      <c r="B46" s="32"/>
      <c r="C46" s="32"/>
      <c r="D46" s="408">
        <f>+D37*'by type'!J4</f>
        <v>-33611.4</v>
      </c>
    </row>
    <row r="47" spans="1:4" x14ac:dyDescent="0.2">
      <c r="A47" s="32"/>
      <c r="B47" s="32"/>
      <c r="C47" s="32"/>
      <c r="D47" s="202">
        <f>+D46+D45</f>
        <v>307608.89999999997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9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24" workbookViewId="3">
      <selection activeCell="B29" sqref="B29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129260</v>
      </c>
      <c r="C7" s="11">
        <v>129182</v>
      </c>
      <c r="D7" s="25">
        <f>+C7-B7</f>
        <v>-78</v>
      </c>
    </row>
    <row r="8" spans="1:4" x14ac:dyDescent="0.2">
      <c r="A8" s="10">
        <v>2</v>
      </c>
      <c r="B8" s="11">
        <v>126748</v>
      </c>
      <c r="C8" s="11">
        <v>122113</v>
      </c>
      <c r="D8" s="25">
        <f>+C8-B8</f>
        <v>-4635</v>
      </c>
    </row>
    <row r="9" spans="1:4" x14ac:dyDescent="0.2">
      <c r="A9" s="10">
        <v>3</v>
      </c>
      <c r="B9" s="11">
        <v>123158</v>
      </c>
      <c r="C9" s="11">
        <v>122442</v>
      </c>
      <c r="D9" s="25">
        <f t="shared" ref="D9:D37" si="0">+C9-B9</f>
        <v>-716</v>
      </c>
    </row>
    <row r="10" spans="1:4" x14ac:dyDescent="0.2">
      <c r="A10" s="10">
        <v>4</v>
      </c>
      <c r="B10" s="11">
        <v>107561</v>
      </c>
      <c r="C10" s="11">
        <v>106472</v>
      </c>
      <c r="D10" s="25">
        <f t="shared" si="0"/>
        <v>-1089</v>
      </c>
    </row>
    <row r="11" spans="1:4" x14ac:dyDescent="0.2">
      <c r="A11" s="10">
        <v>5</v>
      </c>
      <c r="B11" s="129">
        <v>111357</v>
      </c>
      <c r="C11" s="11">
        <v>111062</v>
      </c>
      <c r="D11" s="25">
        <f t="shared" si="0"/>
        <v>-295</v>
      </c>
    </row>
    <row r="12" spans="1:4" x14ac:dyDescent="0.2">
      <c r="A12" s="10">
        <v>6</v>
      </c>
      <c r="B12" s="11">
        <v>113863</v>
      </c>
      <c r="C12" s="11">
        <v>113152</v>
      </c>
      <c r="D12" s="25">
        <f t="shared" si="0"/>
        <v>-711</v>
      </c>
    </row>
    <row r="13" spans="1:4" x14ac:dyDescent="0.2">
      <c r="A13" s="10">
        <v>7</v>
      </c>
      <c r="B13" s="129">
        <v>89887</v>
      </c>
      <c r="C13" s="11">
        <v>128168</v>
      </c>
      <c r="D13" s="25">
        <f t="shared" si="0"/>
        <v>38281</v>
      </c>
    </row>
    <row r="14" spans="1:4" x14ac:dyDescent="0.2">
      <c r="A14" s="10">
        <v>8</v>
      </c>
      <c r="B14" s="11">
        <v>120044</v>
      </c>
      <c r="C14" s="11">
        <v>119268</v>
      </c>
      <c r="D14" s="25">
        <f t="shared" si="0"/>
        <v>-776</v>
      </c>
    </row>
    <row r="15" spans="1:4" x14ac:dyDescent="0.2">
      <c r="A15" s="10">
        <v>9</v>
      </c>
      <c r="B15" s="11">
        <v>117369</v>
      </c>
      <c r="C15" s="11">
        <v>115843</v>
      </c>
      <c r="D15" s="25">
        <f t="shared" si="0"/>
        <v>-1526</v>
      </c>
    </row>
    <row r="16" spans="1:4" x14ac:dyDescent="0.2">
      <c r="A16" s="10">
        <v>10</v>
      </c>
      <c r="B16" s="11">
        <v>103180</v>
      </c>
      <c r="C16" s="11">
        <v>98992</v>
      </c>
      <c r="D16" s="25">
        <f t="shared" si="0"/>
        <v>-4188</v>
      </c>
    </row>
    <row r="17" spans="1:4" x14ac:dyDescent="0.2">
      <c r="A17" s="10">
        <v>11</v>
      </c>
      <c r="B17" s="11">
        <v>108603</v>
      </c>
      <c r="C17" s="11">
        <v>107939</v>
      </c>
      <c r="D17" s="25">
        <f t="shared" si="0"/>
        <v>-664</v>
      </c>
    </row>
    <row r="18" spans="1:4" x14ac:dyDescent="0.2">
      <c r="A18" s="10">
        <v>12</v>
      </c>
      <c r="B18" s="11">
        <v>111233</v>
      </c>
      <c r="C18" s="11">
        <v>110704</v>
      </c>
      <c r="D18" s="25">
        <f t="shared" si="0"/>
        <v>-529</v>
      </c>
    </row>
    <row r="19" spans="1:4" x14ac:dyDescent="0.2">
      <c r="A19" s="10">
        <v>13</v>
      </c>
      <c r="B19" s="11">
        <v>119896</v>
      </c>
      <c r="C19" s="11">
        <v>119795</v>
      </c>
      <c r="D19" s="25">
        <f t="shared" si="0"/>
        <v>-101</v>
      </c>
    </row>
    <row r="20" spans="1:4" x14ac:dyDescent="0.2">
      <c r="A20" s="10">
        <v>14</v>
      </c>
      <c r="B20" s="11">
        <v>112667</v>
      </c>
      <c r="C20" s="11">
        <v>112310</v>
      </c>
      <c r="D20" s="25">
        <f t="shared" si="0"/>
        <v>-357</v>
      </c>
    </row>
    <row r="21" spans="1:4" x14ac:dyDescent="0.2">
      <c r="A21" s="10">
        <v>15</v>
      </c>
      <c r="B21" s="11">
        <v>108935</v>
      </c>
      <c r="C21" s="11">
        <v>108429</v>
      </c>
      <c r="D21" s="25">
        <f t="shared" si="0"/>
        <v>-506</v>
      </c>
    </row>
    <row r="22" spans="1:4" x14ac:dyDescent="0.2">
      <c r="A22" s="10">
        <v>16</v>
      </c>
      <c r="B22" s="11">
        <v>107432</v>
      </c>
      <c r="C22" s="11">
        <v>107294</v>
      </c>
      <c r="D22" s="25">
        <f t="shared" si="0"/>
        <v>-138</v>
      </c>
    </row>
    <row r="23" spans="1:4" x14ac:dyDescent="0.2">
      <c r="A23" s="10">
        <v>17</v>
      </c>
      <c r="B23" s="11">
        <v>108973</v>
      </c>
      <c r="C23" s="11">
        <v>108429</v>
      </c>
      <c r="D23" s="25">
        <f t="shared" si="0"/>
        <v>-544</v>
      </c>
    </row>
    <row r="24" spans="1:4" x14ac:dyDescent="0.2">
      <c r="A24" s="10">
        <v>18</v>
      </c>
      <c r="B24" s="11">
        <v>105972</v>
      </c>
      <c r="C24" s="11">
        <v>105750</v>
      </c>
      <c r="D24" s="25">
        <f t="shared" si="0"/>
        <v>-222</v>
      </c>
    </row>
    <row r="25" spans="1:4" x14ac:dyDescent="0.2">
      <c r="A25" s="10">
        <v>19</v>
      </c>
      <c r="B25" s="11">
        <v>106485</v>
      </c>
      <c r="C25" s="11">
        <v>106082</v>
      </c>
      <c r="D25" s="25">
        <f t="shared" si="0"/>
        <v>-403</v>
      </c>
    </row>
    <row r="26" spans="1:4" x14ac:dyDescent="0.2">
      <c r="A26" s="10">
        <v>20</v>
      </c>
      <c r="B26" s="11">
        <v>97063</v>
      </c>
      <c r="C26" s="11">
        <v>94980</v>
      </c>
      <c r="D26" s="25">
        <f t="shared" si="0"/>
        <v>-2083</v>
      </c>
    </row>
    <row r="27" spans="1:4" x14ac:dyDescent="0.2">
      <c r="A27" s="10">
        <v>21</v>
      </c>
      <c r="B27" s="11">
        <v>91009</v>
      </c>
      <c r="C27" s="11">
        <v>90233</v>
      </c>
      <c r="D27" s="25">
        <f t="shared" si="0"/>
        <v>-776</v>
      </c>
    </row>
    <row r="28" spans="1:4" x14ac:dyDescent="0.2">
      <c r="A28" s="10">
        <v>22</v>
      </c>
      <c r="B28" s="11">
        <v>120835</v>
      </c>
      <c r="C28" s="11">
        <v>120080</v>
      </c>
      <c r="D28" s="25">
        <f t="shared" si="0"/>
        <v>-755</v>
      </c>
    </row>
    <row r="29" spans="1:4" x14ac:dyDescent="0.2">
      <c r="A29" s="10">
        <v>23</v>
      </c>
      <c r="B29" s="11">
        <v>119482</v>
      </c>
      <c r="C29" s="11">
        <v>118456</v>
      </c>
      <c r="D29" s="25">
        <f t="shared" si="0"/>
        <v>-1026</v>
      </c>
    </row>
    <row r="30" spans="1:4" x14ac:dyDescent="0.2">
      <c r="A30" s="10">
        <v>24</v>
      </c>
      <c r="B30" s="11">
        <v>116376</v>
      </c>
      <c r="C30" s="11">
        <v>114885</v>
      </c>
      <c r="D30" s="25">
        <f t="shared" si="0"/>
        <v>-1491</v>
      </c>
    </row>
    <row r="31" spans="1:4" x14ac:dyDescent="0.2">
      <c r="A31" s="10">
        <v>25</v>
      </c>
      <c r="B31" s="11">
        <v>127730</v>
      </c>
      <c r="C31" s="11">
        <v>128419</v>
      </c>
      <c r="D31" s="25">
        <f t="shared" si="0"/>
        <v>689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2805118</v>
      </c>
      <c r="C38" s="11">
        <f>SUM(C7:C37)</f>
        <v>2820479</v>
      </c>
      <c r="D38" s="11">
        <f>SUM(D7:D37)</f>
        <v>15361</v>
      </c>
    </row>
    <row r="39" spans="1:4" x14ac:dyDescent="0.2">
      <c r="A39" s="26"/>
      <c r="C39" s="14"/>
      <c r="D39" s="106">
        <f>+summary!H3</f>
        <v>2.66</v>
      </c>
    </row>
    <row r="40" spans="1:4" x14ac:dyDescent="0.2">
      <c r="D40" s="138">
        <f>+D39*D38</f>
        <v>40860.26</v>
      </c>
    </row>
    <row r="41" spans="1:4" x14ac:dyDescent="0.2">
      <c r="A41" s="57">
        <v>37103</v>
      </c>
      <c r="C41" s="15"/>
      <c r="D41" s="370">
        <v>-36642</v>
      </c>
    </row>
    <row r="42" spans="1:4" x14ac:dyDescent="0.2">
      <c r="A42" s="57">
        <v>37128</v>
      </c>
      <c r="D42" s="337">
        <f>+D41+D40</f>
        <v>4218.260000000002</v>
      </c>
    </row>
    <row r="46" spans="1:4" x14ac:dyDescent="0.2">
      <c r="A46" s="32" t="s">
        <v>157</v>
      </c>
      <c r="B46" s="32"/>
      <c r="C46" s="32"/>
      <c r="D46" s="32"/>
    </row>
    <row r="47" spans="1:4" x14ac:dyDescent="0.2">
      <c r="A47" s="49">
        <f>+A41</f>
        <v>37103</v>
      </c>
      <c r="B47" s="32"/>
      <c r="C47" s="32"/>
      <c r="D47" s="212">
        <v>-14958</v>
      </c>
    </row>
    <row r="48" spans="1:4" x14ac:dyDescent="0.2">
      <c r="A48" s="49">
        <f>+A42</f>
        <v>37128</v>
      </c>
      <c r="B48" s="32"/>
      <c r="C48" s="32"/>
      <c r="D48" s="379">
        <f>+D38</f>
        <v>15361</v>
      </c>
    </row>
    <row r="49" spans="1:4" x14ac:dyDescent="0.2">
      <c r="A49" s="32"/>
      <c r="B49" s="32"/>
      <c r="C49" s="32"/>
      <c r="D49" s="14">
        <f>+D48+D47</f>
        <v>403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3" workbookViewId="3">
      <selection activeCell="C24" sqref="C24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-68011</v>
      </c>
      <c r="C5" s="11">
        <v>-37500</v>
      </c>
      <c r="D5" s="11">
        <v>-90</v>
      </c>
      <c r="E5" s="11">
        <v>-29410</v>
      </c>
      <c r="F5" s="11">
        <f>+C5-B5+E5-D5</f>
        <v>1191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-49057</v>
      </c>
      <c r="C6" s="11">
        <v>-20000</v>
      </c>
      <c r="D6" s="11"/>
      <c r="E6" s="11">
        <v>-27910</v>
      </c>
      <c r="F6" s="11">
        <f t="shared" ref="F6:F35" si="0">+C6-B6+E6-D6</f>
        <v>1147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-48415</v>
      </c>
      <c r="C7" s="11">
        <v>-11000</v>
      </c>
      <c r="D7" s="11"/>
      <c r="E7" s="11">
        <v>-36910</v>
      </c>
      <c r="F7" s="11">
        <f t="shared" si="0"/>
        <v>505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-29951</v>
      </c>
      <c r="C8" s="11"/>
      <c r="D8" s="11"/>
      <c r="E8" s="11">
        <v>-29410</v>
      </c>
      <c r="F8" s="11">
        <f t="shared" si="0"/>
        <v>541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-29999</v>
      </c>
      <c r="C9" s="11"/>
      <c r="D9" s="11"/>
      <c r="E9" s="11">
        <v>-29410</v>
      </c>
      <c r="F9" s="11">
        <f t="shared" si="0"/>
        <v>589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-29297</v>
      </c>
      <c r="C10" s="11"/>
      <c r="D10" s="11"/>
      <c r="E10" s="11">
        <v>-28307</v>
      </c>
      <c r="F10" s="11">
        <f t="shared" si="0"/>
        <v>990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29">
        <v>-64051</v>
      </c>
      <c r="C11" s="11">
        <v>-11000</v>
      </c>
      <c r="D11" s="129"/>
      <c r="E11" s="11">
        <v>-51049</v>
      </c>
      <c r="F11" s="11">
        <f t="shared" si="0"/>
        <v>2002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>
        <v>-35246</v>
      </c>
      <c r="C12" s="11"/>
      <c r="D12" s="11"/>
      <c r="E12" s="11">
        <v>-34257</v>
      </c>
      <c r="F12" s="11">
        <f t="shared" si="0"/>
        <v>989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29">
        <v>-61903</v>
      </c>
      <c r="C13" s="11">
        <v>-10000</v>
      </c>
      <c r="D13" s="129"/>
      <c r="E13" s="11">
        <v>-49974</v>
      </c>
      <c r="F13" s="11">
        <f t="shared" si="0"/>
        <v>1929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>
        <v>-63569</v>
      </c>
      <c r="C14" s="11">
        <v>-17500</v>
      </c>
      <c r="D14" s="129"/>
      <c r="E14" s="11">
        <v>-44910</v>
      </c>
      <c r="F14" s="11">
        <f t="shared" si="0"/>
        <v>1159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>
        <v>-57587</v>
      </c>
      <c r="C15" s="11">
        <v>-27000</v>
      </c>
      <c r="D15" s="11"/>
      <c r="E15" s="11">
        <v>-28288</v>
      </c>
      <c r="F15" s="11">
        <f t="shared" si="0"/>
        <v>2299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>
        <v>-57418</v>
      </c>
      <c r="C16" s="11">
        <v>-27000</v>
      </c>
      <c r="D16" s="11"/>
      <c r="E16" s="11">
        <v>-28592</v>
      </c>
      <c r="F16" s="11">
        <f t="shared" si="0"/>
        <v>1826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>
        <v>-57225</v>
      </c>
      <c r="C17" s="11">
        <v>-27000</v>
      </c>
      <c r="D17" s="11"/>
      <c r="E17" s="11">
        <v>-28771</v>
      </c>
      <c r="F17" s="11">
        <f t="shared" si="0"/>
        <v>1454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>
        <v>-88695</v>
      </c>
      <c r="C18" s="11">
        <v>-12000</v>
      </c>
      <c r="D18" s="11"/>
      <c r="E18" s="11">
        <v>-75910</v>
      </c>
      <c r="F18" s="11">
        <f t="shared" si="0"/>
        <v>785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>
        <v>-79069</v>
      </c>
      <c r="C19" s="11">
        <v>-11998</v>
      </c>
      <c r="D19" s="11">
        <v>-23700</v>
      </c>
      <c r="E19" s="11">
        <v>-90257</v>
      </c>
      <c r="F19" s="11">
        <f t="shared" si="0"/>
        <v>514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>
        <v>-46861</v>
      </c>
      <c r="C20" s="11">
        <v>-5000</v>
      </c>
      <c r="D20" s="11">
        <v>-44315</v>
      </c>
      <c r="E20" s="11">
        <v>-84512</v>
      </c>
      <c r="F20" s="11">
        <f t="shared" si="0"/>
        <v>1664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>
        <v>-62441</v>
      </c>
      <c r="C21" s="11"/>
      <c r="D21" s="11"/>
      <c r="E21" s="11">
        <v>-60910</v>
      </c>
      <c r="F21" s="11">
        <f t="shared" si="0"/>
        <v>1531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>
        <v>-81752</v>
      </c>
      <c r="C22" s="11">
        <v>-48000</v>
      </c>
      <c r="D22" s="11">
        <v>-65196</v>
      </c>
      <c r="E22" s="11">
        <v>-97157</v>
      </c>
      <c r="F22" s="11">
        <f t="shared" si="0"/>
        <v>1791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>
        <v>-76011</v>
      </c>
      <c r="C23" s="11">
        <v>-48000</v>
      </c>
      <c r="D23" s="11">
        <v>-60094</v>
      </c>
      <c r="E23" s="11">
        <v>-88748</v>
      </c>
      <c r="F23" s="11">
        <f t="shared" si="0"/>
        <v>-643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>
        <v>-84945</v>
      </c>
      <c r="C24" s="11">
        <v>-48000</v>
      </c>
      <c r="D24" s="11">
        <v>-68581</v>
      </c>
      <c r="E24" s="11">
        <v>-102023</v>
      </c>
      <c r="F24" s="11">
        <f t="shared" si="0"/>
        <v>3503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>
        <v>-34415</v>
      </c>
      <c r="C25" s="11">
        <v>-30000</v>
      </c>
      <c r="D25" s="11">
        <v>-43468</v>
      </c>
      <c r="E25" s="11">
        <v>-49989</v>
      </c>
      <c r="F25" s="11">
        <f t="shared" si="0"/>
        <v>-2106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>
        <v>-75971</v>
      </c>
      <c r="C26" s="11">
        <v>-37000</v>
      </c>
      <c r="D26" s="11"/>
      <c r="E26" s="11">
        <v>-36910</v>
      </c>
      <c r="F26" s="11">
        <f t="shared" si="0"/>
        <v>2061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>
        <v>-55320</v>
      </c>
      <c r="C27" s="11">
        <v>-21996</v>
      </c>
      <c r="D27" s="11"/>
      <c r="E27" s="11">
        <v>-31910</v>
      </c>
      <c r="F27" s="11">
        <f t="shared" si="0"/>
        <v>1414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>
        <v>-83890</v>
      </c>
      <c r="C28" s="11">
        <v>-16199</v>
      </c>
      <c r="D28" s="11"/>
      <c r="E28" s="11">
        <v>-65075</v>
      </c>
      <c r="F28" s="11">
        <f t="shared" si="0"/>
        <v>2616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>
        <v>-52746</v>
      </c>
      <c r="C29" s="11">
        <v>-12063</v>
      </c>
      <c r="D29" s="11"/>
      <c r="E29" s="11">
        <v>-39275</v>
      </c>
      <c r="F29" s="11">
        <f t="shared" si="0"/>
        <v>1408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-1473845</v>
      </c>
      <c r="C36" s="44">
        <f>SUM(C5:C35)</f>
        <v>-478256</v>
      </c>
      <c r="D36" s="43">
        <f>SUM(D5:D35)</f>
        <v>-305444</v>
      </c>
      <c r="E36" s="44">
        <f>SUM(E5:E35)</f>
        <v>-1269874</v>
      </c>
      <c r="F36" s="11">
        <f>SUM(F5:F35)</f>
        <v>31159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-995589</v>
      </c>
      <c r="D37" s="24"/>
      <c r="E37" s="24">
        <f>+D36-E36</f>
        <v>964430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37103</v>
      </c>
      <c r="C41" s="14"/>
      <c r="D41" s="50"/>
      <c r="E41" s="50"/>
      <c r="F41" s="247">
        <v>36339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37128</v>
      </c>
      <c r="C42" s="14"/>
      <c r="D42" s="50"/>
      <c r="E42" s="50"/>
      <c r="F42" s="51">
        <f>+F41+F36</f>
        <v>67498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  <row r="46" spans="1:12" x14ac:dyDescent="0.2">
      <c r="A46" s="32" t="s">
        <v>158</v>
      </c>
      <c r="B46" s="32"/>
      <c r="C46" s="32"/>
      <c r="D46" s="47"/>
    </row>
    <row r="47" spans="1:12" x14ac:dyDescent="0.2">
      <c r="A47" s="49">
        <f>+B41</f>
        <v>37103</v>
      </c>
      <c r="B47" s="32"/>
      <c r="C47" s="32"/>
      <c r="D47" s="202">
        <v>-29968.41</v>
      </c>
    </row>
    <row r="48" spans="1:12" x14ac:dyDescent="0.2">
      <c r="A48" s="49">
        <f>+B42</f>
        <v>37128</v>
      </c>
      <c r="B48" s="32"/>
      <c r="C48" s="32"/>
      <c r="D48" s="408">
        <f>+F36*'by type'!J4</f>
        <v>88491.56</v>
      </c>
    </row>
    <row r="49" spans="1:4" x14ac:dyDescent="0.2">
      <c r="A49" s="32"/>
      <c r="B49" s="32"/>
      <c r="C49" s="32"/>
      <c r="D49" s="202">
        <f>+D48+D47</f>
        <v>58523.149999999994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4" workbookViewId="3">
      <selection activeCell="C29" sqref="C29"/>
    </sheetView>
  </sheetViews>
  <sheetFormatPr defaultRowHeight="12.75" x14ac:dyDescent="0.2"/>
  <cols>
    <col min="1" max="1" width="7.855468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-151076</v>
      </c>
      <c r="C4" s="11">
        <v>-150326</v>
      </c>
      <c r="D4" s="25">
        <f>+C4-B4</f>
        <v>750</v>
      </c>
    </row>
    <row r="5" spans="1:4" x14ac:dyDescent="0.2">
      <c r="A5" s="10">
        <v>2</v>
      </c>
      <c r="B5" s="129">
        <v>-186416</v>
      </c>
      <c r="C5" s="11">
        <v>-184781</v>
      </c>
      <c r="D5" s="25">
        <f t="shared" ref="D5:D34" si="0">+C5-B5</f>
        <v>1635</v>
      </c>
    </row>
    <row r="6" spans="1:4" x14ac:dyDescent="0.2">
      <c r="A6" s="10">
        <v>3</v>
      </c>
      <c r="B6" s="129">
        <v>-210011</v>
      </c>
      <c r="C6" s="11">
        <v>-208808</v>
      </c>
      <c r="D6" s="25">
        <f t="shared" si="0"/>
        <v>1203</v>
      </c>
    </row>
    <row r="7" spans="1:4" x14ac:dyDescent="0.2">
      <c r="A7" s="10">
        <v>4</v>
      </c>
      <c r="B7" s="129">
        <v>-245094</v>
      </c>
      <c r="C7" s="11">
        <v>-241726</v>
      </c>
      <c r="D7" s="25">
        <f t="shared" si="0"/>
        <v>3368</v>
      </c>
    </row>
    <row r="8" spans="1:4" x14ac:dyDescent="0.2">
      <c r="A8" s="10">
        <v>5</v>
      </c>
      <c r="B8" s="129">
        <v>-236194</v>
      </c>
      <c r="C8" s="11">
        <v>-235157</v>
      </c>
      <c r="D8" s="25">
        <f t="shared" si="0"/>
        <v>1037</v>
      </c>
    </row>
    <row r="9" spans="1:4" x14ac:dyDescent="0.2">
      <c r="A9" s="10">
        <v>6</v>
      </c>
      <c r="B9" s="129">
        <v>-172231</v>
      </c>
      <c r="C9" s="11">
        <v>-181280</v>
      </c>
      <c r="D9" s="25">
        <f t="shared" si="0"/>
        <v>-9049</v>
      </c>
    </row>
    <row r="10" spans="1:4" x14ac:dyDescent="0.2">
      <c r="A10" s="10">
        <v>7</v>
      </c>
      <c r="B10" s="129">
        <v>-117605</v>
      </c>
      <c r="C10" s="11">
        <v>-116400</v>
      </c>
      <c r="D10" s="25">
        <f t="shared" si="0"/>
        <v>1205</v>
      </c>
    </row>
    <row r="11" spans="1:4" x14ac:dyDescent="0.2">
      <c r="A11" s="10">
        <v>8</v>
      </c>
      <c r="B11" s="11">
        <v>-109940</v>
      </c>
      <c r="C11" s="11">
        <v>-109486</v>
      </c>
      <c r="D11" s="25">
        <f t="shared" si="0"/>
        <v>454</v>
      </c>
    </row>
    <row r="12" spans="1:4" x14ac:dyDescent="0.2">
      <c r="A12" s="10">
        <v>9</v>
      </c>
      <c r="B12" s="11">
        <v>-138076</v>
      </c>
      <c r="C12" s="11">
        <v>-137436</v>
      </c>
      <c r="D12" s="25">
        <f t="shared" si="0"/>
        <v>640</v>
      </c>
    </row>
    <row r="13" spans="1:4" x14ac:dyDescent="0.2">
      <c r="A13" s="10">
        <v>10</v>
      </c>
      <c r="B13" s="11">
        <v>-158047</v>
      </c>
      <c r="C13" s="11">
        <v>-156889</v>
      </c>
      <c r="D13" s="25">
        <f t="shared" si="0"/>
        <v>1158</v>
      </c>
    </row>
    <row r="14" spans="1:4" x14ac:dyDescent="0.2">
      <c r="A14" s="10">
        <v>11</v>
      </c>
      <c r="B14" s="11">
        <v>-221811</v>
      </c>
      <c r="C14" s="11">
        <v>-219321</v>
      </c>
      <c r="D14" s="25">
        <f t="shared" si="0"/>
        <v>2490</v>
      </c>
    </row>
    <row r="15" spans="1:4" x14ac:dyDescent="0.2">
      <c r="A15" s="10">
        <v>12</v>
      </c>
      <c r="B15" s="11">
        <v>-161285</v>
      </c>
      <c r="C15" s="11">
        <v>-160322</v>
      </c>
      <c r="D15" s="25">
        <f t="shared" si="0"/>
        <v>963</v>
      </c>
    </row>
    <row r="16" spans="1:4" x14ac:dyDescent="0.2">
      <c r="A16" s="10">
        <v>13</v>
      </c>
      <c r="B16" s="11">
        <v>-180446</v>
      </c>
      <c r="C16" s="11">
        <v>-185322</v>
      </c>
      <c r="D16" s="25">
        <f t="shared" si="0"/>
        <v>-4876</v>
      </c>
    </row>
    <row r="17" spans="1:4" x14ac:dyDescent="0.2">
      <c r="A17" s="10">
        <v>14</v>
      </c>
      <c r="B17" s="11">
        <v>-179929</v>
      </c>
      <c r="C17" s="11">
        <v>-178986</v>
      </c>
      <c r="D17" s="25">
        <f t="shared" si="0"/>
        <v>943</v>
      </c>
    </row>
    <row r="18" spans="1:4" x14ac:dyDescent="0.2">
      <c r="A18" s="10">
        <v>15</v>
      </c>
      <c r="B18" s="11">
        <v>-198888</v>
      </c>
      <c r="C18" s="11">
        <v>-198260</v>
      </c>
      <c r="D18" s="25">
        <f t="shared" si="0"/>
        <v>628</v>
      </c>
    </row>
    <row r="19" spans="1:4" x14ac:dyDescent="0.2">
      <c r="A19" s="10">
        <v>16</v>
      </c>
      <c r="B19" s="11">
        <v>-201390</v>
      </c>
      <c r="C19" s="11">
        <v>-202819</v>
      </c>
      <c r="D19" s="25">
        <f t="shared" si="0"/>
        <v>-1429</v>
      </c>
    </row>
    <row r="20" spans="1:4" x14ac:dyDescent="0.2">
      <c r="A20" s="10">
        <v>17</v>
      </c>
      <c r="B20" s="11">
        <v>-221368</v>
      </c>
      <c r="C20" s="11">
        <v>-219862</v>
      </c>
      <c r="D20" s="25">
        <f t="shared" si="0"/>
        <v>1506</v>
      </c>
    </row>
    <row r="21" spans="1:4" x14ac:dyDescent="0.2">
      <c r="A21" s="10">
        <v>18</v>
      </c>
      <c r="B21" s="11">
        <v>-246242</v>
      </c>
      <c r="C21" s="11">
        <v>-245186</v>
      </c>
      <c r="D21" s="25">
        <f t="shared" si="0"/>
        <v>1056</v>
      </c>
    </row>
    <row r="22" spans="1:4" x14ac:dyDescent="0.2">
      <c r="A22" s="10">
        <v>19</v>
      </c>
      <c r="B22" s="11">
        <v>-212136</v>
      </c>
      <c r="C22" s="11">
        <v>-211394</v>
      </c>
      <c r="D22" s="25">
        <f t="shared" si="0"/>
        <v>742</v>
      </c>
    </row>
    <row r="23" spans="1:4" x14ac:dyDescent="0.2">
      <c r="A23" s="10">
        <v>20</v>
      </c>
      <c r="B23" s="11">
        <v>-189598</v>
      </c>
      <c r="C23" s="11">
        <v>-188009</v>
      </c>
      <c r="D23" s="25">
        <f t="shared" si="0"/>
        <v>1589</v>
      </c>
    </row>
    <row r="24" spans="1:4" x14ac:dyDescent="0.2">
      <c r="A24" s="10">
        <v>21</v>
      </c>
      <c r="B24" s="11">
        <v>-122945</v>
      </c>
      <c r="C24" s="11">
        <v>-120841</v>
      </c>
      <c r="D24" s="25">
        <f t="shared" si="0"/>
        <v>2104</v>
      </c>
    </row>
    <row r="25" spans="1:4" x14ac:dyDescent="0.2">
      <c r="A25" s="10">
        <v>22</v>
      </c>
      <c r="B25" s="11">
        <v>-180542</v>
      </c>
      <c r="C25" s="11">
        <v>-179917</v>
      </c>
      <c r="D25" s="25">
        <f t="shared" si="0"/>
        <v>625</v>
      </c>
    </row>
    <row r="26" spans="1:4" x14ac:dyDescent="0.2">
      <c r="A26" s="10">
        <v>23</v>
      </c>
      <c r="B26" s="11">
        <v>-162154</v>
      </c>
      <c r="C26" s="11">
        <v>-161135</v>
      </c>
      <c r="D26" s="25">
        <f t="shared" si="0"/>
        <v>1019</v>
      </c>
    </row>
    <row r="27" spans="1:4" x14ac:dyDescent="0.2">
      <c r="A27" s="10">
        <v>24</v>
      </c>
      <c r="B27" s="11">
        <v>-176509</v>
      </c>
      <c r="C27" s="11">
        <v>-174939</v>
      </c>
      <c r="D27" s="25">
        <f t="shared" si="0"/>
        <v>1570</v>
      </c>
    </row>
    <row r="28" spans="1:4" x14ac:dyDescent="0.2">
      <c r="A28" s="10">
        <v>25</v>
      </c>
      <c r="B28" s="11">
        <v>-174033</v>
      </c>
      <c r="C28" s="11">
        <v>-170727</v>
      </c>
      <c r="D28" s="25">
        <f t="shared" si="0"/>
        <v>3306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-4553966</v>
      </c>
      <c r="C35" s="11">
        <f>SUM(C4:C34)</f>
        <v>-4539329</v>
      </c>
      <c r="D35" s="11">
        <f>SUM(D4:D34)</f>
        <v>14637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49">
        <v>37103</v>
      </c>
      <c r="D38" s="247">
        <v>24900</v>
      </c>
    </row>
    <row r="39" spans="1:30" x14ac:dyDescent="0.2">
      <c r="A39" s="12"/>
      <c r="D39" s="24"/>
    </row>
    <row r="40" spans="1:30" x14ac:dyDescent="0.2">
      <c r="A40" s="249">
        <v>37128</v>
      </c>
      <c r="D40" s="24">
        <f>+D38+D35</f>
        <v>39537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158</v>
      </c>
      <c r="B44" s="32"/>
      <c r="C44" s="32"/>
      <c r="D44" s="47"/>
      <c r="K44"/>
    </row>
    <row r="45" spans="1:30" x14ac:dyDescent="0.2">
      <c r="A45" s="49">
        <f>+A38</f>
        <v>37103</v>
      </c>
      <c r="B45" s="32"/>
      <c r="C45" s="32"/>
      <c r="D45" s="440">
        <v>-156083.38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37128</v>
      </c>
      <c r="B46" s="32"/>
      <c r="C46" s="32"/>
      <c r="D46" s="408">
        <f>+D35*'by type'!J4</f>
        <v>41569.079999999994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2">
        <f>+D46+D45</f>
        <v>-114514.30000000002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8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3" workbookViewId="3">
      <selection activeCell="E29" sqref="E29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-783122</v>
      </c>
      <c r="C4" s="11">
        <v>-801047</v>
      </c>
      <c r="D4" s="11">
        <v>-40000</v>
      </c>
      <c r="E4" s="11">
        <v>-40000</v>
      </c>
      <c r="F4" s="25">
        <f>+E4+C4-D4-B4</f>
        <v>-17925</v>
      </c>
      <c r="H4" s="10"/>
      <c r="I4" s="11"/>
    </row>
    <row r="5" spans="1:11" x14ac:dyDescent="0.2">
      <c r="A5" s="10">
        <v>2</v>
      </c>
      <c r="B5" s="11">
        <v>-765413</v>
      </c>
      <c r="C5" s="11">
        <v>-746994</v>
      </c>
      <c r="D5" s="11">
        <v>-39998</v>
      </c>
      <c r="E5" s="11">
        <v>-40000</v>
      </c>
      <c r="F5" s="25">
        <f t="shared" ref="F5:F34" si="0">+C5-B5+E5-D5</f>
        <v>18417</v>
      </c>
      <c r="H5" s="10"/>
      <c r="I5" s="11"/>
    </row>
    <row r="6" spans="1:11" x14ac:dyDescent="0.2">
      <c r="A6" s="10">
        <v>3</v>
      </c>
      <c r="B6" s="11">
        <v>-751586</v>
      </c>
      <c r="C6" s="11">
        <v>-748805</v>
      </c>
      <c r="D6" s="11">
        <v>-39999</v>
      </c>
      <c r="E6" s="11">
        <v>-40000</v>
      </c>
      <c r="F6" s="25">
        <f t="shared" si="0"/>
        <v>2780</v>
      </c>
      <c r="H6" s="10"/>
      <c r="I6" s="11"/>
    </row>
    <row r="7" spans="1:11" x14ac:dyDescent="0.2">
      <c r="A7" s="10">
        <v>4</v>
      </c>
      <c r="B7" s="11">
        <v>-739284</v>
      </c>
      <c r="C7" s="11">
        <v>-742991</v>
      </c>
      <c r="D7" s="11">
        <v>-101</v>
      </c>
      <c r="E7" s="11"/>
      <c r="F7" s="25">
        <f t="shared" si="0"/>
        <v>-3606</v>
      </c>
      <c r="H7" s="10"/>
      <c r="I7" s="11"/>
      <c r="K7" s="25"/>
    </row>
    <row r="8" spans="1:11" x14ac:dyDescent="0.2">
      <c r="A8" s="10">
        <v>5</v>
      </c>
      <c r="B8" s="129">
        <v>-714787</v>
      </c>
      <c r="C8" s="11">
        <v>-734668</v>
      </c>
      <c r="D8" s="11"/>
      <c r="E8" s="11"/>
      <c r="F8" s="25">
        <f t="shared" si="0"/>
        <v>-19881</v>
      </c>
      <c r="H8" s="10"/>
      <c r="I8" s="11"/>
    </row>
    <row r="9" spans="1:11" x14ac:dyDescent="0.2">
      <c r="A9" s="10">
        <v>6</v>
      </c>
      <c r="B9" s="11">
        <v>-734353</v>
      </c>
      <c r="C9" s="11">
        <v>-750409</v>
      </c>
      <c r="D9" s="11">
        <v>-9877</v>
      </c>
      <c r="E9" s="11">
        <v>-10000</v>
      </c>
      <c r="F9" s="25">
        <f t="shared" si="0"/>
        <v>-16179</v>
      </c>
      <c r="H9" s="10"/>
      <c r="I9" s="11"/>
    </row>
    <row r="10" spans="1:11" x14ac:dyDescent="0.2">
      <c r="A10" s="10">
        <v>7</v>
      </c>
      <c r="B10" s="129">
        <v>-729199</v>
      </c>
      <c r="C10" s="11">
        <v>-722209</v>
      </c>
      <c r="D10" s="129">
        <v>-25859</v>
      </c>
      <c r="E10" s="11">
        <v>-25000</v>
      </c>
      <c r="F10" s="25">
        <f t="shared" si="0"/>
        <v>7849</v>
      </c>
      <c r="H10" s="10"/>
      <c r="I10" s="11"/>
    </row>
    <row r="11" spans="1:11" x14ac:dyDescent="0.2">
      <c r="A11" s="10">
        <v>8</v>
      </c>
      <c r="B11" s="11">
        <v>-719904</v>
      </c>
      <c r="C11" s="11">
        <v>-715180</v>
      </c>
      <c r="D11" s="11">
        <v>-27002</v>
      </c>
      <c r="E11" s="11">
        <v>-25000</v>
      </c>
      <c r="F11" s="25">
        <f t="shared" si="0"/>
        <v>6726</v>
      </c>
      <c r="H11" s="10"/>
      <c r="I11" s="11"/>
    </row>
    <row r="12" spans="1:11" x14ac:dyDescent="0.2">
      <c r="A12" s="10">
        <v>9</v>
      </c>
      <c r="B12" s="11">
        <v>-725690</v>
      </c>
      <c r="C12" s="11">
        <v>-722897</v>
      </c>
      <c r="D12" s="11">
        <v>-51038</v>
      </c>
      <c r="E12" s="11">
        <v>-50000</v>
      </c>
      <c r="F12" s="25">
        <f t="shared" si="0"/>
        <v>3831</v>
      </c>
      <c r="H12" s="10"/>
      <c r="I12" s="11"/>
    </row>
    <row r="13" spans="1:11" x14ac:dyDescent="0.2">
      <c r="A13" s="10">
        <v>10</v>
      </c>
      <c r="B13" s="11">
        <v>-740803</v>
      </c>
      <c r="C13" s="11">
        <v>-742788</v>
      </c>
      <c r="D13" s="129">
        <v>-51972</v>
      </c>
      <c r="E13" s="11">
        <v>-50000</v>
      </c>
      <c r="F13" s="25">
        <f t="shared" si="0"/>
        <v>-13</v>
      </c>
      <c r="H13" s="10"/>
      <c r="I13" s="11"/>
    </row>
    <row r="14" spans="1:11" x14ac:dyDescent="0.2">
      <c r="A14" s="10">
        <v>11</v>
      </c>
      <c r="B14" s="11">
        <v>-752259</v>
      </c>
      <c r="C14" s="11">
        <v>-753379</v>
      </c>
      <c r="D14" s="11">
        <v>-124</v>
      </c>
      <c r="E14" s="11"/>
      <c r="F14" s="25">
        <f t="shared" si="0"/>
        <v>-996</v>
      </c>
      <c r="H14" s="10"/>
      <c r="I14" s="11"/>
    </row>
    <row r="15" spans="1:11" x14ac:dyDescent="0.2">
      <c r="A15" s="10">
        <v>12</v>
      </c>
      <c r="B15" s="11">
        <v>-743592</v>
      </c>
      <c r="C15" s="11">
        <v>-743981</v>
      </c>
      <c r="D15" s="11">
        <v>-51599</v>
      </c>
      <c r="E15" s="11">
        <v>-50000</v>
      </c>
      <c r="F15" s="25">
        <f t="shared" si="0"/>
        <v>1210</v>
      </c>
      <c r="H15" s="10"/>
      <c r="I15" s="11"/>
    </row>
    <row r="16" spans="1:11" x14ac:dyDescent="0.2">
      <c r="A16" s="10">
        <v>13</v>
      </c>
      <c r="B16" s="11">
        <v>-722904</v>
      </c>
      <c r="C16" s="11">
        <v>-722201</v>
      </c>
      <c r="D16" s="11">
        <v>-20107</v>
      </c>
      <c r="E16" s="11">
        <v>-20000</v>
      </c>
      <c r="F16" s="25">
        <f t="shared" si="0"/>
        <v>810</v>
      </c>
      <c r="H16" s="10"/>
      <c r="I16" s="11"/>
      <c r="K16" s="25"/>
    </row>
    <row r="17" spans="1:11" x14ac:dyDescent="0.2">
      <c r="A17" s="10">
        <v>14</v>
      </c>
      <c r="B17" s="11">
        <v>-711618</v>
      </c>
      <c r="C17" s="11">
        <v>-701605</v>
      </c>
      <c r="D17" s="11"/>
      <c r="E17" s="11"/>
      <c r="F17" s="25">
        <f t="shared" si="0"/>
        <v>10013</v>
      </c>
      <c r="H17" s="10"/>
      <c r="I17" s="11"/>
    </row>
    <row r="18" spans="1:11" x14ac:dyDescent="0.2">
      <c r="A18" s="10">
        <v>15</v>
      </c>
      <c r="B18" s="11">
        <v>-679140</v>
      </c>
      <c r="C18" s="11">
        <v>-681609</v>
      </c>
      <c r="D18" s="11"/>
      <c r="E18" s="11"/>
      <c r="F18" s="25">
        <f t="shared" si="0"/>
        <v>-2469</v>
      </c>
      <c r="H18" s="10"/>
      <c r="I18" s="11"/>
    </row>
    <row r="19" spans="1:11" x14ac:dyDescent="0.2">
      <c r="A19" s="10">
        <v>16</v>
      </c>
      <c r="B19" s="11">
        <v>-674938</v>
      </c>
      <c r="C19" s="11">
        <v>-699370</v>
      </c>
      <c r="D19" s="11">
        <v>-25872</v>
      </c>
      <c r="E19" s="11">
        <v>-25000</v>
      </c>
      <c r="F19" s="25">
        <f t="shared" si="0"/>
        <v>-23560</v>
      </c>
      <c r="H19" s="10"/>
      <c r="I19" s="11"/>
    </row>
    <row r="20" spans="1:11" x14ac:dyDescent="0.2">
      <c r="A20" s="10">
        <v>17</v>
      </c>
      <c r="B20" s="11">
        <v>-694068</v>
      </c>
      <c r="C20" s="11">
        <v>-664964</v>
      </c>
      <c r="D20" s="11">
        <v>-25122</v>
      </c>
      <c r="E20" s="11">
        <v>-25000</v>
      </c>
      <c r="F20" s="25">
        <f t="shared" si="0"/>
        <v>29226</v>
      </c>
      <c r="H20" s="10"/>
      <c r="I20" s="11"/>
    </row>
    <row r="21" spans="1:11" x14ac:dyDescent="0.2">
      <c r="A21" s="10">
        <v>18</v>
      </c>
      <c r="B21" s="11">
        <v>-715015</v>
      </c>
      <c r="C21" s="11">
        <v>-718391</v>
      </c>
      <c r="D21" s="11">
        <v>-185</v>
      </c>
      <c r="E21" s="11"/>
      <c r="F21" s="25">
        <f t="shared" si="0"/>
        <v>-3191</v>
      </c>
      <c r="H21" s="10"/>
      <c r="I21" s="11"/>
    </row>
    <row r="22" spans="1:11" x14ac:dyDescent="0.2">
      <c r="A22" s="10">
        <v>19</v>
      </c>
      <c r="B22" s="11">
        <v>-703637</v>
      </c>
      <c r="C22" s="11">
        <v>-699226</v>
      </c>
      <c r="D22" s="11">
        <v>-24990</v>
      </c>
      <c r="E22" s="11">
        <v>-25000</v>
      </c>
      <c r="F22" s="25">
        <f t="shared" si="0"/>
        <v>4401</v>
      </c>
      <c r="H22" s="10"/>
      <c r="I22" s="11"/>
    </row>
    <row r="23" spans="1:11" x14ac:dyDescent="0.2">
      <c r="A23" s="10">
        <v>20</v>
      </c>
      <c r="B23" s="11">
        <v>-684261</v>
      </c>
      <c r="C23" s="11">
        <v>-661695</v>
      </c>
      <c r="D23" s="11">
        <v>-6703</v>
      </c>
      <c r="E23" s="11">
        <v>-5000</v>
      </c>
      <c r="F23" s="25">
        <f t="shared" si="0"/>
        <v>24269</v>
      </c>
      <c r="H23" s="10"/>
      <c r="I23" s="11"/>
    </row>
    <row r="24" spans="1:11" x14ac:dyDescent="0.2">
      <c r="A24" s="10">
        <v>21</v>
      </c>
      <c r="B24" s="11">
        <v>-705505</v>
      </c>
      <c r="C24" s="11">
        <v>-692927</v>
      </c>
      <c r="D24" s="11">
        <v>-25793</v>
      </c>
      <c r="E24" s="11">
        <v>-25000</v>
      </c>
      <c r="F24" s="25">
        <f t="shared" si="0"/>
        <v>13371</v>
      </c>
      <c r="H24" s="10"/>
      <c r="I24" s="11"/>
      <c r="K24" s="25"/>
    </row>
    <row r="25" spans="1:11" x14ac:dyDescent="0.2">
      <c r="A25" s="10">
        <v>22</v>
      </c>
      <c r="B25" s="11">
        <v>-694670</v>
      </c>
      <c r="C25" s="11">
        <v>-697277</v>
      </c>
      <c r="D25" s="11">
        <v>-24997</v>
      </c>
      <c r="E25" s="11">
        <v>-25000</v>
      </c>
      <c r="F25" s="25">
        <f t="shared" si="0"/>
        <v>-2610</v>
      </c>
      <c r="H25" s="10"/>
      <c r="I25" s="11"/>
    </row>
    <row r="26" spans="1:11" x14ac:dyDescent="0.2">
      <c r="A26" s="10">
        <v>23</v>
      </c>
      <c r="B26" s="11">
        <v>-700984</v>
      </c>
      <c r="C26" s="11">
        <v>-681477</v>
      </c>
      <c r="D26" s="11">
        <v>-25002</v>
      </c>
      <c r="E26" s="11">
        <v>-25000</v>
      </c>
      <c r="F26" s="25">
        <f t="shared" si="0"/>
        <v>19509</v>
      </c>
      <c r="H26" s="10"/>
      <c r="I26" s="11"/>
    </row>
    <row r="27" spans="1:11" x14ac:dyDescent="0.2">
      <c r="A27" s="10">
        <v>24</v>
      </c>
      <c r="B27" s="11">
        <v>-680977</v>
      </c>
      <c r="C27" s="11">
        <v>-683267</v>
      </c>
      <c r="D27" s="11">
        <v>-24997</v>
      </c>
      <c r="E27" s="11">
        <v>-25000</v>
      </c>
      <c r="F27" s="25">
        <f t="shared" si="0"/>
        <v>-2293</v>
      </c>
      <c r="H27" s="10"/>
      <c r="I27" s="11"/>
      <c r="K27" s="25"/>
    </row>
    <row r="28" spans="1:11" x14ac:dyDescent="0.2">
      <c r="A28" s="10">
        <v>25</v>
      </c>
      <c r="B28" s="11">
        <v>-693830</v>
      </c>
      <c r="C28" s="11">
        <v>-704130</v>
      </c>
      <c r="D28" s="11">
        <v>-25000</v>
      </c>
      <c r="E28" s="11">
        <v>-25000</v>
      </c>
      <c r="F28" s="25">
        <f t="shared" si="0"/>
        <v>-10300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-17961539</v>
      </c>
      <c r="C35" s="11">
        <f>SUM(C4:C34)</f>
        <v>-17933487</v>
      </c>
      <c r="D35" s="11">
        <f>SUM(D4:D34)</f>
        <v>-566337</v>
      </c>
      <c r="E35" s="11">
        <f>SUM(E4:E34)</f>
        <v>-555000</v>
      </c>
      <c r="F35" s="11">
        <f>SUM(F4:F34)</f>
        <v>39389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37103</v>
      </c>
      <c r="F38" s="446">
        <v>145102</v>
      </c>
    </row>
    <row r="39" spans="1:45" x14ac:dyDescent="0.2">
      <c r="A39" s="2"/>
      <c r="F39" s="24"/>
    </row>
    <row r="40" spans="1:45" x14ac:dyDescent="0.2">
      <c r="A40" s="57">
        <v>37128</v>
      </c>
      <c r="F40" s="51">
        <f>+F38+F35</f>
        <v>184491</v>
      </c>
    </row>
    <row r="42" spans="1:45" x14ac:dyDescent="0.2">
      <c r="AF42" s="307"/>
      <c r="AG42" s="307"/>
      <c r="AH42" s="307"/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8"/>
      <c r="AG43" s="307"/>
      <c r="AH43" s="307"/>
      <c r="AI43" s="309"/>
      <c r="AJ43" s="308"/>
      <c r="AK43" s="307"/>
      <c r="AL43" s="307"/>
      <c r="AM43" s="309"/>
      <c r="AN43" s="308"/>
      <c r="AO43" s="307"/>
      <c r="AP43" s="307"/>
      <c r="AQ43" s="307"/>
      <c r="AR43" s="307"/>
      <c r="AS43" s="307"/>
    </row>
    <row r="44" spans="1:45" x14ac:dyDescent="0.2">
      <c r="A44" s="32" t="s">
        <v>158</v>
      </c>
      <c r="B44" s="32"/>
      <c r="C44" s="32"/>
      <c r="D44" s="47"/>
      <c r="K44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</row>
    <row r="45" spans="1:45" x14ac:dyDescent="0.2">
      <c r="A45" s="49">
        <f>+A38</f>
        <v>37103</v>
      </c>
      <c r="B45" s="32"/>
      <c r="C45" s="32"/>
      <c r="D45" s="440">
        <v>448413.9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0"/>
      <c r="AG45" s="310"/>
      <c r="AH45" s="307"/>
      <c r="AI45" s="311"/>
      <c r="AJ45" s="310"/>
      <c r="AK45" s="310"/>
      <c r="AL45" s="307"/>
      <c r="AM45" s="311"/>
      <c r="AN45" s="310"/>
      <c r="AO45" s="310"/>
      <c r="AP45" s="307"/>
      <c r="AQ45" s="307"/>
      <c r="AR45" s="307"/>
      <c r="AS45" s="307"/>
    </row>
    <row r="46" spans="1:45" x14ac:dyDescent="0.2">
      <c r="A46" s="49">
        <f>+A40</f>
        <v>37128</v>
      </c>
      <c r="B46" s="32"/>
      <c r="C46" s="32"/>
      <c r="D46" s="408">
        <f>+F35*'by type'!J4</f>
        <v>111864.76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2"/>
      <c r="AG46" s="312"/>
      <c r="AH46" s="313"/>
      <c r="AI46" s="314"/>
      <c r="AJ46" s="312"/>
      <c r="AK46" s="312"/>
      <c r="AL46" s="313"/>
      <c r="AM46" s="314"/>
      <c r="AN46" s="312"/>
      <c r="AO46" s="312"/>
      <c r="AP46" s="313"/>
      <c r="AQ46" s="307"/>
      <c r="AR46" s="307"/>
      <c r="AS46" s="307"/>
    </row>
    <row r="47" spans="1:45" x14ac:dyDescent="0.2">
      <c r="A47" s="32"/>
      <c r="B47" s="32"/>
      <c r="C47" s="32"/>
      <c r="D47" s="202">
        <f>+D46+D45</f>
        <v>560278.66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2"/>
      <c r="AG47" s="312"/>
      <c r="AH47" s="313"/>
      <c r="AI47" s="314"/>
      <c r="AJ47" s="312"/>
      <c r="AK47" s="312"/>
      <c r="AL47" s="313"/>
      <c r="AM47" s="314"/>
      <c r="AN47" s="312"/>
      <c r="AO47" s="312"/>
      <c r="AP47" s="313"/>
      <c r="AQ47" s="307"/>
      <c r="AR47" s="307"/>
      <c r="AS47" s="307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2"/>
      <c r="AG48" s="312"/>
      <c r="AH48" s="313"/>
      <c r="AI48" s="314"/>
      <c r="AJ48" s="312"/>
      <c r="AK48" s="312"/>
      <c r="AL48" s="313"/>
      <c r="AM48" s="314"/>
      <c r="AN48" s="312"/>
      <c r="AO48" s="312"/>
      <c r="AP48" s="313"/>
      <c r="AQ48" s="307"/>
      <c r="AR48" s="307"/>
      <c r="AS48" s="307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2"/>
      <c r="AG49" s="312"/>
      <c r="AH49" s="313"/>
      <c r="AI49" s="314"/>
      <c r="AJ49" s="312"/>
      <c r="AK49" s="312"/>
      <c r="AL49" s="313"/>
      <c r="AM49" s="314"/>
      <c r="AN49" s="312"/>
      <c r="AO49" s="312"/>
      <c r="AP49" s="313"/>
      <c r="AQ49" s="307"/>
      <c r="AR49" s="307"/>
      <c r="AS49" s="307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2"/>
      <c r="AG50" s="312"/>
      <c r="AH50" s="313"/>
      <c r="AI50" s="314"/>
      <c r="AJ50" s="312"/>
      <c r="AK50" s="312"/>
      <c r="AL50" s="313"/>
      <c r="AM50" s="314"/>
      <c r="AN50" s="312"/>
      <c r="AO50" s="312"/>
      <c r="AP50" s="313"/>
      <c r="AQ50" s="307"/>
      <c r="AR50" s="307"/>
      <c r="AS50" s="307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2"/>
      <c r="AG51" s="312"/>
      <c r="AH51" s="313"/>
      <c r="AI51" s="314"/>
      <c r="AJ51" s="312"/>
      <c r="AK51" s="312"/>
      <c r="AL51" s="313"/>
      <c r="AM51" s="314"/>
      <c r="AN51" s="312"/>
      <c r="AO51" s="312"/>
      <c r="AP51" s="313"/>
      <c r="AQ51" s="307"/>
      <c r="AR51" s="307"/>
      <c r="AS51" s="307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2"/>
      <c r="AG52" s="312"/>
      <c r="AH52" s="313"/>
      <c r="AI52" s="314"/>
      <c r="AJ52" s="312"/>
      <c r="AK52" s="312"/>
      <c r="AL52" s="313"/>
      <c r="AM52" s="314"/>
      <c r="AN52" s="312"/>
      <c r="AO52" s="312"/>
      <c r="AP52" s="313"/>
      <c r="AQ52" s="307"/>
      <c r="AR52" s="307"/>
      <c r="AS52" s="307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2"/>
      <c r="AG53" s="312"/>
      <c r="AH53" s="313"/>
      <c r="AI53" s="314"/>
      <c r="AJ53" s="312"/>
      <c r="AK53" s="312"/>
      <c r="AL53" s="313"/>
      <c r="AM53" s="314"/>
      <c r="AN53" s="312"/>
      <c r="AO53" s="312"/>
      <c r="AP53" s="313"/>
      <c r="AQ53" s="307"/>
      <c r="AR53" s="307"/>
      <c r="AS53" s="307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2"/>
      <c r="AG54" s="312"/>
      <c r="AH54" s="313"/>
      <c r="AI54" s="314"/>
      <c r="AJ54" s="312"/>
      <c r="AK54" s="312"/>
      <c r="AL54" s="313"/>
      <c r="AM54" s="314"/>
      <c r="AN54" s="312"/>
      <c r="AO54" s="312"/>
      <c r="AP54" s="313"/>
      <c r="AQ54" s="307"/>
      <c r="AR54" s="307"/>
      <c r="AS54" s="307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2"/>
      <c r="AG55" s="312"/>
      <c r="AH55" s="313"/>
      <c r="AI55" s="314"/>
      <c r="AJ55" s="312"/>
      <c r="AK55" s="312"/>
      <c r="AL55" s="313"/>
      <c r="AM55" s="314"/>
      <c r="AN55" s="312"/>
      <c r="AO55" s="312"/>
      <c r="AP55" s="313"/>
      <c r="AQ55" s="307"/>
      <c r="AR55" s="307"/>
      <c r="AS55" s="307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2"/>
      <c r="AG56" s="312"/>
      <c r="AH56" s="313"/>
      <c r="AI56" s="314"/>
      <c r="AJ56" s="312"/>
      <c r="AK56" s="312"/>
      <c r="AL56" s="313"/>
      <c r="AM56" s="314"/>
      <c r="AN56" s="312"/>
      <c r="AO56" s="312"/>
      <c r="AP56" s="313"/>
      <c r="AQ56" s="307"/>
      <c r="AR56" s="307"/>
      <c r="AS56" s="307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2"/>
      <c r="AG57" s="312"/>
      <c r="AH57" s="313"/>
      <c r="AI57" s="314"/>
      <c r="AJ57" s="312"/>
      <c r="AK57" s="312"/>
      <c r="AL57" s="313"/>
      <c r="AM57" s="314"/>
      <c r="AN57" s="312"/>
      <c r="AO57" s="312"/>
      <c r="AP57" s="313"/>
      <c r="AQ57" s="307"/>
      <c r="AR57" s="307"/>
      <c r="AS57" s="307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2"/>
      <c r="AG58" s="312"/>
      <c r="AH58" s="313"/>
      <c r="AI58" s="314"/>
      <c r="AJ58" s="312"/>
      <c r="AK58" s="312"/>
      <c r="AL58" s="313"/>
      <c r="AM58" s="314"/>
      <c r="AN58" s="312"/>
      <c r="AO58" s="312"/>
      <c r="AP58" s="313"/>
      <c r="AQ58" s="307"/>
      <c r="AR58" s="307"/>
      <c r="AS58" s="307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2"/>
      <c r="AG59" s="312"/>
      <c r="AH59" s="313"/>
      <c r="AI59" s="314"/>
      <c r="AJ59" s="312"/>
      <c r="AK59" s="312"/>
      <c r="AL59" s="313"/>
      <c r="AM59" s="314"/>
      <c r="AN59" s="312"/>
      <c r="AO59" s="312"/>
      <c r="AP59" s="313"/>
      <c r="AQ59" s="307"/>
      <c r="AR59" s="307"/>
      <c r="AS59" s="307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2"/>
      <c r="AG60" s="312"/>
      <c r="AH60" s="313"/>
      <c r="AI60" s="314"/>
      <c r="AJ60" s="312"/>
      <c r="AK60" s="312"/>
      <c r="AL60" s="313"/>
      <c r="AM60" s="314"/>
      <c r="AN60" s="312"/>
      <c r="AO60" s="312"/>
      <c r="AP60" s="313"/>
      <c r="AQ60" s="307"/>
      <c r="AR60" s="307"/>
      <c r="AS60" s="307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2"/>
      <c r="AG61" s="312"/>
      <c r="AH61" s="313"/>
      <c r="AI61" s="314"/>
      <c r="AJ61" s="312"/>
      <c r="AK61" s="312"/>
      <c r="AL61" s="313"/>
      <c r="AM61" s="314"/>
      <c r="AN61" s="312"/>
      <c r="AO61" s="312"/>
      <c r="AP61" s="313"/>
      <c r="AQ61" s="307"/>
      <c r="AR61" s="307"/>
      <c r="AS61" s="307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2"/>
      <c r="AG62" s="312"/>
      <c r="AH62" s="313"/>
      <c r="AI62" s="314"/>
      <c r="AJ62" s="312"/>
      <c r="AK62" s="312"/>
      <c r="AL62" s="313"/>
      <c r="AM62" s="314"/>
      <c r="AN62" s="312"/>
      <c r="AO62" s="312"/>
      <c r="AP62" s="313"/>
      <c r="AQ62" s="307"/>
      <c r="AR62" s="307"/>
      <c r="AS62" s="307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2"/>
      <c r="AG63" s="312"/>
      <c r="AH63" s="313"/>
      <c r="AI63" s="314"/>
      <c r="AJ63" s="312"/>
      <c r="AK63" s="312"/>
      <c r="AL63" s="313"/>
      <c r="AM63" s="314"/>
      <c r="AN63" s="312"/>
      <c r="AO63" s="312"/>
      <c r="AP63" s="313"/>
      <c r="AQ63" s="307"/>
      <c r="AR63" s="307"/>
      <c r="AS63" s="307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2"/>
      <c r="AG64" s="312"/>
      <c r="AH64" s="313"/>
      <c r="AI64" s="314"/>
      <c r="AJ64" s="312"/>
      <c r="AK64" s="312"/>
      <c r="AL64" s="313"/>
      <c r="AM64" s="314"/>
      <c r="AN64" s="312"/>
      <c r="AO64" s="312"/>
      <c r="AP64" s="313"/>
      <c r="AQ64" s="307"/>
      <c r="AR64" s="307"/>
      <c r="AS64" s="307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2"/>
      <c r="AG65" s="312"/>
      <c r="AH65" s="313"/>
      <c r="AI65" s="314"/>
      <c r="AJ65" s="312"/>
      <c r="AK65" s="312"/>
      <c r="AL65" s="313"/>
      <c r="AM65" s="314"/>
      <c r="AN65" s="312"/>
      <c r="AO65" s="312"/>
      <c r="AP65" s="313"/>
      <c r="AQ65" s="307"/>
      <c r="AR65" s="307"/>
      <c r="AS65" s="307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2"/>
      <c r="AG66" s="312"/>
      <c r="AH66" s="313"/>
      <c r="AI66" s="314"/>
      <c r="AJ66" s="312"/>
      <c r="AK66" s="312"/>
      <c r="AL66" s="313"/>
      <c r="AM66" s="314"/>
      <c r="AN66" s="312"/>
      <c r="AO66" s="312"/>
      <c r="AP66" s="313"/>
      <c r="AQ66" s="307"/>
      <c r="AR66" s="307"/>
      <c r="AS66" s="307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2"/>
      <c r="AG67" s="312"/>
      <c r="AH67" s="313"/>
      <c r="AI67" s="314"/>
      <c r="AJ67" s="312"/>
      <c r="AK67" s="312"/>
      <c r="AL67" s="313"/>
      <c r="AM67" s="314"/>
      <c r="AN67" s="312"/>
      <c r="AO67" s="312"/>
      <c r="AP67" s="313"/>
      <c r="AQ67" s="307"/>
      <c r="AR67" s="307"/>
      <c r="AS67" s="307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2"/>
      <c r="AG68" s="312"/>
      <c r="AH68" s="313"/>
      <c r="AI68" s="314"/>
      <c r="AJ68" s="312"/>
      <c r="AK68" s="312"/>
      <c r="AL68" s="313"/>
      <c r="AM68" s="314"/>
      <c r="AN68" s="312"/>
      <c r="AO68" s="312"/>
      <c r="AP68" s="313"/>
      <c r="AQ68" s="307"/>
      <c r="AR68" s="307"/>
      <c r="AS68" s="307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2"/>
      <c r="AG69" s="312"/>
      <c r="AH69" s="313"/>
      <c r="AI69" s="314"/>
      <c r="AJ69" s="312"/>
      <c r="AK69" s="312"/>
      <c r="AL69" s="313"/>
      <c r="AM69" s="314"/>
      <c r="AN69" s="312"/>
      <c r="AO69" s="312"/>
      <c r="AP69" s="313"/>
      <c r="AQ69" s="307"/>
      <c r="AR69" s="307"/>
      <c r="AS69" s="307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2"/>
      <c r="AG70" s="312"/>
      <c r="AH70" s="313"/>
      <c r="AI70" s="314"/>
      <c r="AJ70" s="312"/>
      <c r="AK70" s="312"/>
      <c r="AL70" s="313"/>
      <c r="AM70" s="314"/>
      <c r="AN70" s="312"/>
      <c r="AO70" s="312"/>
      <c r="AP70" s="313"/>
      <c r="AQ70" s="307"/>
      <c r="AR70" s="307"/>
      <c r="AS70" s="307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2"/>
      <c r="AG71" s="312"/>
      <c r="AH71" s="313"/>
      <c r="AI71" s="314"/>
      <c r="AJ71" s="312"/>
      <c r="AK71" s="312"/>
      <c r="AL71" s="313"/>
      <c r="AM71" s="314"/>
      <c r="AN71" s="312"/>
      <c r="AO71" s="312"/>
      <c r="AP71" s="313"/>
      <c r="AQ71" s="307"/>
      <c r="AR71" s="307"/>
      <c r="AS71" s="307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2"/>
      <c r="AG72" s="312"/>
      <c r="AH72" s="313"/>
      <c r="AI72" s="314"/>
      <c r="AJ72" s="312"/>
      <c r="AK72" s="312"/>
      <c r="AL72" s="313"/>
      <c r="AM72" s="314"/>
      <c r="AN72" s="312"/>
      <c r="AO72" s="312"/>
      <c r="AP72" s="313"/>
      <c r="AQ72" s="307"/>
      <c r="AR72" s="307"/>
      <c r="AS72" s="307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2"/>
      <c r="AG73" s="312"/>
      <c r="AH73" s="313"/>
      <c r="AI73" s="314"/>
      <c r="AJ73" s="312"/>
      <c r="AK73" s="312"/>
      <c r="AL73" s="313"/>
      <c r="AM73" s="314"/>
      <c r="AN73" s="312"/>
      <c r="AO73" s="312"/>
      <c r="AP73" s="313"/>
      <c r="AQ73" s="307"/>
      <c r="AR73" s="307"/>
      <c r="AS73" s="307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2"/>
      <c r="AG74" s="312"/>
      <c r="AH74" s="313"/>
      <c r="AI74" s="314"/>
      <c r="AJ74" s="312"/>
      <c r="AK74" s="312"/>
      <c r="AL74" s="313"/>
      <c r="AM74" s="314"/>
      <c r="AN74" s="312"/>
      <c r="AO74" s="312"/>
      <c r="AP74" s="313"/>
      <c r="AQ74" s="307"/>
      <c r="AR74" s="307"/>
      <c r="AS74" s="307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2"/>
      <c r="AG75" s="312"/>
      <c r="AH75" s="313"/>
      <c r="AI75" s="314"/>
      <c r="AJ75" s="312"/>
      <c r="AK75" s="312"/>
      <c r="AL75" s="313"/>
      <c r="AM75" s="314"/>
      <c r="AN75" s="312"/>
      <c r="AO75" s="312"/>
      <c r="AP75" s="313"/>
      <c r="AQ75" s="307"/>
      <c r="AR75" s="307"/>
      <c r="AS75" s="307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2"/>
      <c r="AG76" s="312"/>
      <c r="AH76" s="313"/>
      <c r="AI76" s="314"/>
      <c r="AJ76" s="312"/>
      <c r="AK76" s="312"/>
      <c r="AL76" s="313"/>
      <c r="AM76" s="314"/>
      <c r="AN76" s="312"/>
      <c r="AO76" s="312"/>
      <c r="AP76" s="313"/>
      <c r="AQ76" s="307"/>
      <c r="AR76" s="307"/>
      <c r="AS76" s="307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2"/>
      <c r="AG77" s="312"/>
      <c r="AH77" s="312"/>
      <c r="AI77" s="314"/>
      <c r="AJ77" s="312"/>
      <c r="AK77" s="312"/>
      <c r="AL77" s="312"/>
      <c r="AM77" s="314"/>
      <c r="AN77" s="312"/>
      <c r="AO77" s="312"/>
      <c r="AP77" s="312"/>
      <c r="AQ77" s="307"/>
      <c r="AR77" s="307"/>
      <c r="AS77" s="307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7"/>
      <c r="AG78" s="313"/>
      <c r="AH78" s="315"/>
      <c r="AI78" s="316"/>
      <c r="AJ78" s="307"/>
      <c r="AK78" s="313"/>
      <c r="AL78" s="315"/>
      <c r="AM78" s="316"/>
      <c r="AN78" s="307"/>
      <c r="AO78" s="313"/>
      <c r="AP78" s="315"/>
      <c r="AQ78" s="307"/>
      <c r="AR78" s="307"/>
      <c r="AS78" s="307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7"/>
      <c r="AG79" s="307"/>
      <c r="AH79" s="317"/>
      <c r="AI79" s="307"/>
      <c r="AJ79" s="307"/>
      <c r="AK79" s="307"/>
      <c r="AL79" s="317"/>
      <c r="AM79" s="307"/>
      <c r="AN79" s="307"/>
      <c r="AO79" s="307"/>
      <c r="AP79" s="317"/>
      <c r="AQ79" s="307"/>
      <c r="AR79" s="307"/>
      <c r="AS79" s="307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7"/>
      <c r="AG80" s="307"/>
      <c r="AH80" s="317"/>
      <c r="AI80" s="318"/>
      <c r="AJ80" s="307"/>
      <c r="AK80" s="307"/>
      <c r="AL80" s="317"/>
      <c r="AM80" s="318"/>
      <c r="AN80" s="307"/>
      <c r="AO80" s="307"/>
      <c r="AP80" s="317"/>
      <c r="AQ80" s="307"/>
      <c r="AR80" s="307"/>
      <c r="AS80" s="307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7"/>
      <c r="AG81" s="307"/>
      <c r="AH81" s="317"/>
      <c r="AI81" s="315"/>
      <c r="AJ81" s="307"/>
      <c r="AK81" s="307"/>
      <c r="AL81" s="317"/>
      <c r="AM81" s="315"/>
      <c r="AN81" s="307"/>
      <c r="AO81" s="307"/>
      <c r="AP81" s="317"/>
      <c r="AQ81" s="307"/>
      <c r="AR81" s="307"/>
      <c r="AS81" s="307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7"/>
      <c r="AG82" s="307"/>
      <c r="AH82" s="317"/>
      <c r="AI82" s="318"/>
      <c r="AJ82" s="307"/>
      <c r="AK82" s="307"/>
      <c r="AL82" s="317"/>
      <c r="AM82" s="318"/>
      <c r="AN82" s="307"/>
      <c r="AO82" s="307"/>
      <c r="AP82" s="317"/>
      <c r="AQ82" s="307"/>
      <c r="AR82" s="307"/>
      <c r="AS82" s="307"/>
    </row>
    <row r="83" spans="4:45" x14ac:dyDescent="0.2">
      <c r="AE83" s="32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</row>
    <row r="84" spans="4:45" x14ac:dyDescent="0.2">
      <c r="AE84" s="32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</row>
    <row r="85" spans="4:45" x14ac:dyDescent="0.2"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</row>
    <row r="86" spans="4:45" x14ac:dyDescent="0.2"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</row>
    <row r="87" spans="4:45" x14ac:dyDescent="0.2"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</row>
    <row r="88" spans="4:45" x14ac:dyDescent="0.2"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</row>
    <row r="89" spans="4:45" x14ac:dyDescent="0.2"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</row>
    <row r="90" spans="4:45" x14ac:dyDescent="0.2"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</row>
    <row r="91" spans="4:45" x14ac:dyDescent="0.2">
      <c r="AF91" s="307"/>
      <c r="AG91" s="307"/>
      <c r="AH91" s="307"/>
      <c r="AI91" s="307"/>
      <c r="AJ91" s="307"/>
      <c r="AK91" s="307"/>
      <c r="AL91" s="307"/>
      <c r="AM91" s="307"/>
      <c r="AN91" s="307"/>
      <c r="AO91" s="307"/>
      <c r="AP91" s="307"/>
      <c r="AQ91" s="307"/>
      <c r="AR91" s="307"/>
      <c r="AS91" s="307"/>
    </row>
    <row r="92" spans="4:45" x14ac:dyDescent="0.2">
      <c r="AF92" s="307"/>
      <c r="AG92" s="307"/>
      <c r="AH92" s="307"/>
      <c r="AI92" s="307"/>
      <c r="AJ92" s="307"/>
      <c r="AK92" s="307"/>
      <c r="AL92" s="307"/>
      <c r="AM92" s="307"/>
      <c r="AN92" s="307"/>
      <c r="AO92" s="307"/>
      <c r="AP92" s="307"/>
      <c r="AQ92" s="307"/>
      <c r="AR92" s="307"/>
      <c r="AS92" s="307"/>
    </row>
    <row r="93" spans="4:45" x14ac:dyDescent="0.2">
      <c r="AF93" s="307"/>
      <c r="AG93" s="307"/>
      <c r="AH93" s="307"/>
      <c r="AI93" s="307"/>
      <c r="AJ93" s="307"/>
      <c r="AK93" s="307"/>
      <c r="AL93" s="307"/>
      <c r="AM93" s="307"/>
      <c r="AN93" s="307"/>
      <c r="AO93" s="307"/>
      <c r="AP93" s="307"/>
      <c r="AQ93" s="307"/>
      <c r="AR93" s="307"/>
      <c r="AS93" s="307"/>
    </row>
    <row r="94" spans="4:45" x14ac:dyDescent="0.2">
      <c r="AF94" s="307"/>
      <c r="AG94" s="307"/>
      <c r="AH94" s="307"/>
      <c r="AI94" s="307"/>
      <c r="AJ94" s="307"/>
      <c r="AK94" s="307"/>
      <c r="AL94" s="307"/>
      <c r="AM94" s="307"/>
      <c r="AN94" s="307"/>
      <c r="AO94" s="307"/>
      <c r="AP94" s="307"/>
      <c r="AQ94" s="307"/>
      <c r="AR94" s="307"/>
      <c r="AS94" s="307"/>
    </row>
    <row r="95" spans="4:45" x14ac:dyDescent="0.2"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</row>
    <row r="96" spans="4:45" x14ac:dyDescent="0.2">
      <c r="AF96" s="307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</row>
    <row r="97" spans="32:45" x14ac:dyDescent="0.2">
      <c r="AF97" s="307"/>
      <c r="AG97" s="307"/>
      <c r="AH97" s="307"/>
      <c r="AI97" s="307"/>
      <c r="AJ97" s="307"/>
      <c r="AK97" s="307"/>
      <c r="AL97" s="307"/>
      <c r="AM97" s="307"/>
      <c r="AN97" s="307"/>
      <c r="AO97" s="307"/>
      <c r="AP97" s="307"/>
      <c r="AQ97" s="307"/>
      <c r="AR97" s="307"/>
      <c r="AS97" s="307"/>
    </row>
    <row r="98" spans="32:45" x14ac:dyDescent="0.2">
      <c r="AF98" s="307"/>
      <c r="AG98" s="307"/>
      <c r="AH98" s="307"/>
      <c r="AI98" s="307"/>
      <c r="AJ98" s="307"/>
      <c r="AK98" s="307"/>
      <c r="AL98" s="307"/>
      <c r="AM98" s="307"/>
      <c r="AN98" s="307"/>
      <c r="AO98" s="307"/>
      <c r="AP98" s="307"/>
      <c r="AQ98" s="307"/>
      <c r="AR98" s="307"/>
      <c r="AS98" s="307"/>
    </row>
    <row r="99" spans="32:45" x14ac:dyDescent="0.2">
      <c r="AF99" s="307"/>
      <c r="AG99" s="307"/>
      <c r="AH99" s="307"/>
      <c r="AI99" s="307"/>
      <c r="AJ99" s="307"/>
      <c r="AK99" s="307"/>
      <c r="AL99" s="307"/>
      <c r="AM99" s="307"/>
      <c r="AN99" s="307"/>
      <c r="AO99" s="307"/>
      <c r="AP99" s="307"/>
      <c r="AQ99" s="307"/>
      <c r="AR99" s="307"/>
      <c r="AS99" s="307"/>
    </row>
    <row r="100" spans="32:45" x14ac:dyDescent="0.2">
      <c r="AF100" s="307"/>
      <c r="AG100" s="307"/>
      <c r="AH100" s="307"/>
      <c r="AI100" s="307"/>
      <c r="AJ100" s="307"/>
      <c r="AK100" s="307"/>
      <c r="AL100" s="307"/>
      <c r="AM100" s="307"/>
      <c r="AN100" s="307"/>
      <c r="AO100" s="307"/>
      <c r="AP100" s="307"/>
      <c r="AQ100" s="307"/>
      <c r="AR100" s="307"/>
      <c r="AS100" s="307"/>
    </row>
    <row r="101" spans="32:45" x14ac:dyDescent="0.2">
      <c r="AF101" s="307"/>
      <c r="AG101" s="307"/>
      <c r="AH101" s="307"/>
      <c r="AI101" s="307"/>
      <c r="AJ101" s="307"/>
      <c r="AK101" s="307"/>
      <c r="AL101" s="307"/>
      <c r="AM101" s="307"/>
      <c r="AN101" s="307"/>
      <c r="AO101" s="307"/>
      <c r="AP101" s="307"/>
      <c r="AQ101" s="307"/>
      <c r="AR101" s="307"/>
      <c r="AS101" s="307"/>
    </row>
    <row r="102" spans="32:45" x14ac:dyDescent="0.2">
      <c r="AF102" s="307"/>
      <c r="AG102" s="307"/>
      <c r="AH102" s="307"/>
      <c r="AI102" s="307"/>
      <c r="AJ102" s="307"/>
      <c r="AK102" s="307"/>
      <c r="AL102" s="307"/>
      <c r="AM102" s="307"/>
      <c r="AN102" s="307"/>
      <c r="AO102" s="307"/>
      <c r="AP102" s="307"/>
      <c r="AQ102" s="307"/>
      <c r="AR102" s="307"/>
      <c r="AS102" s="307"/>
    </row>
    <row r="103" spans="32:45" x14ac:dyDescent="0.2">
      <c r="AF103" s="307"/>
      <c r="AG103" s="307"/>
      <c r="AH103" s="307"/>
      <c r="AI103" s="307"/>
      <c r="AJ103" s="307"/>
      <c r="AK103" s="307"/>
      <c r="AL103" s="307"/>
      <c r="AM103" s="307"/>
      <c r="AN103" s="307"/>
      <c r="AO103" s="307"/>
      <c r="AP103" s="307"/>
      <c r="AQ103" s="307"/>
      <c r="AR103" s="307"/>
      <c r="AS103" s="307"/>
    </row>
    <row r="104" spans="32:45" x14ac:dyDescent="0.2">
      <c r="AF104" s="307"/>
      <c r="AG104" s="307"/>
      <c r="AH104" s="307"/>
      <c r="AI104" s="307"/>
      <c r="AJ104" s="307"/>
      <c r="AK104" s="307"/>
      <c r="AL104" s="307"/>
      <c r="AM104" s="307"/>
      <c r="AN104" s="307"/>
      <c r="AO104" s="307"/>
      <c r="AP104" s="307"/>
      <c r="AQ104" s="307"/>
      <c r="AR104" s="307"/>
      <c r="AS104" s="307"/>
    </row>
    <row r="105" spans="32:45" x14ac:dyDescent="0.2">
      <c r="AF105" s="307"/>
      <c r="AG105" s="307"/>
      <c r="AH105" s="307"/>
      <c r="AI105" s="307"/>
      <c r="AJ105" s="307"/>
      <c r="AK105" s="307"/>
      <c r="AL105" s="307"/>
      <c r="AM105" s="307"/>
      <c r="AN105" s="307"/>
      <c r="AO105" s="307"/>
      <c r="AP105" s="307"/>
      <c r="AQ105" s="307"/>
      <c r="AR105" s="307"/>
      <c r="AS105" s="30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19" workbookViewId="3">
      <selection activeCell="E40" sqref="E40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>
        <v>-132997</v>
      </c>
      <c r="C4" s="11">
        <v>-79207</v>
      </c>
      <c r="D4" s="11">
        <v>-39109</v>
      </c>
      <c r="E4" s="11">
        <v>-92874</v>
      </c>
      <c r="F4" s="11"/>
      <c r="G4" s="11"/>
      <c r="H4" s="11">
        <f>+G4+E4+C4-F4-D4-B4</f>
        <v>25</v>
      </c>
      <c r="I4" s="11"/>
      <c r="J4" s="102"/>
      <c r="K4" s="466"/>
      <c r="L4" s="466"/>
      <c r="M4" s="466"/>
      <c r="N4" s="466"/>
      <c r="O4" s="295"/>
      <c r="P4" s="295"/>
    </row>
    <row r="5" spans="1:17" ht="12.75" x14ac:dyDescent="0.2">
      <c r="A5" s="41">
        <v>2</v>
      </c>
      <c r="B5" s="11">
        <v>-112568</v>
      </c>
      <c r="C5" s="11">
        <v>-53005</v>
      </c>
      <c r="D5" s="129">
        <v>-40001</v>
      </c>
      <c r="E5" s="11">
        <v>-99950</v>
      </c>
      <c r="F5" s="11"/>
      <c r="G5" s="11"/>
      <c r="H5" s="11">
        <f t="shared" ref="H5:H34" si="0">+G5+E5+C5-F5-D5-B5</f>
        <v>-386</v>
      </c>
      <c r="I5" s="11"/>
      <c r="J5" s="102"/>
      <c r="K5" s="118"/>
      <c r="L5" s="34"/>
      <c r="M5" s="34"/>
      <c r="N5" s="189"/>
      <c r="O5" s="467" t="s">
        <v>197</v>
      </c>
      <c r="P5" s="189"/>
      <c r="Q5" s="2"/>
    </row>
    <row r="6" spans="1:17" ht="12.75" x14ac:dyDescent="0.2">
      <c r="A6" s="41">
        <v>3</v>
      </c>
      <c r="B6" s="11">
        <v>-144086</v>
      </c>
      <c r="C6" s="11">
        <v>-117734</v>
      </c>
      <c r="D6" s="11">
        <v>-40000</v>
      </c>
      <c r="E6" s="11">
        <v>-65000</v>
      </c>
      <c r="F6" s="11"/>
      <c r="G6" s="11"/>
      <c r="H6" s="11">
        <f t="shared" si="0"/>
        <v>1352</v>
      </c>
      <c r="I6" s="11"/>
      <c r="J6" s="102"/>
      <c r="K6" s="118" t="s">
        <v>40</v>
      </c>
      <c r="L6" s="468" t="s">
        <v>20</v>
      </c>
      <c r="M6" s="468" t="s">
        <v>21</v>
      </c>
      <c r="N6" s="469" t="s">
        <v>51</v>
      </c>
      <c r="O6" s="467" t="s">
        <v>16</v>
      </c>
      <c r="P6" s="189" t="s">
        <v>28</v>
      </c>
      <c r="Q6" s="2"/>
    </row>
    <row r="7" spans="1:17" ht="12.75" x14ac:dyDescent="0.2">
      <c r="A7" s="41">
        <v>4</v>
      </c>
      <c r="B7" s="11">
        <v>-151514</v>
      </c>
      <c r="C7" s="11">
        <v>-150002</v>
      </c>
      <c r="D7" s="129">
        <v>-55771</v>
      </c>
      <c r="E7" s="11">
        <v>-56162</v>
      </c>
      <c r="F7" s="11"/>
      <c r="G7" s="11"/>
      <c r="H7" s="11">
        <f t="shared" si="0"/>
        <v>1121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>
        <v>-151656</v>
      </c>
      <c r="C8" s="11">
        <v>-150001</v>
      </c>
      <c r="D8" s="11">
        <v>-55077</v>
      </c>
      <c r="E8" s="11">
        <v>-56162</v>
      </c>
      <c r="F8" s="11"/>
      <c r="G8" s="11"/>
      <c r="H8" s="11">
        <f t="shared" si="0"/>
        <v>570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>
        <v>-153786</v>
      </c>
      <c r="C9" s="11">
        <v>-150001</v>
      </c>
      <c r="D9" s="11">
        <v>-52179</v>
      </c>
      <c r="E9" s="11">
        <v>-56162</v>
      </c>
      <c r="F9" s="11"/>
      <c r="G9" s="11"/>
      <c r="H9" s="11">
        <f t="shared" si="0"/>
        <v>-198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67">
        <v>8.2100000000000009</v>
      </c>
      <c r="P9" s="472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>
        <v>-138012</v>
      </c>
      <c r="C10" s="11">
        <v>-58418</v>
      </c>
      <c r="D10" s="11">
        <v>-1800</v>
      </c>
      <c r="E10" s="11">
        <v>-79718</v>
      </c>
      <c r="F10" s="11"/>
      <c r="G10" s="11"/>
      <c r="H10" s="11">
        <f t="shared" si="0"/>
        <v>1676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67">
        <v>5.62</v>
      </c>
      <c r="P10" s="472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>
        <v>-144890</v>
      </c>
      <c r="C11" s="11">
        <v>-82115</v>
      </c>
      <c r="D11" s="129">
        <v>-48170</v>
      </c>
      <c r="E11" s="11">
        <v>-109950</v>
      </c>
      <c r="F11" s="11"/>
      <c r="G11" s="11"/>
      <c r="H11" s="11">
        <f t="shared" si="0"/>
        <v>995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67">
        <v>4.9800000000000004</v>
      </c>
      <c r="P11" s="472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>
        <v>-123111</v>
      </c>
      <c r="C12" s="11">
        <v>-64023</v>
      </c>
      <c r="D12" s="11">
        <v>-1611</v>
      </c>
      <c r="E12" s="11">
        <v>-59950</v>
      </c>
      <c r="F12" s="11"/>
      <c r="G12" s="11"/>
      <c r="H12" s="11">
        <f t="shared" si="0"/>
        <v>749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67">
        <v>4.87</v>
      </c>
      <c r="P12" s="472">
        <f t="shared" si="2"/>
        <v>131246.5</v>
      </c>
      <c r="Q12" s="2"/>
    </row>
    <row r="13" spans="1:17" ht="20.100000000000001" customHeight="1" x14ac:dyDescent="0.2">
      <c r="A13" s="41">
        <v>10</v>
      </c>
      <c r="B13" s="11">
        <v>-150424</v>
      </c>
      <c r="C13" s="11">
        <v>-90703</v>
      </c>
      <c r="D13" s="11"/>
      <c r="E13" s="129">
        <v>-59808</v>
      </c>
      <c r="F13" s="11"/>
      <c r="G13" s="11"/>
      <c r="H13" s="11">
        <f t="shared" si="0"/>
        <v>-87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67">
        <v>3.82</v>
      </c>
      <c r="P13" s="472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>
        <v>-159237</v>
      </c>
      <c r="C14" s="11">
        <v>-138136</v>
      </c>
      <c r="D14" s="11">
        <v>-58416</v>
      </c>
      <c r="E14" s="11">
        <v>-79950</v>
      </c>
      <c r="F14" s="11"/>
      <c r="G14" s="11"/>
      <c r="H14" s="11">
        <f t="shared" si="0"/>
        <v>-433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67">
        <v>3.2</v>
      </c>
      <c r="P14" s="472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>
        <v>-153130</v>
      </c>
      <c r="C15" s="11">
        <v>-130080</v>
      </c>
      <c r="D15" s="11">
        <v>-56945</v>
      </c>
      <c r="E15" s="11">
        <v>-79950</v>
      </c>
      <c r="F15" s="11"/>
      <c r="G15" s="11"/>
      <c r="H15" s="11">
        <f t="shared" si="0"/>
        <v>45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67">
        <v>2.77</v>
      </c>
      <c r="P15" s="473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>
        <v>-136048</v>
      </c>
      <c r="C16" s="11">
        <v>-141366</v>
      </c>
      <c r="D16" s="11">
        <v>-105213</v>
      </c>
      <c r="E16" s="11">
        <v>-100666</v>
      </c>
      <c r="F16" s="11"/>
      <c r="G16" s="11"/>
      <c r="H16" s="11">
        <f t="shared" si="0"/>
        <v>-771</v>
      </c>
      <c r="I16" s="11"/>
      <c r="J16" s="102"/>
      <c r="K16" s="34"/>
      <c r="L16" s="119"/>
      <c r="M16" s="119"/>
      <c r="N16" s="119"/>
      <c r="O16" s="470"/>
      <c r="P16" s="471">
        <f>SUM(P9:P15)</f>
        <v>460835.37</v>
      </c>
      <c r="Q16" s="2"/>
    </row>
    <row r="17" spans="1:17" ht="13.5" thickTop="1" x14ac:dyDescent="0.2">
      <c r="A17" s="41">
        <v>14</v>
      </c>
      <c r="B17" s="11">
        <v>-141659</v>
      </c>
      <c r="C17" s="11">
        <v>-117756</v>
      </c>
      <c r="D17" s="11">
        <v>-48404</v>
      </c>
      <c r="E17" s="11">
        <v>-72615</v>
      </c>
      <c r="F17" s="11"/>
      <c r="G17" s="11"/>
      <c r="H17" s="11">
        <f t="shared" si="0"/>
        <v>-308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>
        <v>-141744</v>
      </c>
      <c r="C18" s="11">
        <v>-97671</v>
      </c>
      <c r="D18" s="11">
        <v>-39144</v>
      </c>
      <c r="E18" s="11">
        <v>-73315</v>
      </c>
      <c r="F18" s="11"/>
      <c r="G18" s="11"/>
      <c r="H18" s="11">
        <f t="shared" si="0"/>
        <v>9902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1">
        <v>-131618</v>
      </c>
      <c r="C19" s="11">
        <v>-109589</v>
      </c>
      <c r="D19" s="11">
        <v>-88744</v>
      </c>
      <c r="E19" s="11">
        <v>-109950</v>
      </c>
      <c r="F19" s="11"/>
      <c r="G19" s="11"/>
      <c r="H19" s="11">
        <f t="shared" si="0"/>
        <v>823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1">
        <v>-142840</v>
      </c>
      <c r="C20" s="11">
        <v>-150006</v>
      </c>
      <c r="D20" s="11">
        <v>-124297</v>
      </c>
      <c r="E20" s="11">
        <v>-120000</v>
      </c>
      <c r="F20" s="11"/>
      <c r="G20" s="11"/>
      <c r="H20" s="11">
        <f t="shared" si="0"/>
        <v>-2869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>
        <v>-100414</v>
      </c>
      <c r="C21" s="11">
        <v>-81014</v>
      </c>
      <c r="D21" s="11">
        <v>-83965</v>
      </c>
      <c r="E21" s="11">
        <v>-102848</v>
      </c>
      <c r="F21" s="11"/>
      <c r="G21" s="11"/>
      <c r="H21" s="11">
        <f t="shared" si="0"/>
        <v>517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>
        <v>-107048</v>
      </c>
      <c r="C22" s="11">
        <v>-80107</v>
      </c>
      <c r="D22" s="11">
        <v>-83003</v>
      </c>
      <c r="E22" s="11">
        <v>-111256</v>
      </c>
      <c r="F22" s="11"/>
      <c r="G22" s="11"/>
      <c r="H22" s="11">
        <f t="shared" si="0"/>
        <v>-1312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>
        <v>-119742</v>
      </c>
      <c r="C23" s="11">
        <v>-81015</v>
      </c>
      <c r="D23" s="11">
        <v>-57920</v>
      </c>
      <c r="E23" s="11">
        <v>-97982</v>
      </c>
      <c r="F23" s="11"/>
      <c r="G23" s="11"/>
      <c r="H23" s="11">
        <f t="shared" si="0"/>
        <v>-1335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>
        <v>-141966</v>
      </c>
      <c r="C24" s="11">
        <v>-127453</v>
      </c>
      <c r="D24" s="11">
        <v>-96866</v>
      </c>
      <c r="E24" s="11">
        <v>-114950</v>
      </c>
      <c r="F24" s="11"/>
      <c r="G24" s="11"/>
      <c r="H24" s="11">
        <f t="shared" si="0"/>
        <v>-3571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>
        <v>-137154</v>
      </c>
      <c r="C25" s="11">
        <v>-120862</v>
      </c>
      <c r="D25" s="11">
        <v>-74547</v>
      </c>
      <c r="E25" s="11">
        <v>-91154</v>
      </c>
      <c r="F25" s="11"/>
      <c r="G25" s="11"/>
      <c r="H25" s="11">
        <f t="shared" si="0"/>
        <v>-315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>
        <v>-134417</v>
      </c>
      <c r="C26" s="11">
        <v>-119653</v>
      </c>
      <c r="D26" s="11">
        <v>-82490</v>
      </c>
      <c r="E26" s="11">
        <v>-96940</v>
      </c>
      <c r="F26" s="11"/>
      <c r="G26" s="11"/>
      <c r="H26" s="11">
        <f t="shared" si="0"/>
        <v>314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>
        <v>-135500</v>
      </c>
      <c r="C27" s="11">
        <v>-150005</v>
      </c>
      <c r="D27" s="11">
        <v>-80514</v>
      </c>
      <c r="E27" s="11">
        <v>-64929</v>
      </c>
      <c r="F27" s="11"/>
      <c r="G27" s="11"/>
      <c r="H27" s="11">
        <f t="shared" si="0"/>
        <v>1080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>
        <v>-135368</v>
      </c>
      <c r="C28" s="11">
        <v>-95571</v>
      </c>
      <c r="D28" s="11">
        <v>-68776</v>
      </c>
      <c r="E28" s="11">
        <v>-107555</v>
      </c>
      <c r="F28" s="11"/>
      <c r="G28" s="11"/>
      <c r="H28" s="11">
        <f t="shared" si="0"/>
        <v>1018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11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-3420929</v>
      </c>
      <c r="C35" s="44">
        <f t="shared" si="3"/>
        <v>-2735493</v>
      </c>
      <c r="D35" s="11">
        <f t="shared" si="3"/>
        <v>-1482962</v>
      </c>
      <c r="E35" s="44">
        <f t="shared" si="3"/>
        <v>-2159796</v>
      </c>
      <c r="F35" s="11">
        <f t="shared" si="3"/>
        <v>0</v>
      </c>
      <c r="G35" s="11">
        <f t="shared" si="3"/>
        <v>0</v>
      </c>
      <c r="H35" s="11">
        <f t="shared" si="3"/>
        <v>8602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2.84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24429.68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4">
        <v>37103</v>
      </c>
      <c r="F38" s="47"/>
      <c r="G38" s="48"/>
      <c r="H38" s="359">
        <v>460835.37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37128</v>
      </c>
      <c r="F39" s="47"/>
      <c r="G39" s="47"/>
      <c r="H39" s="137">
        <f>+H38+H37</f>
        <v>485265.05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157</v>
      </c>
      <c r="F45" s="11"/>
      <c r="G45" s="11"/>
      <c r="H45" s="11"/>
      <c r="J45" s="102"/>
    </row>
    <row r="46" spans="1:14" x14ac:dyDescent="0.2">
      <c r="A46" s="101"/>
      <c r="B46" s="49">
        <f>+E38</f>
        <v>37103</v>
      </c>
      <c r="E46" s="14">
        <v>111236</v>
      </c>
      <c r="F46" s="11"/>
      <c r="G46" s="11"/>
      <c r="H46" s="11"/>
      <c r="J46" s="102"/>
      <c r="L46" s="2"/>
    </row>
    <row r="47" spans="1:14" x14ac:dyDescent="0.2">
      <c r="A47" s="101"/>
      <c r="B47" s="49">
        <f>+E39</f>
        <v>37128</v>
      </c>
      <c r="E47" s="379">
        <f>+H35</f>
        <v>8602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119838</v>
      </c>
      <c r="F48" s="11"/>
      <c r="G48" s="11"/>
      <c r="H48" s="11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32" workbookViewId="3">
      <selection activeCell="C41" sqref="C41:F42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f>-306663-750</f>
        <v>-307413</v>
      </c>
      <c r="E5" s="11">
        <v>-308597</v>
      </c>
      <c r="F5" s="11"/>
      <c r="G5" s="11"/>
      <c r="H5" s="24">
        <f>+E5-D5+C5-B5</f>
        <v>-1184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29">
        <f>-256855-750</f>
        <v>-257605</v>
      </c>
      <c r="E6" s="11">
        <v>-261199</v>
      </c>
      <c r="F6" s="11"/>
      <c r="G6" s="11"/>
      <c r="H6" s="24">
        <f t="shared" ref="H6:H35" si="0">+E6-D6+C6-B6</f>
        <v>-3594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/>
      <c r="C7" s="129"/>
      <c r="D7" s="129">
        <f>-279637-750</f>
        <v>-280387</v>
      </c>
      <c r="E7" s="129">
        <v>-280376</v>
      </c>
      <c r="F7" s="11"/>
      <c r="G7" s="11"/>
      <c r="H7" s="24">
        <f t="shared" si="0"/>
        <v>11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f>-263561-750</f>
        <v>-264311</v>
      </c>
      <c r="E8" s="129">
        <v>-267286</v>
      </c>
      <c r="F8" s="11"/>
      <c r="G8" s="11"/>
      <c r="H8" s="24">
        <f t="shared" si="0"/>
        <v>-2975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f>-239483-750</f>
        <v>-240233</v>
      </c>
      <c r="E9" s="11">
        <v>-241704</v>
      </c>
      <c r="F9" s="11"/>
      <c r="G9" s="11"/>
      <c r="H9" s="24">
        <f t="shared" si="0"/>
        <v>-1471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f>-258498-750</f>
        <v>-259248</v>
      </c>
      <c r="E10" s="11">
        <v>-262660</v>
      </c>
      <c r="F10" s="11"/>
      <c r="G10" s="11"/>
      <c r="H10" s="24">
        <f t="shared" si="0"/>
        <v>-3412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f>-249479-750</f>
        <v>-250229</v>
      </c>
      <c r="E11" s="11">
        <v>-254013</v>
      </c>
      <c r="F11" s="11"/>
      <c r="G11" s="11"/>
      <c r="H11" s="24">
        <f t="shared" si="0"/>
        <v>-3784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>
        <f>-272276-750</f>
        <v>-273026</v>
      </c>
      <c r="E12" s="11">
        <v>-274969</v>
      </c>
      <c r="F12" s="11"/>
      <c r="G12" s="11"/>
      <c r="H12" s="24">
        <f t="shared" si="0"/>
        <v>-1943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f>-266075-750</f>
        <v>-266825</v>
      </c>
      <c r="E13" s="11">
        <v>-268577</v>
      </c>
      <c r="F13" s="11"/>
      <c r="G13" s="11"/>
      <c r="H13" s="24">
        <f t="shared" si="0"/>
        <v>-1752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f>-278307-750</f>
        <v>-279057</v>
      </c>
      <c r="E14" s="11">
        <v>-283415</v>
      </c>
      <c r="F14" s="11"/>
      <c r="G14" s="11"/>
      <c r="H14" s="24">
        <f t="shared" si="0"/>
        <v>-4358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f>-287669-750</f>
        <v>-288419</v>
      </c>
      <c r="E15" s="11">
        <v>-288213</v>
      </c>
      <c r="F15" s="11"/>
      <c r="G15" s="11"/>
      <c r="H15" s="24">
        <f t="shared" si="0"/>
        <v>206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>
        <f>-273937-750</f>
        <v>-274687</v>
      </c>
      <c r="E16" s="11">
        <v>-275351</v>
      </c>
      <c r="F16" s="11"/>
      <c r="G16" s="11"/>
      <c r="H16" s="24">
        <f t="shared" si="0"/>
        <v>-664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f>-286926-750</f>
        <v>-287676</v>
      </c>
      <c r="E17" s="11">
        <v>-288307</v>
      </c>
      <c r="F17" s="11"/>
      <c r="G17" s="11"/>
      <c r="H17" s="24">
        <f t="shared" si="0"/>
        <v>-631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f>-240327-500-500</f>
        <v>-241327</v>
      </c>
      <c r="E18" s="11">
        <v>-241208</v>
      </c>
      <c r="F18" s="11"/>
      <c r="G18" s="11"/>
      <c r="H18" s="24">
        <f t="shared" si="0"/>
        <v>119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f>-274050-500-500</f>
        <v>-275050</v>
      </c>
      <c r="E19" s="11">
        <v>-274559</v>
      </c>
      <c r="F19" s="11"/>
      <c r="G19" s="11"/>
      <c r="H19" s="24">
        <f t="shared" si="0"/>
        <v>491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f>-302256-500-500</f>
        <v>-303256</v>
      </c>
      <c r="E20" s="11">
        <v>-310176</v>
      </c>
      <c r="F20" s="11"/>
      <c r="G20" s="11"/>
      <c r="H20" s="24">
        <f t="shared" si="0"/>
        <v>-6920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f>-290427-500-500</f>
        <v>-291427</v>
      </c>
      <c r="E21" s="11">
        <v>-283120</v>
      </c>
      <c r="F21" s="11"/>
      <c r="G21" s="11"/>
      <c r="H21" s="24">
        <f t="shared" si="0"/>
        <v>8307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>
        <f>-297326-500-500</f>
        <v>-298326</v>
      </c>
      <c r="E22" s="11">
        <v>-310274</v>
      </c>
      <c r="F22" s="11"/>
      <c r="G22" s="11"/>
      <c r="H22" s="24">
        <f t="shared" si="0"/>
        <v>-11948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f>-275043-750-250</f>
        <v>-276043</v>
      </c>
      <c r="E23" s="11">
        <v>-306032</v>
      </c>
      <c r="F23" s="11"/>
      <c r="G23" s="11"/>
      <c r="H23" s="24">
        <f t="shared" si="0"/>
        <v>-29989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>
        <f>-301972-750-250</f>
        <v>-302972</v>
      </c>
      <c r="E24" s="11">
        <v>-325596</v>
      </c>
      <c r="F24" s="11"/>
      <c r="G24" s="11"/>
      <c r="H24" s="24">
        <f t="shared" si="0"/>
        <v>-22624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>
        <f>-313689-750</f>
        <v>-314439</v>
      </c>
      <c r="E25" s="11">
        <v>-296501</v>
      </c>
      <c r="F25" s="11"/>
      <c r="G25" s="11"/>
      <c r="H25" s="24">
        <f t="shared" si="0"/>
        <v>17938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>
        <v>113</v>
      </c>
      <c r="C26" s="11"/>
      <c r="D26" s="11">
        <f>-323768-750</f>
        <v>-324518</v>
      </c>
      <c r="E26" s="11">
        <v>-331407</v>
      </c>
      <c r="F26" s="11"/>
      <c r="G26" s="11"/>
      <c r="H26" s="24">
        <f t="shared" si="0"/>
        <v>-7002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>
        <f>-340426-750</f>
        <v>-341176</v>
      </c>
      <c r="E27" s="11">
        <v>-342830</v>
      </c>
      <c r="F27" s="11"/>
      <c r="G27" s="11"/>
      <c r="H27" s="24">
        <f t="shared" si="0"/>
        <v>-1654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>
        <f>-316024-750</f>
        <v>-316774</v>
      </c>
      <c r="E28" s="11">
        <v>-334924</v>
      </c>
      <c r="F28" s="11"/>
      <c r="G28" s="11"/>
      <c r="H28" s="24">
        <f t="shared" si="0"/>
        <v>-18150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>
        <f>-286955-750</f>
        <v>-287705</v>
      </c>
      <c r="E29" s="11">
        <v>-285138</v>
      </c>
      <c r="F29" s="11"/>
      <c r="G29" s="11"/>
      <c r="H29" s="24">
        <f t="shared" si="0"/>
        <v>2567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113</v>
      </c>
      <c r="C36" s="11">
        <f t="shared" si="15"/>
        <v>0</v>
      </c>
      <c r="D36" s="11">
        <f t="shared" si="15"/>
        <v>-7102129</v>
      </c>
      <c r="E36" s="11">
        <f t="shared" si="15"/>
        <v>-7196432</v>
      </c>
      <c r="F36" s="11">
        <f t="shared" si="15"/>
        <v>0</v>
      </c>
      <c r="G36" s="11">
        <f t="shared" si="15"/>
        <v>0</v>
      </c>
      <c r="H36" s="11">
        <f t="shared" si="15"/>
        <v>-94416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-113</v>
      </c>
      <c r="E37" s="25">
        <f>+E36-D36</f>
        <v>-94303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37103</v>
      </c>
      <c r="B38" s="2" t="s">
        <v>46</v>
      </c>
      <c r="C38" s="442">
        <v>64269</v>
      </c>
      <c r="D38" s="338"/>
      <c r="E38" s="443">
        <v>27596</v>
      </c>
      <c r="F38" s="24"/>
      <c r="G38" s="24"/>
      <c r="H38" s="240">
        <f>+C38+E38+G38</f>
        <v>91865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37128</v>
      </c>
      <c r="B39" s="2" t="s">
        <v>46</v>
      </c>
      <c r="C39" s="131">
        <f>+C38+C37</f>
        <v>64156</v>
      </c>
      <c r="D39" s="259"/>
      <c r="E39" s="131">
        <f>+E38+E37</f>
        <v>-66707</v>
      </c>
      <c r="F39" s="259"/>
      <c r="G39" s="131"/>
      <c r="H39" s="131">
        <f>+H38+H36</f>
        <v>-2551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50"/>
      <c r="E40" s="250"/>
      <c r="F40" s="254"/>
      <c r="G40" s="250"/>
      <c r="H40" s="343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67"/>
      <c r="E41" s="367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7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158</v>
      </c>
      <c r="B43" s="32"/>
      <c r="C43" s="32"/>
      <c r="D43" s="47"/>
      <c r="E43" s="28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v>37103</v>
      </c>
      <c r="B44" s="32"/>
      <c r="C44" s="444">
        <v>-1582961</v>
      </c>
      <c r="D44" s="207"/>
      <c r="E44" s="445">
        <v>1186736.6200000001</v>
      </c>
      <c r="F44" s="47">
        <f>+E44+C44</f>
        <v>-396224.37999999989</v>
      </c>
      <c r="G44" s="252"/>
      <c r="H44" s="412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37128</v>
      </c>
      <c r="B45" s="32"/>
      <c r="C45" s="47">
        <f>+C37*summary!H4</f>
        <v>-320.91999999999996</v>
      </c>
      <c r="D45" s="207"/>
      <c r="E45" s="410">
        <f>+E37*summary!H3</f>
        <v>-250845.98</v>
      </c>
      <c r="F45" s="47">
        <f>+E45+C45</f>
        <v>-251166.90000000002</v>
      </c>
      <c r="G45" s="252"/>
      <c r="H45" s="412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-1583281.92</v>
      </c>
      <c r="D46" s="207"/>
      <c r="E46" s="410">
        <f>+E45+E44</f>
        <v>935890.64000000013</v>
      </c>
      <c r="F46" s="47">
        <f>+E46+C46</f>
        <v>-647391.2799999998</v>
      </c>
      <c r="G46" s="252"/>
      <c r="H46" s="412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410"/>
      <c r="D47" s="410"/>
      <c r="E47" s="410"/>
      <c r="F47" s="47"/>
      <c r="G47" s="252"/>
      <c r="H47" s="412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4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4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4" workbookViewId="3">
      <selection activeCell="C37" sqref="C37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136208</v>
      </c>
      <c r="C6" s="11">
        <v>142148</v>
      </c>
      <c r="D6" s="25">
        <f>+C6-B6</f>
        <v>5940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91841</v>
      </c>
      <c r="C7" s="11">
        <v>120259</v>
      </c>
      <c r="D7" s="25">
        <f>+C7-B7</f>
        <v>28418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95240</v>
      </c>
      <c r="C8" s="11">
        <v>97445</v>
      </c>
      <c r="D8" s="25">
        <f t="shared" ref="D8:D36" si="0">+C8-B8</f>
        <v>2205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116769</v>
      </c>
      <c r="C9" s="11">
        <v>114074</v>
      </c>
      <c r="D9" s="25">
        <f t="shared" si="0"/>
        <v>-2695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108530</v>
      </c>
      <c r="C10" s="11">
        <v>114453</v>
      </c>
      <c r="D10" s="25">
        <f t="shared" si="0"/>
        <v>5923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119572</v>
      </c>
      <c r="C11" s="11">
        <v>113703</v>
      </c>
      <c r="D11" s="25">
        <f t="shared" si="0"/>
        <v>-5869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112545</v>
      </c>
      <c r="C12" s="11">
        <v>111866</v>
      </c>
      <c r="D12" s="25">
        <f t="shared" si="0"/>
        <v>-679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112164</v>
      </c>
      <c r="C13" s="11">
        <v>113431</v>
      </c>
      <c r="D13" s="25">
        <f t="shared" si="0"/>
        <v>1267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113044</v>
      </c>
      <c r="C14" s="11">
        <v>111560</v>
      </c>
      <c r="D14" s="25">
        <f t="shared" si="0"/>
        <v>-1484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>
        <v>116403</v>
      </c>
      <c r="C15" s="11">
        <v>112898</v>
      </c>
      <c r="D15" s="25">
        <f t="shared" si="0"/>
        <v>-3505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>
        <v>103748</v>
      </c>
      <c r="C16" s="11">
        <v>104833</v>
      </c>
      <c r="D16" s="25">
        <f t="shared" si="0"/>
        <v>1085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>
        <v>107912</v>
      </c>
      <c r="C17" s="11">
        <v>106898</v>
      </c>
      <c r="D17" s="25">
        <f t="shared" si="0"/>
        <v>-1014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>
        <v>120413</v>
      </c>
      <c r="C18" s="11">
        <v>125960</v>
      </c>
      <c r="D18" s="25">
        <f t="shared" si="0"/>
        <v>5547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>
        <v>113885</v>
      </c>
      <c r="C19" s="11">
        <v>111354</v>
      </c>
      <c r="D19" s="25">
        <f t="shared" si="0"/>
        <v>-2531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>
        <v>116049</v>
      </c>
      <c r="C20" s="11">
        <v>114316</v>
      </c>
      <c r="D20" s="25">
        <f t="shared" si="0"/>
        <v>-1733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>
        <v>112428</v>
      </c>
      <c r="C21" s="11">
        <v>116998</v>
      </c>
      <c r="D21" s="25">
        <f t="shared" si="0"/>
        <v>4570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>
        <v>107540</v>
      </c>
      <c r="C22" s="11">
        <v>109346</v>
      </c>
      <c r="D22" s="25">
        <f t="shared" si="0"/>
        <v>1806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>
        <v>103802</v>
      </c>
      <c r="C23" s="11">
        <v>104079</v>
      </c>
      <c r="D23" s="25">
        <f t="shared" si="0"/>
        <v>277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>
        <v>93807</v>
      </c>
      <c r="C24" s="11">
        <v>102057</v>
      </c>
      <c r="D24" s="25">
        <f t="shared" si="0"/>
        <v>8250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>
        <v>92618</v>
      </c>
      <c r="C25" s="11">
        <v>90965</v>
      </c>
      <c r="D25" s="25">
        <f t="shared" si="0"/>
        <v>-1653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>
        <v>103978</v>
      </c>
      <c r="C26" s="11">
        <v>103248</v>
      </c>
      <c r="D26" s="25">
        <f t="shared" si="0"/>
        <v>-730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>
        <v>136225</v>
      </c>
      <c r="C27" s="11">
        <v>140467</v>
      </c>
      <c r="D27" s="25">
        <f t="shared" si="0"/>
        <v>4242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>
        <v>134427</v>
      </c>
      <c r="C28" s="11">
        <v>130259</v>
      </c>
      <c r="D28" s="25">
        <f t="shared" si="0"/>
        <v>-4168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>
        <v>130095</v>
      </c>
      <c r="C29" s="11">
        <v>130206</v>
      </c>
      <c r="D29" s="25">
        <f t="shared" si="0"/>
        <v>111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>
        <v>108803</v>
      </c>
      <c r="C30" s="11">
        <v>109705</v>
      </c>
      <c r="D30" s="25">
        <f t="shared" si="0"/>
        <v>902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2808046</v>
      </c>
      <c r="C37" s="11">
        <f>SUM(C6:C36)</f>
        <v>2852528</v>
      </c>
      <c r="D37" s="11">
        <f>SUM(D6:D36)</f>
        <v>44482</v>
      </c>
      <c r="E37" s="10"/>
      <c r="F37" s="11"/>
      <c r="G37" s="11"/>
      <c r="H37" s="129"/>
      <c r="I37" s="268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0"/>
      <c r="I38" s="269"/>
      <c r="J38" s="250"/>
      <c r="K38" s="270"/>
      <c r="L38" s="250"/>
      <c r="M38" s="26"/>
      <c r="O38" s="14"/>
    </row>
    <row r="39" spans="1:16" x14ac:dyDescent="0.2">
      <c r="A39" s="57">
        <v>37103</v>
      </c>
      <c r="C39" s="15"/>
      <c r="D39" s="247">
        <v>54883</v>
      </c>
      <c r="E39" s="57"/>
      <c r="G39" s="15"/>
      <c r="H39" s="51"/>
      <c r="I39" s="271"/>
      <c r="J39" s="250"/>
      <c r="K39" s="272"/>
      <c r="L39" s="51"/>
      <c r="M39" s="57"/>
      <c r="O39" s="15"/>
      <c r="P39" s="24"/>
    </row>
    <row r="40" spans="1:16" x14ac:dyDescent="0.2">
      <c r="A40" s="57">
        <v>37128</v>
      </c>
      <c r="C40" s="48"/>
      <c r="D40" s="25">
        <f>+D39+D37</f>
        <v>99365</v>
      </c>
      <c r="E40" s="57"/>
      <c r="G40" s="48"/>
      <c r="H40" s="131"/>
      <c r="I40" s="271"/>
      <c r="J40" s="250"/>
      <c r="K40" s="273"/>
      <c r="L40" s="131"/>
      <c r="M40" s="57"/>
      <c r="O40" s="48"/>
      <c r="P40" s="130"/>
    </row>
    <row r="41" spans="1:16" x14ac:dyDescent="0.2">
      <c r="C41" s="47"/>
      <c r="H41" s="250"/>
      <c r="I41" s="250"/>
      <c r="J41" s="250"/>
      <c r="K41" s="250"/>
      <c r="L41" s="250"/>
    </row>
    <row r="42" spans="1:16" x14ac:dyDescent="0.2">
      <c r="A42" s="57"/>
      <c r="C42" s="50"/>
      <c r="D42" s="25"/>
      <c r="H42" s="250"/>
      <c r="I42" s="250"/>
      <c r="J42" s="250"/>
      <c r="K42" s="250"/>
      <c r="L42" s="250"/>
    </row>
    <row r="43" spans="1:16" x14ac:dyDescent="0.2">
      <c r="A43" s="57"/>
      <c r="C43" s="50"/>
      <c r="H43" s="250"/>
      <c r="I43" s="250"/>
      <c r="J43" s="250"/>
      <c r="K43" s="250"/>
      <c r="L43" s="250"/>
    </row>
    <row r="44" spans="1:16" x14ac:dyDescent="0.2">
      <c r="A44" s="32" t="s">
        <v>158</v>
      </c>
      <c r="B44" s="32"/>
      <c r="C44" s="32"/>
      <c r="D44" s="47"/>
      <c r="H44" s="250"/>
      <c r="I44" s="250"/>
      <c r="J44" s="250"/>
      <c r="K44" s="250"/>
      <c r="L44" s="250"/>
    </row>
    <row r="45" spans="1:16" x14ac:dyDescent="0.2">
      <c r="A45" s="49">
        <f>+A39</f>
        <v>37103</v>
      </c>
      <c r="B45" s="32"/>
      <c r="C45" s="32"/>
      <c r="D45" s="202">
        <v>411751.53</v>
      </c>
    </row>
    <row r="46" spans="1:16" x14ac:dyDescent="0.2">
      <c r="A46" s="49">
        <f>+A40</f>
        <v>37128</v>
      </c>
      <c r="B46" s="32"/>
      <c r="C46" s="32"/>
      <c r="D46" s="408">
        <f>+D37*'by type'!J3</f>
        <v>118322.12000000001</v>
      </c>
    </row>
    <row r="47" spans="1:16" x14ac:dyDescent="0.2">
      <c r="A47" s="32"/>
      <c r="B47" s="32"/>
      <c r="C47" s="32"/>
      <c r="D47" s="202">
        <f>+D46+D45</f>
        <v>530073.65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26</vt:i4>
      </vt:variant>
    </vt:vector>
  </HeadingPairs>
  <TitlesOfParts>
    <vt:vector size="61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2001-08-27T16:05:37Z</cp:lastPrinted>
  <dcterms:created xsi:type="dcterms:W3CDTF">2000-03-28T16:52:23Z</dcterms:created>
  <dcterms:modified xsi:type="dcterms:W3CDTF">2023-09-14T17:49:38Z</dcterms:modified>
</cp:coreProperties>
</file>