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7A1D6C-401D-4945-8C98-97CEBCF14940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firstSheet="28" activeTab="34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P10" i="80"/>
  <c r="P11" i="80"/>
  <c r="B12" i="80"/>
  <c r="C12" i="80"/>
  <c r="D12" i="80"/>
  <c r="P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D29" i="80"/>
  <c r="B30" i="80"/>
  <c r="C30" i="80"/>
  <c r="D30" i="80"/>
  <c r="B31" i="80"/>
  <c r="C31" i="80"/>
  <c r="D31" i="80"/>
  <c r="B32" i="80"/>
  <c r="C32" i="80"/>
  <c r="D32" i="80"/>
  <c r="B33" i="80"/>
  <c r="C33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D43" i="80"/>
  <c r="B44" i="80"/>
  <c r="C44" i="80"/>
  <c r="D44" i="80"/>
  <c r="B45" i="80"/>
  <c r="C45" i="80"/>
  <c r="D45" i="80"/>
  <c r="B46" i="80"/>
  <c r="C46" i="80"/>
  <c r="D46" i="80"/>
  <c r="B47" i="80"/>
  <c r="C47" i="80"/>
  <c r="B49" i="80"/>
  <c r="C49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H39" i="73"/>
  <c r="C40" i="73"/>
  <c r="E40" i="73"/>
  <c r="F40" i="73"/>
  <c r="H40" i="73"/>
  <c r="F50" i="73"/>
  <c r="F52" i="73"/>
  <c r="F54" i="73"/>
  <c r="B10" i="20"/>
  <c r="B11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O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<sst xmlns="http://schemas.openxmlformats.org/spreadsheetml/2006/main" count="586" uniqueCount="174">
  <si>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</si>
  <si>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</si>
  <si>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</si>
  <si>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</si>
  <si>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</si>
  <si>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</si>
  <si>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</si>
  <si>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</si>
  <si>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</si>
  <si>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</si>
  <si>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</si>
  <si>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</si>
  <si>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</si>
  <si>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</si>
  <si>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</si>
  <si>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</si>
  <si>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</si>
  <si>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</si>
  <si>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</si>
  <si>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</si>
  <si>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</si>
  <si>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</si>
  <si>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</si>
  <si>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</si>
  <si>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</si>
  <si>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</si>
  <si>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</si>
  <si>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</si>
  <si>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</si>
  <si>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</si>
  <si>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</si>
  <si>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</si>
  <si>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</si>
  <si>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</si>
  <si>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</si>
  <si>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</si>
  <si>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</si>
  <si>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</si>
  <si>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</si>
  <si>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</si>
  <si>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</si>
  <si>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</si>
  <si>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</si>
  <si>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</si>
  <si>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</si>
  <si>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</si>
  <si>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</si>
  <si>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</si>
  <si>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</si>
  <si>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</si>
  <si>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</si>
  <si>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</si>
  <si>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</si>
  <si>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</si>
  <si>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</si>
  <si>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</si>
  <si>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</si>
  <si>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</si>
  <si>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</si>
  <si>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</si>
  <si>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</si>
  <si>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</si>
  <si>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</si>
  <si>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</si>
  <si>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</si>
  <si>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</si>
  <si>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</si>
  <si>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</si>
  <si>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</si>
  <si>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</si>
  <si>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</si>
  <si>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</si>
  <si>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</si>
  <si>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</si>
  <si>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</si>
  <si>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</si>
  <si>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</si>
  <si>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</si>
  <si>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</si>
  <si>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</si>
  <si>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</si>
  <si>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</si>
  <si>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</si>
  <si>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</si>
  <si>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</si>
  <si>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</si>
  <si>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</si>
  <si>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</si>
  <si>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</si>
  <si>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</si>
  <si>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</si>
  <si>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</si>
  <si>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</si>
  <si>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</si>
  <si>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</si>
  <si>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</si>
  <si>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</si>
  <si>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</si>
  <si>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</si>
  <si>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</si>
  <si>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</si>
  <si>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</si>
  <si>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</si>
  <si>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</si>
  <si>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</si>
  <si>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</si>
  <si>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</si>
  <si>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</si>
  <si>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</si>
  <si>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</si>
  <si>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</si>
  <si>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</si>
  <si>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</si>
  <si>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</si>
  <si>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</si>
  <si>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</si>
  <si>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</si>
  <si>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</si>
  <si>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</si>
  <si>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</si>
  <si>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</si>
  <si>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</si>
  <si>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</si>
  <si>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</si>
  <si>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</si>
  <si>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</si>
  <si>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</si>
  <si>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</si>
  <si>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</si>
  <si>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</si>
  <si>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</si>
  <si>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</si>
  <si>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</si>
  <si>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</si>
  <si>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</si>
  <si>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</si>
  <si>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</si>
  <si>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</si>
  <si>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</si>
  <si>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</si>
  <si>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</si>
  <si>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</si>
  <si>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</si>
  <si>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</si>
  <si>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</si>
  <si>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</si>
  <si>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</si>
  <si>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</si>
  <si>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</si>
  <si>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</si>
  <si>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</si>
  <si>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</si>
  <si>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</si>
  <si>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</si>
  <si>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</si>
  <si>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</si>
  <si>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</si>
  <si>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</si>
  <si>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</si>
  <si>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</si>
  <si>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</si>
  <si>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</si>
  <si>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</si>
  <si>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</si>
  <si>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</si>
  <si>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</si>
  <si>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</si>
  <si>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</si>
  <si>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</si>
  <si>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Keystone - to be cashed out</t>
  </si>
  <si>
    <t>Ignacio, Valverde, Kutz, and Milagro</t>
  </si>
  <si>
    <t>Keystone - to be cashed out in 7/01</t>
  </si>
  <si>
    <t>6,000/day planned makeup during 7/01</t>
  </si>
  <si>
    <t>5,000/DAY scheduled for 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</si>
</sst>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  <xf numFmtId="37" fontId="14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2.83</v>
          </cell>
          <cell r="K39">
            <v>2.29</v>
          </cell>
          <cell r="M39">
            <v>2.65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opLeftCell="A30" workbookViewId="3">
      <selection activeCell="D18" sqref="D18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27"/>
    </row>
    <row r="2" spans="1:20" ht="15.75" x14ac:dyDescent="0.25">
      <c r="A2" s="53" t="s">
        <v>163</v>
      </c>
    </row>
    <row r="3" spans="1:20" ht="15.75" x14ac:dyDescent="0.25">
      <c r="A3" s="53" t="s">
        <v>166</v>
      </c>
    </row>
    <row r="4" spans="1:20" ht="15" customHeight="1" x14ac:dyDescent="0.25">
      <c r="A4" s="53" t="s">
        <v>165</v>
      </c>
    </row>
    <row r="5" spans="1:20" ht="15" customHeight="1" x14ac:dyDescent="0.25">
      <c r="A5" s="53" t="s">
        <v>164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+'[1]0701'!$K$39</f>
        <v>2.29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+'[1]0701'!$M$39</f>
        <v>2.65</v>
      </c>
    </row>
    <row r="12" spans="1:20" ht="18" customHeight="1" x14ac:dyDescent="0.2">
      <c r="A12" s="356" t="s">
        <v>95</v>
      </c>
      <c r="B12" s="374">
        <f>+NNG!$D$24</f>
        <v>1017832.9</v>
      </c>
      <c r="C12" s="386">
        <f>+B12/$P$11</f>
        <v>384087.88679245283</v>
      </c>
      <c r="D12" s="317">
        <f>+NNG!A24</f>
        <v>37075</v>
      </c>
      <c r="E12" s="314" t="s">
        <v>90</v>
      </c>
      <c r="F12" s="314" t="s">
        <v>110</v>
      </c>
      <c r="H12" s="64"/>
      <c r="O12" t="s">
        <v>127</v>
      </c>
      <c r="P12" s="269">
        <f>+'[1]0701'!$H$39</f>
        <v>2.83</v>
      </c>
    </row>
    <row r="13" spans="1:20" ht="15" customHeight="1" x14ac:dyDescent="0.2">
      <c r="A13" s="355" t="s">
        <v>145</v>
      </c>
      <c r="B13" s="374">
        <f>+SidR!D41</f>
        <v>880970.15</v>
      </c>
      <c r="C13" s="386">
        <f>+B13/$P$11</f>
        <v>332441.56603773584</v>
      </c>
      <c r="D13" s="65">
        <f>+SidR!A41</f>
        <v>37075</v>
      </c>
      <c r="E13" t="s">
        <v>90</v>
      </c>
      <c r="F13" t="s">
        <v>112</v>
      </c>
      <c r="G13" t="s">
        <v>169</v>
      </c>
    </row>
    <row r="14" spans="1:20" ht="15" customHeight="1" x14ac:dyDescent="0.2">
      <c r="A14" s="355" t="s">
        <v>87</v>
      </c>
      <c r="B14" s="374">
        <f>+PNM!$D$23</f>
        <v>669801.77</v>
      </c>
      <c r="C14" s="386">
        <f>+B14/$P$11</f>
        <v>252755.38490566038</v>
      </c>
      <c r="D14" s="65">
        <f>+PNM!A23</f>
        <v>37075</v>
      </c>
      <c r="E14" t="s">
        <v>90</v>
      </c>
      <c r="F14" t="s">
        <v>108</v>
      </c>
    </row>
    <row r="15" spans="1:20" ht="15" customHeight="1" x14ac:dyDescent="0.2">
      <c r="A15" s="355" t="s">
        <v>25</v>
      </c>
      <c r="B15" s="368">
        <f>+'Red C'!$F$43</f>
        <v>676795.97</v>
      </c>
      <c r="C15" s="369">
        <f>+B15/$P$10</f>
        <v>295544.09170305677</v>
      </c>
      <c r="D15" s="317">
        <f>+'Red C'!B43</f>
        <v>37076</v>
      </c>
      <c r="E15" t="s">
        <v>90</v>
      </c>
      <c r="F15" t="s">
        <v>125</v>
      </c>
    </row>
    <row r="16" spans="1:20" ht="15" customHeight="1" x14ac:dyDescent="0.2">
      <c r="A16" s="355" t="s">
        <v>117</v>
      </c>
      <c r="B16" s="374">
        <f>+KN_Westar!F41</f>
        <v>544472.21</v>
      </c>
      <c r="C16" s="386">
        <f t="shared" ref="C16:C29" si="0">+B16/$P$11</f>
        <v>205461.21132075472</v>
      </c>
      <c r="D16" s="65">
        <f>+KN_Westar!A41</f>
        <v>37075</v>
      </c>
      <c r="E16" t="s">
        <v>90</v>
      </c>
      <c r="F16" t="s">
        <v>110</v>
      </c>
      <c r="T16" s="269"/>
    </row>
    <row r="17" spans="1:20" ht="15" customHeight="1" x14ac:dyDescent="0.2">
      <c r="A17" s="355" t="s">
        <v>3</v>
      </c>
      <c r="B17" s="374">
        <f>+'Amoco Abo'!$F$43</f>
        <v>538621.14</v>
      </c>
      <c r="C17" s="386">
        <f>+B17/$P$11</f>
        <v>203253.2603773585</v>
      </c>
      <c r="D17" s="65">
        <f>+'Amoco Abo'!A43</f>
        <v>37075</v>
      </c>
      <c r="E17" t="s">
        <v>90</v>
      </c>
      <c r="F17" t="s">
        <v>109</v>
      </c>
      <c r="T17" s="269"/>
    </row>
    <row r="18" spans="1:20" ht="15" customHeight="1" x14ac:dyDescent="0.2">
      <c r="A18" s="355" t="s">
        <v>84</v>
      </c>
      <c r="B18" s="374">
        <f>+Conoco!$F$41</f>
        <v>519673.48</v>
      </c>
      <c r="C18" s="386">
        <f>+B18/$P$10</f>
        <v>226931.65065502183</v>
      </c>
      <c r="D18" s="317">
        <f>+Conoco!A41</f>
        <v>37076</v>
      </c>
      <c r="E18" t="s">
        <v>90</v>
      </c>
      <c r="F18" t="s">
        <v>109</v>
      </c>
      <c r="G18" t="s">
        <v>168</v>
      </c>
    </row>
    <row r="19" spans="1:20" ht="15" customHeight="1" x14ac:dyDescent="0.2">
      <c r="A19" s="355" t="s">
        <v>2</v>
      </c>
      <c r="B19" s="374">
        <f>+mewborne!$J$43</f>
        <v>351713.35</v>
      </c>
      <c r="C19" s="386">
        <f t="shared" si="0"/>
        <v>132722.01886792452</v>
      </c>
      <c r="D19" s="65">
        <f>+mewborne!A43</f>
        <v>37075</v>
      </c>
      <c r="E19" t="s">
        <v>90</v>
      </c>
      <c r="F19" t="s">
        <v>109</v>
      </c>
    </row>
    <row r="20" spans="1:20" ht="15" customHeight="1" x14ac:dyDescent="0.2">
      <c r="A20" s="355" t="s">
        <v>113</v>
      </c>
      <c r="B20" s="374">
        <f>+EOG!J41</f>
        <v>317459.59999999998</v>
      </c>
      <c r="C20" s="386">
        <f t="shared" si="0"/>
        <v>119796.0754716981</v>
      </c>
      <c r="D20" s="317">
        <f>+EOG!A41</f>
        <v>37075</v>
      </c>
      <c r="E20" t="s">
        <v>90</v>
      </c>
      <c r="F20" t="s">
        <v>112</v>
      </c>
    </row>
    <row r="21" spans="1:20" ht="15" customHeight="1" x14ac:dyDescent="0.2">
      <c r="A21" s="355" t="s">
        <v>120</v>
      </c>
      <c r="B21" s="374">
        <f>+CIG!D43</f>
        <v>326755</v>
      </c>
      <c r="C21" s="386">
        <f t="shared" si="0"/>
        <v>123303.77358490566</v>
      </c>
      <c r="D21" s="65">
        <f>+CIG!A43</f>
        <v>37075</v>
      </c>
      <c r="E21" t="s">
        <v>90</v>
      </c>
      <c r="F21" t="s">
        <v>123</v>
      </c>
      <c r="G21" t="s">
        <v>139</v>
      </c>
    </row>
    <row r="22" spans="1:20" ht="15" customHeight="1" x14ac:dyDescent="0.2">
      <c r="A22" s="355" t="s">
        <v>141</v>
      </c>
      <c r="B22" s="374">
        <f>+PGETX!$H$39</f>
        <v>294933.09999999998</v>
      </c>
      <c r="C22" s="386">
        <f t="shared" si="0"/>
        <v>111295.50943396226</v>
      </c>
      <c r="D22" s="65">
        <f>+PGETX!E39</f>
        <v>37076</v>
      </c>
      <c r="E22" t="s">
        <v>90</v>
      </c>
      <c r="F22" t="s">
        <v>112</v>
      </c>
    </row>
    <row r="23" spans="1:20" ht="15" customHeight="1" x14ac:dyDescent="0.2">
      <c r="A23" s="355" t="s">
        <v>138</v>
      </c>
      <c r="B23" s="374">
        <f>+DEFS!F54</f>
        <v>79086.299999999814</v>
      </c>
      <c r="C23" s="400">
        <f>+B23/$P$11</f>
        <v>29843.886792452762</v>
      </c>
      <c r="D23" s="65">
        <f>+DEFS!A40</f>
        <v>37075</v>
      </c>
      <c r="E23" t="s">
        <v>90</v>
      </c>
      <c r="F23" t="s">
        <v>110</v>
      </c>
      <c r="G23" s="32" t="s">
        <v>128</v>
      </c>
    </row>
    <row r="24" spans="1:20" ht="15" customHeight="1" x14ac:dyDescent="0.2">
      <c r="A24" s="355" t="s">
        <v>75</v>
      </c>
      <c r="B24" s="368">
        <f>+transcol!$D$43</f>
        <v>45712.15</v>
      </c>
      <c r="C24" s="369">
        <f t="shared" si="0"/>
        <v>17249.867924528302</v>
      </c>
      <c r="D24" s="65">
        <f>+transcol!A43</f>
        <v>37076</v>
      </c>
      <c r="E24" t="s">
        <v>90</v>
      </c>
      <c r="F24" t="s">
        <v>125</v>
      </c>
    </row>
    <row r="25" spans="1:20" ht="15" customHeight="1" x14ac:dyDescent="0.2">
      <c r="A25" s="356" t="s">
        <v>104</v>
      </c>
      <c r="B25" s="374">
        <f>+burlington!D42</f>
        <v>8792.86</v>
      </c>
      <c r="C25" s="386">
        <f>+B25/$P$10</f>
        <v>3839.6768558951967</v>
      </c>
      <c r="D25" s="317">
        <f>+burlington!A42</f>
        <v>37076</v>
      </c>
      <c r="E25" s="314" t="s">
        <v>90</v>
      </c>
      <c r="F25" t="s">
        <v>109</v>
      </c>
      <c r="G25" t="s">
        <v>157</v>
      </c>
    </row>
    <row r="26" spans="1:20" ht="15" customHeight="1" x14ac:dyDescent="0.2">
      <c r="A26" s="355" t="s">
        <v>119</v>
      </c>
      <c r="B26" s="374">
        <f>+Continental!F43</f>
        <v>-19408.25</v>
      </c>
      <c r="C26" s="400">
        <f>+B26/$P$11</f>
        <v>-7323.867924528302</v>
      </c>
      <c r="D26" s="65">
        <f>+Continental!A43</f>
        <v>37075</v>
      </c>
      <c r="E26" t="s">
        <v>90</v>
      </c>
      <c r="F26" t="s">
        <v>125</v>
      </c>
    </row>
    <row r="27" spans="1:20" ht="15" customHeight="1" x14ac:dyDescent="0.2">
      <c r="A27" s="356" t="s">
        <v>83</v>
      </c>
      <c r="B27" s="374">
        <f>+Agave!$D$24</f>
        <v>15611.949999999997</v>
      </c>
      <c r="C27" s="400">
        <f>+B27/$P$11</f>
        <v>5891.301886792452</v>
      </c>
      <c r="D27" s="317">
        <f>+Agave!A24</f>
        <v>37075</v>
      </c>
      <c r="E27" s="314" t="s">
        <v>90</v>
      </c>
      <c r="F27" s="314" t="s">
        <v>112</v>
      </c>
    </row>
    <row r="28" spans="1:20" ht="15" customHeight="1" x14ac:dyDescent="0.2">
      <c r="A28" s="355" t="s">
        <v>143</v>
      </c>
      <c r="B28" s="374">
        <f>+EPFS!D41</f>
        <v>-99106.2</v>
      </c>
      <c r="C28" s="400">
        <f>+B28/$P$12</f>
        <v>-35019.858657243814</v>
      </c>
      <c r="D28" s="317">
        <f>+EPFS!A41</f>
        <v>37076</v>
      </c>
      <c r="E28" t="s">
        <v>90</v>
      </c>
      <c r="F28" t="s">
        <v>110</v>
      </c>
    </row>
    <row r="29" spans="1:20" ht="15" customHeight="1" x14ac:dyDescent="0.2">
      <c r="A29" s="355" t="s">
        <v>154</v>
      </c>
      <c r="B29" s="374">
        <f>+'Citizens-Griffith'!D41</f>
        <v>-215290</v>
      </c>
      <c r="C29" s="386">
        <f t="shared" si="0"/>
        <v>-81241.509433962274</v>
      </c>
      <c r="D29" s="317">
        <f>+'Citizens-Griffith'!A41</f>
        <v>37076</v>
      </c>
      <c r="E29" t="s">
        <v>90</v>
      </c>
      <c r="F29" t="s">
        <v>109</v>
      </c>
    </row>
    <row r="30" spans="1:20" ht="15" customHeight="1" x14ac:dyDescent="0.2">
      <c r="A30" s="355" t="s">
        <v>147</v>
      </c>
      <c r="B30" s="374">
        <f>+'NS Steel'!D41</f>
        <v>-361997.1</v>
      </c>
      <c r="C30" s="400">
        <f>+B30/$P$10</f>
        <v>-158077.33624454148</v>
      </c>
      <c r="D30" s="65">
        <f>+'NS Steel'!A41</f>
        <v>37075</v>
      </c>
      <c r="E30" t="s">
        <v>90</v>
      </c>
      <c r="F30" t="s">
        <v>110</v>
      </c>
      <c r="G30" s="301"/>
    </row>
    <row r="31" spans="1:20" ht="15" customHeight="1" x14ac:dyDescent="0.2">
      <c r="A31" s="356" t="s">
        <v>140</v>
      </c>
      <c r="B31" s="374">
        <f>+Calpine!D41</f>
        <v>-201612.7</v>
      </c>
      <c r="C31" s="400">
        <f>+B31/$P$11</f>
        <v>-76080.264150943403</v>
      </c>
      <c r="D31" s="317">
        <f>+Calpine!A41</f>
        <v>37076</v>
      </c>
      <c r="E31" s="314" t="s">
        <v>90</v>
      </c>
      <c r="F31" s="314" t="s">
        <v>109</v>
      </c>
      <c r="G31" s="301"/>
    </row>
    <row r="32" spans="1:20" ht="15" customHeight="1" x14ac:dyDescent="0.2">
      <c r="A32" s="356" t="s">
        <v>149</v>
      </c>
      <c r="B32" s="387">
        <f>+Citizens!D18</f>
        <v>-886028.59</v>
      </c>
      <c r="C32" s="401">
        <f>+B32/$P$11</f>
        <v>-334350.41132075473</v>
      </c>
      <c r="D32" s="317">
        <f>+Citizens!A18</f>
        <v>37072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4504789.0899999989</v>
      </c>
      <c r="C33" s="298">
        <f>SUM(C12:C32)</f>
        <v>1752323.9148782257</v>
      </c>
    </row>
    <row r="34" spans="1:7" ht="15.95" customHeight="1" x14ac:dyDescent="0.2">
      <c r="A34" s="356"/>
      <c r="B34" s="374"/>
      <c r="C34" s="386"/>
      <c r="D34" s="317"/>
      <c r="E34" s="314"/>
      <c r="F34" s="314"/>
    </row>
    <row r="35" spans="1:7" ht="15.95" customHeight="1" x14ac:dyDescent="0.2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5" customHeight="1" x14ac:dyDescent="0.2">
      <c r="A36" s="356" t="s">
        <v>30</v>
      </c>
      <c r="B36" s="374">
        <f>+C36*$P$10</f>
        <v>669138</v>
      </c>
      <c r="C36" s="386">
        <f>+williams!J40</f>
        <v>292200</v>
      </c>
      <c r="D36" s="317">
        <f>+williams!A40</f>
        <v>37075</v>
      </c>
      <c r="E36" s="314" t="s">
        <v>89</v>
      </c>
      <c r="F36" s="314" t="s">
        <v>125</v>
      </c>
      <c r="G36" t="s">
        <v>170</v>
      </c>
    </row>
    <row r="37" spans="1:7" ht="15" customHeight="1" x14ac:dyDescent="0.2">
      <c r="A37" s="355" t="s">
        <v>97</v>
      </c>
      <c r="B37" s="374">
        <f>+C37*$P$11</f>
        <v>471257.45</v>
      </c>
      <c r="C37" s="386">
        <f>+NGPL!F38</f>
        <v>177833</v>
      </c>
      <c r="D37" s="65">
        <f>+NGPL!A38</f>
        <v>37076</v>
      </c>
      <c r="E37" t="s">
        <v>89</v>
      </c>
      <c r="F37" t="s">
        <v>125</v>
      </c>
      <c r="G37" t="s">
        <v>173</v>
      </c>
    </row>
    <row r="38" spans="1:7" ht="15" customHeight="1" x14ac:dyDescent="0.2">
      <c r="A38" s="355" t="s">
        <v>35</v>
      </c>
      <c r="B38" s="374">
        <f>+'El Paso'!E38*summary!P10+'El Paso'!C38*summary!P11</f>
        <v>517014.06999999995</v>
      </c>
      <c r="C38" s="386">
        <f>+'El Paso'!H38</f>
        <v>162513</v>
      </c>
      <c r="D38" s="65">
        <f>+'El Paso'!A38</f>
        <v>37076</v>
      </c>
      <c r="E38" t="s">
        <v>89</v>
      </c>
      <c r="F38" t="s">
        <v>110</v>
      </c>
      <c r="G38" t="s">
        <v>129</v>
      </c>
    </row>
    <row r="39" spans="1:7" ht="15" customHeight="1" x14ac:dyDescent="0.2">
      <c r="A39" s="355" t="s">
        <v>34</v>
      </c>
      <c r="B39" s="374">
        <f>+C39*$P$11</f>
        <v>332545.84999999998</v>
      </c>
      <c r="C39" s="400">
        <f>+SoCal!F40</f>
        <v>125489</v>
      </c>
      <c r="D39" s="385">
        <f>+SoCal!A40</f>
        <v>37076</v>
      </c>
      <c r="E39" t="s">
        <v>89</v>
      </c>
      <c r="F39" t="s">
        <v>108</v>
      </c>
    </row>
    <row r="40" spans="1:7" ht="15" customHeight="1" x14ac:dyDescent="0.2">
      <c r="A40" s="355" t="s">
        <v>33</v>
      </c>
      <c r="B40" s="374">
        <f>+C40*$P$11</f>
        <v>196380.9</v>
      </c>
      <c r="C40" s="386">
        <f>+Lonestar!F42</f>
        <v>74106</v>
      </c>
      <c r="D40" s="317">
        <f>+Lonestar!B42</f>
        <v>37076</v>
      </c>
      <c r="E40" t="s">
        <v>89</v>
      </c>
      <c r="F40" t="s">
        <v>112</v>
      </c>
    </row>
    <row r="41" spans="1:7" ht="15" customHeight="1" x14ac:dyDescent="0.2">
      <c r="A41" s="355" t="s">
        <v>7</v>
      </c>
      <c r="B41" s="374">
        <f>+C41*$P$10</f>
        <v>140067.85</v>
      </c>
      <c r="C41" s="386">
        <f>+Amoco!D40</f>
        <v>61165</v>
      </c>
      <c r="D41" s="65">
        <f>+Amoco!A40</f>
        <v>37076</v>
      </c>
      <c r="E41" t="s">
        <v>89</v>
      </c>
      <c r="F41" t="s">
        <v>125</v>
      </c>
    </row>
    <row r="42" spans="1:7" ht="15" customHeight="1" x14ac:dyDescent="0.2">
      <c r="A42" s="355" t="s">
        <v>159</v>
      </c>
      <c r="B42" s="368">
        <f>+C42*$P$11</f>
        <v>90304.05</v>
      </c>
      <c r="C42" s="369">
        <f>+PEPL!D41</f>
        <v>34077</v>
      </c>
      <c r="D42" s="65">
        <f>+PEPL!A41</f>
        <v>37076</v>
      </c>
      <c r="E42" t="s">
        <v>89</v>
      </c>
      <c r="F42" t="s">
        <v>112</v>
      </c>
      <c r="G42" t="s">
        <v>129</v>
      </c>
    </row>
    <row r="43" spans="1:7" ht="15" customHeight="1" x14ac:dyDescent="0.2">
      <c r="A43" s="355" t="s">
        <v>8</v>
      </c>
      <c r="B43" s="374">
        <f>+C43*$P$11</f>
        <v>46481</v>
      </c>
      <c r="C43" s="400">
        <f>+Oasis!D40</f>
        <v>17540</v>
      </c>
      <c r="D43" s="65">
        <f>+Oasis!B40</f>
        <v>37076</v>
      </c>
      <c r="E43" t="s">
        <v>89</v>
      </c>
      <c r="F43" t="s">
        <v>112</v>
      </c>
    </row>
    <row r="44" spans="1:7" ht="15" customHeight="1" x14ac:dyDescent="0.2">
      <c r="A44" s="355" t="s">
        <v>103</v>
      </c>
      <c r="B44" s="374">
        <f>+C44*$P$11</f>
        <v>38459.449999999997</v>
      </c>
      <c r="C44" s="386">
        <f>+Mojave!D40</f>
        <v>14513</v>
      </c>
      <c r="D44" s="65">
        <f>+Mojave!A40</f>
        <v>37075</v>
      </c>
      <c r="E44" t="s">
        <v>89</v>
      </c>
      <c r="F44" t="s">
        <v>110</v>
      </c>
    </row>
    <row r="45" spans="1:7" ht="15" customHeight="1" x14ac:dyDescent="0.2">
      <c r="A45" s="355" t="s">
        <v>1</v>
      </c>
      <c r="B45" s="374">
        <f>+C45*$P$10</f>
        <v>8972.2199999999993</v>
      </c>
      <c r="C45" s="400">
        <f>+NW!$F$41</f>
        <v>3918</v>
      </c>
      <c r="D45" s="317">
        <f>+NW!B41</f>
        <v>37076</v>
      </c>
      <c r="E45" t="s">
        <v>89</v>
      </c>
      <c r="F45" t="s">
        <v>109</v>
      </c>
    </row>
    <row r="46" spans="1:7" ht="15" customHeight="1" x14ac:dyDescent="0.2">
      <c r="A46" s="355" t="s">
        <v>124</v>
      </c>
      <c r="B46" s="387">
        <f>+C46*$P$11</f>
        <v>-38430.299999999996</v>
      </c>
      <c r="C46" s="401">
        <f>+'PG&amp;E'!D40</f>
        <v>-14502</v>
      </c>
      <c r="D46" s="65">
        <f>+'PG&amp;E'!A40</f>
        <v>37076</v>
      </c>
      <c r="E46" t="s">
        <v>89</v>
      </c>
      <c r="F46" t="s">
        <v>112</v>
      </c>
    </row>
    <row r="47" spans="1:7" ht="18" customHeight="1" x14ac:dyDescent="0.2">
      <c r="A47" s="297" t="s">
        <v>161</v>
      </c>
      <c r="B47" s="374">
        <f>SUM(B36:B46)</f>
        <v>2472190.5400000005</v>
      </c>
      <c r="C47" s="400">
        <f>SUM(C36:C46)</f>
        <v>948852</v>
      </c>
      <c r="D47" s="314"/>
    </row>
    <row r="48" spans="1:7" ht="18" customHeight="1" x14ac:dyDescent="0.2">
      <c r="B48" s="398"/>
      <c r="C48" s="399"/>
    </row>
    <row r="49" spans="1:5" ht="18" customHeight="1" thickBot="1" x14ac:dyDescent="0.25">
      <c r="A49" s="34" t="s">
        <v>162</v>
      </c>
      <c r="B49" s="390">
        <f>+B47+B33</f>
        <v>6976979.629999999</v>
      </c>
      <c r="C49" s="422">
        <f>+C47+C33</f>
        <v>2701175.9148782259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4" workbookViewId="3">
      <selection activeCell="E35" sqref="E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145402</v>
      </c>
      <c r="C11" s="11">
        <v>145396</v>
      </c>
      <c r="D11" s="11">
        <v>13266</v>
      </c>
      <c r="E11" s="11">
        <v>12163</v>
      </c>
      <c r="F11" s="11">
        <f t="shared" si="5"/>
        <v>-1109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612309</v>
      </c>
      <c r="C39" s="150">
        <f>SUM(C8:C38)</f>
        <v>616313</v>
      </c>
      <c r="D39" s="150">
        <f>SUM(D8:D38)</f>
        <v>54073</v>
      </c>
      <c r="E39" s="150">
        <f>SUM(E8:E38)</f>
        <v>51262</v>
      </c>
      <c r="F39" s="11">
        <f t="shared" si="5"/>
        <v>1193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2.29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2731.9700000000003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418">
        <v>674064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37076</v>
      </c>
      <c r="C43" s="142"/>
      <c r="D43" s="142"/>
      <c r="E43" s="142"/>
      <c r="F43" s="252">
        <f>+F42+F41</f>
        <v>676795.97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3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21</v>
      </c>
      <c r="C4" s="58" t="s">
        <v>22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-431255</v>
      </c>
      <c r="C36" s="24">
        <f>SUM(C5:C35)</f>
        <v>-436708</v>
      </c>
      <c r="D36" s="24">
        <f t="shared" si="0"/>
        <v>-5453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37072</v>
      </c>
      <c r="C38" s="24"/>
      <c r="D38" s="402">
        <v>22993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37076</v>
      </c>
      <c r="C40" s="24"/>
      <c r="D40" s="195">
        <f>+D36+D38</f>
        <v>17540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8" sqref="C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0">
        <v>97399</v>
      </c>
      <c r="C5" s="90">
        <v>104103</v>
      </c>
      <c r="D5" s="90">
        <f>+C5-B5</f>
        <v>6704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90386</v>
      </c>
      <c r="C7" s="90">
        <v>66695</v>
      </c>
      <c r="D7" s="90">
        <f t="shared" si="0"/>
        <v>-23691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v>104839</v>
      </c>
      <c r="C8" s="90">
        <v>112850</v>
      </c>
      <c r="D8" s="90">
        <f t="shared" si="0"/>
        <v>8011</v>
      </c>
      <c r="E8" s="287"/>
      <c r="F8" s="285"/>
    </row>
    <row r="9" spans="1:13" x14ac:dyDescent="0.2">
      <c r="A9" s="87">
        <v>500293</v>
      </c>
      <c r="B9" s="92">
        <v>45567</v>
      </c>
      <c r="C9" s="90">
        <v>61288</v>
      </c>
      <c r="D9" s="90">
        <f t="shared" si="0"/>
        <v>15721</v>
      </c>
      <c r="E9" s="287"/>
      <c r="F9" s="285"/>
    </row>
    <row r="10" spans="1:13" x14ac:dyDescent="0.2">
      <c r="A10" s="87">
        <v>500302</v>
      </c>
      <c r="B10" s="331"/>
      <c r="C10" s="331">
        <v>1011</v>
      </c>
      <c r="D10" s="90">
        <f t="shared" si="0"/>
        <v>1011</v>
      </c>
      <c r="E10" s="287"/>
      <c r="F10" s="285"/>
    </row>
    <row r="11" spans="1:13" x14ac:dyDescent="0.2">
      <c r="A11" s="87">
        <v>500303</v>
      </c>
      <c r="B11" s="331">
        <v>18605</v>
      </c>
      <c r="C11" s="90">
        <v>33363</v>
      </c>
      <c r="D11" s="90">
        <f t="shared" si="0"/>
        <v>14758</v>
      </c>
      <c r="E11" s="287"/>
      <c r="F11" s="285"/>
    </row>
    <row r="12" spans="1:13" x14ac:dyDescent="0.2">
      <c r="A12" s="91">
        <v>500305</v>
      </c>
      <c r="B12" s="331">
        <v>96464</v>
      </c>
      <c r="C12" s="90">
        <v>135906</v>
      </c>
      <c r="D12" s="90">
        <f t="shared" si="0"/>
        <v>39442</v>
      </c>
      <c r="E12" s="288"/>
      <c r="F12" s="285"/>
    </row>
    <row r="13" spans="1:13" x14ac:dyDescent="0.2">
      <c r="A13" s="87">
        <v>500307</v>
      </c>
      <c r="B13" s="331">
        <v>13467</v>
      </c>
      <c r="C13" s="90">
        <v>14983</v>
      </c>
      <c r="D13" s="90">
        <f t="shared" si="0"/>
        <v>1516</v>
      </c>
      <c r="E13" s="287"/>
      <c r="F13" s="285"/>
    </row>
    <row r="14" spans="1:13" x14ac:dyDescent="0.2">
      <c r="A14" s="87">
        <v>500313</v>
      </c>
      <c r="B14" s="90"/>
      <c r="C14" s="331">
        <v>315</v>
      </c>
      <c r="D14" s="90">
        <f t="shared" si="0"/>
        <v>315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49184</v>
      </c>
      <c r="C16" s="90"/>
      <c r="D16" s="90">
        <f t="shared" si="0"/>
        <v>-49184</v>
      </c>
      <c r="E16" s="287"/>
      <c r="F16" s="285"/>
    </row>
    <row r="17" spans="1:6" x14ac:dyDescent="0.2">
      <c r="A17" s="87">
        <v>500657</v>
      </c>
      <c r="B17" s="359">
        <v>16511</v>
      </c>
      <c r="C17" s="88">
        <v>18000</v>
      </c>
      <c r="D17" s="94">
        <f t="shared" si="0"/>
        <v>1489</v>
      </c>
      <c r="E17" s="287"/>
      <c r="F17" s="285"/>
    </row>
    <row r="18" spans="1:6" x14ac:dyDescent="0.2">
      <c r="A18" s="87"/>
      <c r="B18" s="88"/>
      <c r="C18" s="88"/>
      <c r="D18" s="88">
        <f>SUM(D5:D17)</f>
        <v>16092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2.65</v>
      </c>
      <c r="E19" s="289"/>
      <c r="F19" s="285"/>
    </row>
    <row r="20" spans="1:6" x14ac:dyDescent="0.2">
      <c r="A20" s="87"/>
      <c r="B20" s="88"/>
      <c r="C20" s="88"/>
      <c r="D20" s="96">
        <f>+D19*D18</f>
        <v>42643.799999999996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414">
        <v>-27031.85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37075</v>
      </c>
      <c r="B24" s="88"/>
      <c r="C24" s="88"/>
      <c r="D24" s="358">
        <f>+D22+D20</f>
        <v>15611.949999999997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8" workbookViewId="3">
      <selection activeCell="D35" sqref="D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48478</v>
      </c>
      <c r="C7" s="11">
        <v>46658</v>
      </c>
      <c r="D7" s="11">
        <v>29716</v>
      </c>
      <c r="E7" s="11">
        <v>28940</v>
      </c>
      <c r="F7" s="25">
        <f t="shared" si="0"/>
        <v>-2596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08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186122</v>
      </c>
      <c r="C35" s="11">
        <f>SUM(C4:C34)</f>
        <v>182803</v>
      </c>
      <c r="D35" s="11">
        <f>SUM(D4:D34)</f>
        <v>119240</v>
      </c>
      <c r="E35" s="11">
        <f>SUM(E4:E34)</f>
        <v>124782</v>
      </c>
      <c r="F35" s="11">
        <f>+E35-D35+C35-B35</f>
        <v>2223</v>
      </c>
    </row>
    <row r="36" spans="1:7" x14ac:dyDescent="0.2">
      <c r="A36" s="45"/>
      <c r="C36" s="14">
        <f>+C35-B35</f>
        <v>-3319</v>
      </c>
      <c r="D36" s="14"/>
      <c r="E36" s="14">
        <f>+E35-D35</f>
        <v>5542</v>
      </c>
      <c r="F36" s="47"/>
    </row>
    <row r="37" spans="1:7" x14ac:dyDescent="0.2">
      <c r="C37" s="15">
        <f>+summary!P11</f>
        <v>2.65</v>
      </c>
      <c r="D37" s="15"/>
      <c r="E37" s="15">
        <f>+C37</f>
        <v>2.65</v>
      </c>
      <c r="F37" s="24"/>
    </row>
    <row r="38" spans="1:7" x14ac:dyDescent="0.2">
      <c r="C38" s="48">
        <f>+C37*C36</f>
        <v>-8795.35</v>
      </c>
      <c r="D38" s="47"/>
      <c r="E38" s="48">
        <f>+E37*E36</f>
        <v>14686.3</v>
      </c>
      <c r="F38" s="46">
        <f>+E38+C38</f>
        <v>5890.9499999999989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413">
        <v>2417720.29</v>
      </c>
      <c r="D40" s="111"/>
      <c r="E40" s="413">
        <v>-1903937.76</v>
      </c>
      <c r="F40" s="382">
        <f>+E40+C40</f>
        <v>513782.53</v>
      </c>
      <c r="G40" s="25"/>
    </row>
    <row r="41" spans="1:7" x14ac:dyDescent="0.2">
      <c r="A41" s="57">
        <v>37076</v>
      </c>
      <c r="C41" s="106">
        <f>+C40+C38</f>
        <v>2408924.94</v>
      </c>
      <c r="D41" s="106"/>
      <c r="E41" s="106">
        <f>+E40+E38</f>
        <v>-1889251.46</v>
      </c>
      <c r="F41" s="106">
        <f>+E41+C41</f>
        <v>519673.48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D40" sqref="D4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-60293</v>
      </c>
      <c r="F8" s="11">
        <f t="shared" si="2"/>
        <v>-186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513090</v>
      </c>
      <c r="C36" s="11">
        <f>SUM(C5:C35)</f>
        <v>789755</v>
      </c>
      <c r="D36" s="11">
        <f>SUM(D5:D35)</f>
        <v>0</v>
      </c>
      <c r="E36" s="11">
        <f>SUM(E5:E35)</f>
        <v>-281554</v>
      </c>
      <c r="F36" s="11">
        <f>SUM(F5:F35)</f>
        <v>-4889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407">
        <v>8807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37076</v>
      </c>
      <c r="F41" s="383">
        <f>+F39+F36</f>
        <v>3918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3" sqref="A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92415</v>
      </c>
      <c r="C11" s="11">
        <v>92044</v>
      </c>
      <c r="D11" s="11">
        <f t="shared" si="0"/>
        <v>-371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229550</v>
      </c>
      <c r="C39" s="11">
        <f>SUM(C8:C38)</f>
        <v>228301</v>
      </c>
      <c r="D39" s="11">
        <f>SUM(D8:D38)</f>
        <v>-1249</v>
      </c>
      <c r="E39" s="10"/>
      <c r="F39" s="11"/>
      <c r="G39" s="11"/>
      <c r="H39" s="11"/>
    </row>
    <row r="40" spans="1:8" x14ac:dyDescent="0.2">
      <c r="A40" s="26"/>
      <c r="D40" s="75">
        <f>+summary!P11</f>
        <v>2.65</v>
      </c>
      <c r="E40" s="26"/>
      <c r="H40" s="75"/>
    </row>
    <row r="41" spans="1:8" x14ac:dyDescent="0.2">
      <c r="D41" s="197">
        <f>+D40*D39</f>
        <v>-3309.85</v>
      </c>
      <c r="F41" s="253"/>
      <c r="H41" s="197"/>
    </row>
    <row r="42" spans="1:8" x14ac:dyDescent="0.2">
      <c r="A42" s="57">
        <v>37072</v>
      </c>
      <c r="D42" s="419">
        <v>49022</v>
      </c>
      <c r="E42" s="57"/>
      <c r="H42" s="197"/>
    </row>
    <row r="43" spans="1:8" x14ac:dyDescent="0.2">
      <c r="A43" s="57">
        <v>37076</v>
      </c>
      <c r="D43" s="198">
        <f>+D42+D41</f>
        <v>45712.15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A8" sqref="A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417">
        <v>966312.73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37075</v>
      </c>
      <c r="G7" s="32"/>
      <c r="H7" s="15"/>
      <c r="I7" s="32"/>
      <c r="J7" s="32"/>
    </row>
    <row r="8" spans="1:10" x14ac:dyDescent="0.2">
      <c r="A8" s="254">
        <v>60874</v>
      </c>
      <c r="B8" s="423">
        <v>337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25">
        <f>2463-2113-1073</f>
        <v>-723</v>
      </c>
      <c r="G10" s="32"/>
      <c r="H10" s="15"/>
      <c r="I10" s="32"/>
      <c r="J10" s="32"/>
    </row>
    <row r="11" spans="1:10" x14ac:dyDescent="0.2">
      <c r="A11" s="254">
        <v>500251</v>
      </c>
      <c r="B11" s="354">
        <f>1654-1776</f>
        <v>-122</v>
      </c>
      <c r="G11" s="32"/>
      <c r="H11" s="15"/>
      <c r="I11" s="32"/>
      <c r="J11" s="32"/>
    </row>
    <row r="12" spans="1:10" x14ac:dyDescent="0.2">
      <c r="A12" s="254">
        <v>500254</v>
      </c>
      <c r="B12" s="354">
        <v>275</v>
      </c>
      <c r="G12" s="32"/>
      <c r="H12" s="15"/>
      <c r="I12" s="32"/>
      <c r="J12" s="32"/>
    </row>
    <row r="13" spans="1:10" x14ac:dyDescent="0.2">
      <c r="A13" s="32">
        <v>500255</v>
      </c>
      <c r="B13" s="354">
        <f>1654-1214-390</f>
        <v>50</v>
      </c>
      <c r="G13" s="32"/>
      <c r="H13" s="15"/>
      <c r="I13" s="32"/>
      <c r="J13" s="32"/>
    </row>
    <row r="14" spans="1:10" x14ac:dyDescent="0.2">
      <c r="A14" s="32">
        <v>500262</v>
      </c>
      <c r="B14" s="354">
        <f>689-837-426</f>
        <v>-574</v>
      </c>
      <c r="G14" s="32"/>
      <c r="H14" s="15"/>
      <c r="I14" s="32"/>
      <c r="J14" s="32"/>
    </row>
    <row r="15" spans="1:10" x14ac:dyDescent="0.2">
      <c r="A15" s="292">
        <v>500267</v>
      </c>
      <c r="B15" s="424">
        <f>172155-100648-52050</f>
        <v>19457</v>
      </c>
      <c r="G15" s="32"/>
      <c r="H15" s="15"/>
      <c r="I15" s="32"/>
      <c r="J15" s="32"/>
    </row>
    <row r="16" spans="1:10" x14ac:dyDescent="0.2">
      <c r="B16" s="14">
        <f>SUM(B8:B15)</f>
        <v>18700</v>
      </c>
      <c r="G16" s="32"/>
      <c r="H16" s="15"/>
      <c r="I16" s="32"/>
      <c r="J16" s="32"/>
    </row>
    <row r="17" spans="1:10" x14ac:dyDescent="0.2">
      <c r="B17" s="15">
        <f>+B30</f>
        <v>2.65</v>
      </c>
      <c r="C17" s="201">
        <f>+B17*B16</f>
        <v>49555</v>
      </c>
      <c r="G17" s="32"/>
      <c r="H17" s="15"/>
      <c r="I17" s="32"/>
      <c r="J17" s="32"/>
    </row>
    <row r="18" spans="1:10" x14ac:dyDescent="0.2">
      <c r="C18" s="363">
        <f>+C17+C5</f>
        <v>1015867.73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417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37072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2.65</v>
      </c>
      <c r="C30" s="201">
        <f>+B30*B29</f>
        <v>0</v>
      </c>
    </row>
    <row r="31" spans="1:10" x14ac:dyDescent="0.2">
      <c r="C31" s="363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37072</v>
      </c>
      <c r="C38" s="417">
        <v>698975.46</v>
      </c>
      <c r="E38" s="15"/>
      <c r="F38" s="269"/>
    </row>
    <row r="40" spans="1:6" x14ac:dyDescent="0.2">
      <c r="A40" s="250">
        <v>37072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/>
    </row>
    <row r="43" spans="1:6" x14ac:dyDescent="0.2">
      <c r="A43" s="32">
        <v>500392</v>
      </c>
      <c r="B43" s="258"/>
    </row>
    <row r="44" spans="1:6" x14ac:dyDescent="0.2">
      <c r="B44" s="14">
        <f>SUM(B41:B43)</f>
        <v>0</v>
      </c>
    </row>
    <row r="45" spans="1:6" x14ac:dyDescent="0.2">
      <c r="B45" s="201">
        <f>+B30</f>
        <v>2.65</v>
      </c>
      <c r="C45" s="201">
        <f>+B45*B44</f>
        <v>0</v>
      </c>
    </row>
    <row r="46" spans="1:6" x14ac:dyDescent="0.2">
      <c r="C46" s="363">
        <f>+C45+C38</f>
        <v>698975.46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16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5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5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67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2208272.37</v>
      </c>
    </row>
    <row r="63" spans="1:9" x14ac:dyDescent="0.2">
      <c r="C63" s="352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47" workbookViewId="3">
      <selection activeCell="A64" sqref="A64"/>
    </sheetView>
  </sheetViews>
  <sheetFormatPr defaultRowHeight="12.75" x14ac:dyDescent="0.2"/>
  <cols>
    <col min="3" max="3" width="9.85546875" bestFit="1" customWidth="1"/>
    <col min="6" max="6" width="12.28515625" bestFit="1" customWidth="1"/>
    <col min="8" max="8" width="9.57031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f>+E4+C4-D4-B4</f>
        <v>-1210</v>
      </c>
      <c r="G4" s="11"/>
      <c r="H4" s="24"/>
    </row>
    <row r="5" spans="1:8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f t="shared" ref="F5:F34" si="0">+E5+C5-D5-B5</f>
        <v>-1132</v>
      </c>
      <c r="G5" s="11"/>
      <c r="H5" s="24"/>
    </row>
    <row r="6" spans="1:8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f t="shared" si="0"/>
        <v>-650</v>
      </c>
      <c r="G6" s="11"/>
      <c r="H6" s="24"/>
    </row>
    <row r="7" spans="1:8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H7" s="24"/>
    </row>
    <row r="8" spans="1:8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H8" s="24"/>
    </row>
    <row r="9" spans="1:8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H9" s="24"/>
    </row>
    <row r="10" spans="1:8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H10" s="24"/>
    </row>
    <row r="11" spans="1:8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H11" s="24"/>
    </row>
    <row r="12" spans="1:8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H12" s="24"/>
    </row>
    <row r="13" spans="1:8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H13" s="24"/>
    </row>
    <row r="14" spans="1:8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H14" s="24"/>
    </row>
    <row r="15" spans="1:8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73988</v>
      </c>
      <c r="E35" s="11">
        <f>SUM(E4:E34)</f>
        <v>70996</v>
      </c>
      <c r="F35" s="11">
        <f>SUM(F4:F34)</f>
        <v>-2992</v>
      </c>
      <c r="G35" s="11"/>
      <c r="H35" s="11"/>
    </row>
    <row r="36" spans="1:8" x14ac:dyDescent="0.2">
      <c r="C36" s="25">
        <f>+C35-B35</f>
        <v>0</v>
      </c>
      <c r="E36" s="25">
        <f>+E35-D35</f>
        <v>-2992</v>
      </c>
      <c r="F36" s="25">
        <f>+E36+C36</f>
        <v>-2992</v>
      </c>
    </row>
    <row r="37" spans="1:8" x14ac:dyDescent="0.2">
      <c r="C37" s="350">
        <f>+summary!P12</f>
        <v>2.83</v>
      </c>
      <c r="E37" s="350">
        <f>+C37</f>
        <v>2.83</v>
      </c>
      <c r="F37" s="350">
        <f>+E37</f>
        <v>2.83</v>
      </c>
    </row>
    <row r="38" spans="1:8" x14ac:dyDescent="0.2">
      <c r="C38" s="138">
        <f>+C37*C36</f>
        <v>0</v>
      </c>
      <c r="E38" s="138">
        <f>+E37*E36</f>
        <v>-8467.36</v>
      </c>
      <c r="F38" s="138">
        <f>+F37*F36</f>
        <v>-8467.36</v>
      </c>
    </row>
    <row r="39" spans="1:8" x14ac:dyDescent="0.2">
      <c r="A39" s="57">
        <v>37042</v>
      </c>
      <c r="B39" s="2" t="s">
        <v>47</v>
      </c>
      <c r="C39" s="411">
        <v>-1027135</v>
      </c>
      <c r="D39" s="362"/>
      <c r="E39" s="411">
        <v>-464064</v>
      </c>
      <c r="F39" s="361">
        <f>+E39+C39</f>
        <v>-1491199</v>
      </c>
      <c r="G39" s="51"/>
      <c r="H39" s="24">
        <f>+F39+F44+F45+F46+F47+F48+F49</f>
        <v>-2120718.71</v>
      </c>
    </row>
    <row r="40" spans="1:8" x14ac:dyDescent="0.2">
      <c r="A40" s="57">
        <v>37075</v>
      </c>
      <c r="B40" s="2" t="s">
        <v>47</v>
      </c>
      <c r="C40" s="351">
        <f>+C39+C38</f>
        <v>-1027135</v>
      </c>
      <c r="D40" s="260"/>
      <c r="E40" s="351">
        <f>+E39+E38</f>
        <v>-472531.36</v>
      </c>
      <c r="F40" s="351">
        <f>+F39+F38</f>
        <v>-1499666.36</v>
      </c>
      <c r="G40" s="131"/>
      <c r="H40" s="131">
        <f>+Duke!C5+Duke!C24+Duke!C38+Duke!C51+Duke!C52+Duke!C53+Duke!C54+Duke!C55+Duke!C56+Duke!C57+Duke!C58+Duke!C59+Duke!C60+Duke!C61</f>
        <v>2158717.37</v>
      </c>
    </row>
    <row r="41" spans="1:8" x14ac:dyDescent="0.2">
      <c r="C41" s="377"/>
      <c r="D41" s="251"/>
      <c r="E41" s="251"/>
      <c r="F41" s="251"/>
      <c r="G41" s="251"/>
      <c r="H41" s="3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17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17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17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17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5">
        <v>-635539.74</v>
      </c>
      <c r="G49" s="255" t="s">
        <v>132</v>
      </c>
    </row>
    <row r="50" spans="2:7" x14ac:dyDescent="0.2">
      <c r="C50" s="251"/>
      <c r="D50" s="251"/>
      <c r="E50" s="251"/>
      <c r="F50" s="379">
        <f>SUM(F40:F49)</f>
        <v>-2129186.0700000003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2208272.37</v>
      </c>
    </row>
    <row r="54" spans="2:7" x14ac:dyDescent="0.2">
      <c r="F54" s="104">
        <f>+F52+F50</f>
        <v>79086.299999999814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4" workbookViewId="3">
      <selection activeCell="I34" sqref="I34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3420</v>
      </c>
      <c r="G39" s="11">
        <f t="shared" si="1"/>
        <v>3797</v>
      </c>
      <c r="H39" s="11">
        <f t="shared" si="1"/>
        <v>5325</v>
      </c>
      <c r="I39" s="11">
        <f t="shared" si="1"/>
        <v>5067</v>
      </c>
      <c r="J39" s="25">
        <f t="shared" si="1"/>
        <v>119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2.65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315.34999999999997</v>
      </c>
      <c r="L41"/>
      <c r="R41" s="138"/>
      <c r="X41" s="138"/>
    </row>
    <row r="42" spans="1:24" x14ac:dyDescent="0.2">
      <c r="A42" s="57">
        <v>37072</v>
      </c>
      <c r="C42" s="15"/>
      <c r="J42" s="404">
        <v>351398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37075</v>
      </c>
      <c r="C43" s="48"/>
      <c r="J43" s="138">
        <f>+J42+J41</f>
        <v>351713.35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/>
      <c r="C11" s="11"/>
      <c r="D11" s="11"/>
      <c r="E11" s="11"/>
      <c r="F11" s="25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/>
      <c r="C12" s="11"/>
      <c r="D12" s="11"/>
      <c r="E12" s="11"/>
      <c r="F12" s="25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35915</v>
      </c>
      <c r="C39" s="11">
        <f>SUM(C8:C38)</f>
        <v>31961</v>
      </c>
      <c r="D39" s="11">
        <f>SUM(D8:D38)</f>
        <v>-1514</v>
      </c>
      <c r="E39" s="11">
        <f>SUM(E8:E38)</f>
        <v>0</v>
      </c>
      <c r="F39" s="11">
        <f>SUM(F8:F38)</f>
        <v>-2440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2.65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-6466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412">
        <v>545087.14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37075</v>
      </c>
      <c r="C43" s="48"/>
      <c r="D43" s="48"/>
      <c r="E43" s="48"/>
      <c r="F43" s="110">
        <f>+F42+F41</f>
        <v>538621.14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opLeftCell="A38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6" workbookViewId="3">
      <selection activeCell="D46" sqref="D46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+'[1]0701'!$K$39</f>
        <v>2.29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+'[1]0701'!$M$39</f>
        <v>2.65</v>
      </c>
    </row>
    <row r="12" spans="1:20" ht="18" customHeight="1" x14ac:dyDescent="0.2">
      <c r="A12" s="356" t="s">
        <v>95</v>
      </c>
      <c r="B12" s="374">
        <f>+NNG!$D$24</f>
        <v>1017832.9</v>
      </c>
      <c r="C12" s="386">
        <f>+B12/$P$11</f>
        <v>384087.88679245283</v>
      </c>
      <c r="D12" s="317">
        <f>+NNG!A24</f>
        <v>37075</v>
      </c>
      <c r="E12" s="314" t="s">
        <v>90</v>
      </c>
      <c r="F12" s="314" t="s">
        <v>110</v>
      </c>
      <c r="H12" s="64"/>
      <c r="O12" t="s">
        <v>127</v>
      </c>
      <c r="P12" s="269">
        <f>+'[1]0701'!$H$39</f>
        <v>2.83</v>
      </c>
    </row>
    <row r="13" spans="1:20" ht="15.95" customHeight="1" x14ac:dyDescent="0.2">
      <c r="A13" s="355" t="s">
        <v>145</v>
      </c>
      <c r="B13" s="374">
        <f>+SidR!D41</f>
        <v>880970.15</v>
      </c>
      <c r="C13" s="386">
        <f>+B13/$P$11</f>
        <v>332441.56603773584</v>
      </c>
      <c r="D13" s="65">
        <f>+SidR!A41</f>
        <v>37075</v>
      </c>
      <c r="E13" t="s">
        <v>90</v>
      </c>
      <c r="F13" t="s">
        <v>112</v>
      </c>
      <c r="G13" t="s">
        <v>171</v>
      </c>
    </row>
    <row r="14" spans="1:20" ht="15.95" customHeight="1" x14ac:dyDescent="0.2">
      <c r="A14" s="355" t="s">
        <v>25</v>
      </c>
      <c r="B14" s="368">
        <f>+'Red C'!$F$43</f>
        <v>676795.97</v>
      </c>
      <c r="C14" s="369">
        <f>+B14/$P$10</f>
        <v>295544.09170305677</v>
      </c>
      <c r="D14" s="317">
        <f>+'Red C'!B43</f>
        <v>37076</v>
      </c>
      <c r="E14" t="s">
        <v>90</v>
      </c>
      <c r="F14" t="s">
        <v>125</v>
      </c>
    </row>
    <row r="15" spans="1:20" ht="15.95" customHeight="1" x14ac:dyDescent="0.2">
      <c r="A15" s="355" t="s">
        <v>87</v>
      </c>
      <c r="B15" s="374">
        <f>+PNM!$D$23</f>
        <v>669801.77</v>
      </c>
      <c r="C15" s="386">
        <f>+B15/$P$11</f>
        <v>252755.38490566038</v>
      </c>
      <c r="D15" s="65">
        <f>+PNM!A23</f>
        <v>37075</v>
      </c>
      <c r="E15" t="s">
        <v>90</v>
      </c>
      <c r="F15" t="s">
        <v>108</v>
      </c>
      <c r="G15" t="s">
        <v>172</v>
      </c>
    </row>
    <row r="16" spans="1:20" ht="15.95" customHeight="1" x14ac:dyDescent="0.2">
      <c r="A16" s="356" t="s">
        <v>30</v>
      </c>
      <c r="B16" s="374">
        <f>+C16*$P$10</f>
        <v>669138</v>
      </c>
      <c r="C16" s="386">
        <f>+williams!J40</f>
        <v>292200</v>
      </c>
      <c r="D16" s="317">
        <f>+williams!A40</f>
        <v>37075</v>
      </c>
      <c r="E16" s="314" t="s">
        <v>89</v>
      </c>
      <c r="F16" s="314" t="s">
        <v>125</v>
      </c>
      <c r="G16" t="s">
        <v>167</v>
      </c>
      <c r="T16" s="269"/>
    </row>
    <row r="17" spans="1:20" ht="15.95" customHeight="1" x14ac:dyDescent="0.2">
      <c r="A17" s="355" t="s">
        <v>117</v>
      </c>
      <c r="B17" s="374">
        <f>+KN_Westar!F41</f>
        <v>544472.21</v>
      </c>
      <c r="C17" s="386">
        <f>+B17/$P$11</f>
        <v>205461.21132075472</v>
      </c>
      <c r="D17" s="65">
        <f>+KN_Westar!A41</f>
        <v>37075</v>
      </c>
      <c r="E17" t="s">
        <v>90</v>
      </c>
      <c r="F17" t="s">
        <v>110</v>
      </c>
      <c r="T17" s="269"/>
    </row>
    <row r="18" spans="1:20" ht="15.95" customHeight="1" x14ac:dyDescent="0.2">
      <c r="A18" s="355" t="s">
        <v>3</v>
      </c>
      <c r="B18" s="374">
        <f>+'Amoco Abo'!$F$43</f>
        <v>538621.14</v>
      </c>
      <c r="C18" s="386">
        <f>+B18/$P$11</f>
        <v>203253.2603773585</v>
      </c>
      <c r="D18" s="65">
        <f>+'Amoco Abo'!A43</f>
        <v>37075</v>
      </c>
      <c r="E18" t="s">
        <v>90</v>
      </c>
      <c r="F18" t="s">
        <v>109</v>
      </c>
    </row>
    <row r="19" spans="1:20" ht="15.95" customHeight="1" x14ac:dyDescent="0.2">
      <c r="A19" s="355" t="s">
        <v>84</v>
      </c>
      <c r="B19" s="374">
        <f>+Conoco!$F$41</f>
        <v>519673.48</v>
      </c>
      <c r="C19" s="386">
        <f>+B19/$P$10</f>
        <v>226931.65065502183</v>
      </c>
      <c r="D19" s="317">
        <f>+Conoco!A41</f>
        <v>37076</v>
      </c>
      <c r="E19" t="s">
        <v>90</v>
      </c>
      <c r="F19" t="s">
        <v>109</v>
      </c>
      <c r="G19" t="s">
        <v>168</v>
      </c>
    </row>
    <row r="20" spans="1:20" ht="15.95" customHeight="1" x14ac:dyDescent="0.2">
      <c r="A20" s="355" t="s">
        <v>35</v>
      </c>
      <c r="B20" s="374">
        <f>+'El Paso'!E38*summary!P10+'El Paso'!C38*summary!P11</f>
        <v>517014.06999999995</v>
      </c>
      <c r="C20" s="386">
        <f>+'El Paso'!H38</f>
        <v>162513</v>
      </c>
      <c r="D20" s="65">
        <f>+'El Paso'!A38</f>
        <v>37076</v>
      </c>
      <c r="E20" t="s">
        <v>89</v>
      </c>
      <c r="F20" t="s">
        <v>110</v>
      </c>
      <c r="G20" t="s">
        <v>129</v>
      </c>
    </row>
    <row r="21" spans="1:20" ht="15.95" customHeight="1" x14ac:dyDescent="0.2">
      <c r="A21" s="355" t="s">
        <v>97</v>
      </c>
      <c r="B21" s="374">
        <f>+C21*$P$11</f>
        <v>471257.45</v>
      </c>
      <c r="C21" s="386">
        <f>+NGPL!F38</f>
        <v>177833</v>
      </c>
      <c r="D21" s="65">
        <f>+NGPL!A38</f>
        <v>37076</v>
      </c>
      <c r="E21" t="s">
        <v>89</v>
      </c>
      <c r="F21" t="s">
        <v>125</v>
      </c>
      <c r="G21" t="s">
        <v>173</v>
      </c>
    </row>
    <row r="22" spans="1:20" ht="15.95" customHeight="1" x14ac:dyDescent="0.2">
      <c r="A22" s="355" t="s">
        <v>2</v>
      </c>
      <c r="B22" s="374">
        <f>+mewborne!$J$43</f>
        <v>351713.35</v>
      </c>
      <c r="C22" s="386">
        <f>+B22/$P$11</f>
        <v>132722.01886792452</v>
      </c>
      <c r="D22" s="65">
        <f>+mewborne!A43</f>
        <v>37075</v>
      </c>
      <c r="E22" t="s">
        <v>90</v>
      </c>
      <c r="F22" t="s">
        <v>109</v>
      </c>
    </row>
    <row r="23" spans="1:20" ht="15.95" customHeight="1" x14ac:dyDescent="0.2">
      <c r="A23" s="356" t="s">
        <v>34</v>
      </c>
      <c r="B23" s="374">
        <f>+C23*$P$11</f>
        <v>332545.84999999998</v>
      </c>
      <c r="C23" s="400">
        <f>+SoCal!F40</f>
        <v>125489</v>
      </c>
      <c r="D23" s="421">
        <f>+SoCal!A40</f>
        <v>37076</v>
      </c>
      <c r="E23" s="314" t="s">
        <v>89</v>
      </c>
      <c r="F23" s="314" t="s">
        <v>108</v>
      </c>
    </row>
    <row r="24" spans="1:20" ht="15.95" customHeight="1" x14ac:dyDescent="0.2">
      <c r="A24" s="355" t="s">
        <v>120</v>
      </c>
      <c r="B24" s="374">
        <f>+CIG!D43</f>
        <v>326755</v>
      </c>
      <c r="C24" s="386">
        <f>+B24/$P$11</f>
        <v>123303.77358490566</v>
      </c>
      <c r="D24" s="65">
        <f>+CIG!A43</f>
        <v>37075</v>
      </c>
      <c r="E24" t="s">
        <v>90</v>
      </c>
      <c r="F24" t="s">
        <v>123</v>
      </c>
      <c r="G24" t="s">
        <v>139</v>
      </c>
    </row>
    <row r="25" spans="1:20" ht="15.95" customHeight="1" x14ac:dyDescent="0.2">
      <c r="A25" s="355" t="s">
        <v>113</v>
      </c>
      <c r="B25" s="374">
        <f>+EOG!J41</f>
        <v>317459.59999999998</v>
      </c>
      <c r="C25" s="386">
        <f>+B25/$P$11</f>
        <v>119796.0754716981</v>
      </c>
      <c r="D25" s="317">
        <f>+EOG!A41</f>
        <v>37075</v>
      </c>
      <c r="E25" t="s">
        <v>90</v>
      </c>
      <c r="F25" t="s">
        <v>112</v>
      </c>
    </row>
    <row r="26" spans="1:20" ht="15.95" customHeight="1" x14ac:dyDescent="0.2">
      <c r="A26" s="355" t="s">
        <v>141</v>
      </c>
      <c r="B26" s="374">
        <f>+PGETX!$H$39</f>
        <v>294933.09999999998</v>
      </c>
      <c r="C26" s="386">
        <f>+B26/$P$11</f>
        <v>111295.50943396226</v>
      </c>
      <c r="D26" s="65">
        <f>+PGETX!E39</f>
        <v>37076</v>
      </c>
      <c r="E26" t="s">
        <v>90</v>
      </c>
      <c r="F26" t="s">
        <v>112</v>
      </c>
    </row>
    <row r="27" spans="1:20" ht="15.95" customHeight="1" x14ac:dyDescent="0.2">
      <c r="A27" s="355" t="s">
        <v>33</v>
      </c>
      <c r="B27" s="374">
        <f>+C27*$P$11</f>
        <v>196380.9</v>
      </c>
      <c r="C27" s="386">
        <f>+Lonestar!F42</f>
        <v>74106</v>
      </c>
      <c r="D27" s="317">
        <f>+Lonestar!B42</f>
        <v>37076</v>
      </c>
      <c r="E27" t="s">
        <v>89</v>
      </c>
      <c r="F27" t="s">
        <v>112</v>
      </c>
    </row>
    <row r="28" spans="1:20" ht="15.95" customHeight="1" x14ac:dyDescent="0.2">
      <c r="A28" s="355" t="s">
        <v>7</v>
      </c>
      <c r="B28" s="374">
        <f>+C28*$P$10</f>
        <v>140067.85</v>
      </c>
      <c r="C28" s="386">
        <f>+Amoco!D40</f>
        <v>61165</v>
      </c>
      <c r="D28" s="65">
        <f>+Amoco!A40</f>
        <v>37076</v>
      </c>
      <c r="E28" t="s">
        <v>89</v>
      </c>
      <c r="F28" t="s">
        <v>125</v>
      </c>
    </row>
    <row r="29" spans="1:20" ht="15.95" customHeight="1" x14ac:dyDescent="0.2">
      <c r="A29" s="355" t="s">
        <v>159</v>
      </c>
      <c r="B29" s="368">
        <f>+C29*$P$11</f>
        <v>90304.05</v>
      </c>
      <c r="C29" s="369">
        <f>+PEPL!D41</f>
        <v>34077</v>
      </c>
      <c r="D29" s="65">
        <f>+PEPL!A41</f>
        <v>37076</v>
      </c>
      <c r="E29" t="s">
        <v>89</v>
      </c>
      <c r="F29" t="s">
        <v>112</v>
      </c>
      <c r="G29" t="s">
        <v>158</v>
      </c>
    </row>
    <row r="30" spans="1:20" ht="15.95" customHeight="1" x14ac:dyDescent="0.2">
      <c r="A30" s="355" t="s">
        <v>138</v>
      </c>
      <c r="B30" s="374">
        <f>+DEFS!F54</f>
        <v>79086.299999999814</v>
      </c>
      <c r="C30" s="400">
        <f>+B30/$P$11</f>
        <v>29843.886792452762</v>
      </c>
      <c r="D30" s="65">
        <f>+DEFS!A40</f>
        <v>37075</v>
      </c>
      <c r="E30" t="s">
        <v>90</v>
      </c>
      <c r="F30" t="s">
        <v>110</v>
      </c>
      <c r="G30" t="s">
        <v>128</v>
      </c>
    </row>
    <row r="31" spans="1:20" ht="15.95" customHeight="1" x14ac:dyDescent="0.2">
      <c r="A31" s="355" t="s">
        <v>8</v>
      </c>
      <c r="B31" s="374">
        <f>+C31*$P$11</f>
        <v>46481</v>
      </c>
      <c r="C31" s="400">
        <f>+Oasis!D40</f>
        <v>17540</v>
      </c>
      <c r="D31" s="65">
        <f>+Oasis!B40</f>
        <v>37076</v>
      </c>
      <c r="E31" t="s">
        <v>89</v>
      </c>
      <c r="F31" t="s">
        <v>112</v>
      </c>
    </row>
    <row r="32" spans="1:20" ht="15.95" customHeight="1" x14ac:dyDescent="0.2">
      <c r="A32" s="355" t="s">
        <v>75</v>
      </c>
      <c r="B32" s="368">
        <f>+transcol!$D$43</f>
        <v>45712.15</v>
      </c>
      <c r="C32" s="369">
        <f>+B32/$P$11</f>
        <v>17249.867924528302</v>
      </c>
      <c r="D32" s="65">
        <f>+transcol!A43</f>
        <v>37076</v>
      </c>
      <c r="E32" t="s">
        <v>90</v>
      </c>
      <c r="F32" t="s">
        <v>125</v>
      </c>
    </row>
    <row r="33" spans="1:15" ht="15.95" customHeight="1" x14ac:dyDescent="0.2">
      <c r="A33" s="355" t="s">
        <v>103</v>
      </c>
      <c r="B33" s="374">
        <f>+C33*$P$11</f>
        <v>38459.449999999997</v>
      </c>
      <c r="C33" s="386">
        <f>+Mojave!D40</f>
        <v>14513</v>
      </c>
      <c r="D33" s="65">
        <f>+Mojave!A40</f>
        <v>37075</v>
      </c>
      <c r="E33" t="s">
        <v>89</v>
      </c>
      <c r="F33" t="s">
        <v>110</v>
      </c>
    </row>
    <row r="34" spans="1:15" ht="15.95" customHeight="1" x14ac:dyDescent="0.2">
      <c r="A34" s="356" t="s">
        <v>83</v>
      </c>
      <c r="B34" s="374">
        <f>+Agave!$D$24</f>
        <v>15611.949999999997</v>
      </c>
      <c r="C34" s="400">
        <f>+B34/$P$11</f>
        <v>5891.301886792452</v>
      </c>
      <c r="D34" s="317">
        <f>+Agave!A24</f>
        <v>37075</v>
      </c>
      <c r="E34" s="314" t="s">
        <v>90</v>
      </c>
      <c r="F34" s="314" t="s">
        <v>112</v>
      </c>
    </row>
    <row r="35" spans="1:15" ht="15.95" customHeight="1" x14ac:dyDescent="0.2">
      <c r="A35" s="355" t="s">
        <v>1</v>
      </c>
      <c r="B35" s="374">
        <f>+C35*$P$10</f>
        <v>8972.2199999999993</v>
      </c>
      <c r="C35" s="400">
        <f>+NW!$F$41</f>
        <v>3918</v>
      </c>
      <c r="D35" s="317">
        <f>+NW!B41</f>
        <v>37076</v>
      </c>
      <c r="E35" t="s">
        <v>89</v>
      </c>
      <c r="F35" t="s">
        <v>109</v>
      </c>
    </row>
    <row r="36" spans="1:15" ht="15.95" customHeight="1" x14ac:dyDescent="0.2">
      <c r="A36" s="356" t="s">
        <v>104</v>
      </c>
      <c r="B36" s="387">
        <f>+burlington!D42</f>
        <v>8792.86</v>
      </c>
      <c r="C36" s="428">
        <f>+B36/$P$10</f>
        <v>3839.6768558951967</v>
      </c>
      <c r="D36" s="317">
        <f>+burlington!A42</f>
        <v>37076</v>
      </c>
      <c r="E36" s="314" t="s">
        <v>90</v>
      </c>
      <c r="F36" t="s">
        <v>109</v>
      </c>
    </row>
    <row r="37" spans="1:15" ht="18" customHeight="1" x14ac:dyDescent="0.2">
      <c r="A37" s="297" t="s">
        <v>105</v>
      </c>
      <c r="B37" s="388">
        <f>SUM(B12:B36)</f>
        <v>8798852.7699999996</v>
      </c>
      <c r="C37" s="389">
        <f>SUM(C12:C36)</f>
        <v>3407771.1626101993</v>
      </c>
    </row>
    <row r="38" spans="1:15" ht="18" customHeight="1" x14ac:dyDescent="0.2">
      <c r="F38" s="364"/>
      <c r="O38">
        <v>50</v>
      </c>
    </row>
    <row r="39" spans="1:15" ht="18" customHeight="1" x14ac:dyDescent="0.2">
      <c r="O39">
        <v>79</v>
      </c>
    </row>
    <row r="40" spans="1:15" ht="18" customHeight="1" x14ac:dyDescent="0.2">
      <c r="A40" s="301" t="s">
        <v>98</v>
      </c>
      <c r="B40" s="302" t="s">
        <v>18</v>
      </c>
      <c r="C40" s="303" t="s">
        <v>0</v>
      </c>
      <c r="D40" s="304" t="s">
        <v>85</v>
      </c>
      <c r="E40" s="301" t="s">
        <v>99</v>
      </c>
      <c r="F40" s="334" t="s">
        <v>111</v>
      </c>
      <c r="G40" s="301" t="s">
        <v>107</v>
      </c>
      <c r="O40">
        <f>+O39*O38</f>
        <v>3950</v>
      </c>
    </row>
    <row r="41" spans="1:15" ht="18" customHeight="1" x14ac:dyDescent="0.2">
      <c r="A41" s="356" t="s">
        <v>149</v>
      </c>
      <c r="B41" s="374">
        <f>+Citizens!D18</f>
        <v>-886028.59</v>
      </c>
      <c r="C41" s="400">
        <f>+B41/$P$11</f>
        <v>-334350.41132075473</v>
      </c>
      <c r="D41" s="317">
        <f>+Citizens!A18</f>
        <v>37072</v>
      </c>
      <c r="E41" s="314" t="s">
        <v>90</v>
      </c>
      <c r="F41" s="314" t="s">
        <v>108</v>
      </c>
      <c r="G41" s="301"/>
    </row>
    <row r="42" spans="1:15" ht="18" customHeight="1" x14ac:dyDescent="0.2">
      <c r="A42" s="355" t="s">
        <v>147</v>
      </c>
      <c r="B42" s="374">
        <f>+'NS Steel'!D41</f>
        <v>-361997.1</v>
      </c>
      <c r="C42" s="400">
        <f>+B42/$P$10</f>
        <v>-158077.33624454148</v>
      </c>
      <c r="D42" s="65">
        <f>+'NS Steel'!A41</f>
        <v>37075</v>
      </c>
      <c r="E42" t="s">
        <v>90</v>
      </c>
      <c r="F42" t="s">
        <v>110</v>
      </c>
      <c r="G42" s="301"/>
    </row>
    <row r="43" spans="1:15" ht="18" customHeight="1" x14ac:dyDescent="0.2">
      <c r="A43" s="355" t="s">
        <v>154</v>
      </c>
      <c r="B43" s="374">
        <f>+'Citizens-Griffith'!D41</f>
        <v>-215290</v>
      </c>
      <c r="C43" s="386">
        <f>+B43/$P$11</f>
        <v>-81241.509433962274</v>
      </c>
      <c r="D43" s="317">
        <f>+'Citizens-Griffith'!A41</f>
        <v>37076</v>
      </c>
      <c r="E43" t="s">
        <v>90</v>
      </c>
      <c r="F43" t="s">
        <v>109</v>
      </c>
    </row>
    <row r="44" spans="1:15" ht="18" customHeight="1" x14ac:dyDescent="0.2">
      <c r="A44" s="356" t="s">
        <v>140</v>
      </c>
      <c r="B44" s="374">
        <f>+Calpine!D41</f>
        <v>-201612.7</v>
      </c>
      <c r="C44" s="400">
        <f>+B44/$P$11</f>
        <v>-76080.264150943403</v>
      </c>
      <c r="D44" s="317">
        <f>+Calpine!A41</f>
        <v>37076</v>
      </c>
      <c r="E44" s="314" t="s">
        <v>90</v>
      </c>
      <c r="F44" s="314" t="s">
        <v>109</v>
      </c>
      <c r="G44" s="301"/>
    </row>
    <row r="45" spans="1:15" ht="18" customHeight="1" x14ac:dyDescent="0.2">
      <c r="A45" s="355" t="s">
        <v>143</v>
      </c>
      <c r="B45" s="374">
        <f>+EPFS!D41</f>
        <v>-99106.2</v>
      </c>
      <c r="C45" s="400">
        <f>+B45/$P$12</f>
        <v>-35019.858657243814</v>
      </c>
      <c r="D45" s="317">
        <f>+EPFS!A41</f>
        <v>37076</v>
      </c>
      <c r="E45" t="s">
        <v>90</v>
      </c>
      <c r="F45" t="s">
        <v>110</v>
      </c>
    </row>
    <row r="46" spans="1:15" ht="18" customHeight="1" x14ac:dyDescent="0.2">
      <c r="A46" s="355" t="s">
        <v>124</v>
      </c>
      <c r="B46" s="374">
        <f>+C46*$P$11</f>
        <v>-38430.299999999996</v>
      </c>
      <c r="C46" s="400">
        <f>+'PG&amp;E'!D40</f>
        <v>-14502</v>
      </c>
      <c r="D46" s="65">
        <f>+'PG&amp;E'!A40</f>
        <v>37076</v>
      </c>
      <c r="E46" t="s">
        <v>89</v>
      </c>
      <c r="F46" t="s">
        <v>112</v>
      </c>
    </row>
    <row r="47" spans="1:15" ht="18" customHeight="1" x14ac:dyDescent="0.2">
      <c r="A47" s="355" t="s">
        <v>119</v>
      </c>
      <c r="B47" s="387">
        <f>+Continental!F43</f>
        <v>-19408.25</v>
      </c>
      <c r="C47" s="401">
        <f>+B47/$P$11</f>
        <v>-7323.867924528302</v>
      </c>
      <c r="D47" s="65">
        <f>+Continental!A43</f>
        <v>37075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4">
        <f>SUM(B41:B47)</f>
        <v>-1821873.14</v>
      </c>
      <c r="C48" s="400">
        <f>SUM(C41:C47)</f>
        <v>-706595.247731974</v>
      </c>
      <c r="D48" s="314"/>
    </row>
    <row r="49" spans="1:5" ht="18" customHeight="1" x14ac:dyDescent="0.2">
      <c r="B49" s="398"/>
      <c r="C49" s="399"/>
    </row>
    <row r="50" spans="1:5" ht="18" customHeight="1" thickBot="1" x14ac:dyDescent="0.25">
      <c r="A50" s="34" t="s">
        <v>100</v>
      </c>
      <c r="B50" s="390">
        <f>+B48+B37</f>
        <v>6976979.6299999999</v>
      </c>
      <c r="C50" s="391">
        <f>+C48+C37</f>
        <v>2701175.9148782254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/>
      <c r="C6" s="80"/>
      <c r="D6" s="80">
        <f t="shared" ref="D6:D14" si="0">+C6-B6</f>
        <v>0</v>
      </c>
    </row>
    <row r="7" spans="1:8" x14ac:dyDescent="0.2">
      <c r="A7" s="32">
        <v>3531</v>
      </c>
      <c r="B7" s="337"/>
      <c r="C7" s="80"/>
      <c r="D7" s="80">
        <f t="shared" si="0"/>
        <v>0</v>
      </c>
    </row>
    <row r="8" spans="1:8" x14ac:dyDescent="0.2">
      <c r="A8" s="32">
        <v>60667</v>
      </c>
      <c r="B8" s="337">
        <v>-92986</v>
      </c>
      <c r="C8" s="80"/>
      <c r="D8" s="80">
        <f t="shared" si="0"/>
        <v>92986</v>
      </c>
      <c r="H8" s="255"/>
    </row>
    <row r="9" spans="1:8" x14ac:dyDescent="0.2">
      <c r="A9" s="32">
        <v>60749</v>
      </c>
      <c r="B9" s="337">
        <v>129853</v>
      </c>
      <c r="C9" s="80">
        <v>42093</v>
      </c>
      <c r="D9" s="80">
        <f t="shared" si="0"/>
        <v>-87760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/>
      <c r="C11" s="80"/>
      <c r="D11" s="80">
        <f t="shared" si="0"/>
        <v>0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5226</v>
      </c>
    </row>
    <row r="19" spans="1:5" x14ac:dyDescent="0.2">
      <c r="A19" s="32" t="s">
        <v>86</v>
      </c>
      <c r="B19" s="69"/>
      <c r="C19" s="69"/>
      <c r="D19" s="73">
        <f>+summary!P11</f>
        <v>2.65</v>
      </c>
    </row>
    <row r="20" spans="1:5" x14ac:dyDescent="0.2">
      <c r="B20" s="69"/>
      <c r="C20" s="69"/>
      <c r="D20" s="75">
        <f>+D19*D18</f>
        <v>13848.9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36707</v>
      </c>
      <c r="B22" s="69"/>
      <c r="C22" s="80"/>
      <c r="D22" s="410">
        <v>1003984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37075</v>
      </c>
      <c r="B24" s="69"/>
      <c r="C24" s="69"/>
      <c r="D24" s="381">
        <f>+D22+D20</f>
        <v>1017832.9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26">
        <v>-7461</v>
      </c>
      <c r="C5" s="90">
        <v>-4980</v>
      </c>
      <c r="D5" s="90">
        <f t="shared" ref="D5:D13" si="0">+C5-B5</f>
        <v>2481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26">
        <v>-345471</v>
      </c>
      <c r="C7" s="90">
        <v>-340345</v>
      </c>
      <c r="D7" s="90">
        <f t="shared" si="0"/>
        <v>5126</v>
      </c>
      <c r="E7" s="287"/>
      <c r="F7" s="70"/>
    </row>
    <row r="8" spans="1:13" x14ac:dyDescent="0.2">
      <c r="A8" s="87">
        <v>58710</v>
      </c>
      <c r="B8" s="426">
        <v>-12104</v>
      </c>
      <c r="C8" s="90">
        <v>-189</v>
      </c>
      <c r="D8" s="90">
        <f t="shared" si="0"/>
        <v>11915</v>
      </c>
      <c r="E8" s="287"/>
      <c r="F8" s="70"/>
    </row>
    <row r="9" spans="1:13" x14ac:dyDescent="0.2">
      <c r="A9" s="87">
        <v>60921</v>
      </c>
      <c r="B9" s="331">
        <v>254704</v>
      </c>
      <c r="C9" s="90">
        <v>226066</v>
      </c>
      <c r="D9" s="90">
        <f t="shared" si="0"/>
        <v>-28638</v>
      </c>
      <c r="E9" s="287"/>
      <c r="F9" s="70"/>
    </row>
    <row r="10" spans="1:13" x14ac:dyDescent="0.2">
      <c r="A10" s="87">
        <v>78026</v>
      </c>
      <c r="B10" s="426">
        <v>6566</v>
      </c>
      <c r="C10" s="90">
        <v>5683</v>
      </c>
      <c r="D10" s="90">
        <f t="shared" si="0"/>
        <v>-883</v>
      </c>
      <c r="E10" s="287"/>
      <c r="F10" s="285"/>
    </row>
    <row r="11" spans="1:13" x14ac:dyDescent="0.2">
      <c r="A11" s="87">
        <v>500084</v>
      </c>
      <c r="B11" s="426"/>
      <c r="C11" s="90">
        <v>-3000</v>
      </c>
      <c r="D11" s="90">
        <f t="shared" si="0"/>
        <v>-3000</v>
      </c>
      <c r="E11" s="288"/>
      <c r="F11" s="285"/>
    </row>
    <row r="12" spans="1:13" x14ac:dyDescent="0.2">
      <c r="A12" s="357">
        <v>500085</v>
      </c>
      <c r="B12" s="426"/>
      <c r="C12" s="90"/>
      <c r="D12" s="90">
        <f t="shared" si="0"/>
        <v>0</v>
      </c>
      <c r="E12" s="287"/>
      <c r="F12" s="285"/>
    </row>
    <row r="13" spans="1:13" x14ac:dyDescent="0.2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-12999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2.65</v>
      </c>
      <c r="E18" s="289"/>
      <c r="F18" s="285"/>
    </row>
    <row r="19" spans="1:7" x14ac:dyDescent="0.2">
      <c r="A19" s="87"/>
      <c r="B19" s="88"/>
      <c r="C19" s="88"/>
      <c r="D19" s="96">
        <f>+D18*D17</f>
        <v>-34447.35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414">
        <v>704249.12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37075</v>
      </c>
      <c r="B23" s="88"/>
      <c r="C23" s="88"/>
      <c r="D23" s="358">
        <f>+D21+D19</f>
        <v>669801.77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C30" sqref="C3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/>
      <c r="C7" s="90"/>
      <c r="D7" s="90"/>
      <c r="E7" s="90"/>
      <c r="F7" s="90">
        <f t="shared" si="0"/>
        <v>0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5"/>
      <c r="C20" s="375"/>
      <c r="D20" s="14"/>
      <c r="E20" s="14"/>
      <c r="F20" s="90">
        <f t="shared" si="0"/>
        <v>0</v>
      </c>
    </row>
    <row r="21" spans="1:6" x14ac:dyDescent="0.2">
      <c r="A21">
        <v>19</v>
      </c>
      <c r="B21" s="375"/>
      <c r="C21" s="375"/>
      <c r="D21" s="14"/>
      <c r="E21" s="14"/>
      <c r="F21" s="90">
        <f t="shared" si="0"/>
        <v>0</v>
      </c>
    </row>
    <row r="22" spans="1:6" x14ac:dyDescent="0.2">
      <c r="A22">
        <v>20</v>
      </c>
      <c r="B22" s="375"/>
      <c r="C22" s="375"/>
      <c r="D22" s="14"/>
      <c r="E22" s="14"/>
      <c r="F22" s="90">
        <f t="shared" si="0"/>
        <v>0</v>
      </c>
    </row>
    <row r="23" spans="1:6" x14ac:dyDescent="0.2">
      <c r="A23">
        <v>21</v>
      </c>
      <c r="B23" s="375"/>
      <c r="C23" s="375"/>
      <c r="D23" s="14"/>
      <c r="E23" s="14"/>
      <c r="F23" s="90">
        <f t="shared" si="0"/>
        <v>0</v>
      </c>
    </row>
    <row r="24" spans="1:6" x14ac:dyDescent="0.2">
      <c r="A24">
        <v>22</v>
      </c>
      <c r="B24" s="375"/>
      <c r="C24" s="375"/>
      <c r="D24" s="14"/>
      <c r="E24" s="14"/>
      <c r="F24" s="90">
        <f t="shared" si="0"/>
        <v>0</v>
      </c>
    </row>
    <row r="25" spans="1:6" x14ac:dyDescent="0.2">
      <c r="A25">
        <v>23</v>
      </c>
      <c r="B25" s="375"/>
      <c r="C25" s="375"/>
      <c r="D25" s="14"/>
      <c r="E25" s="14"/>
      <c r="F25" s="90">
        <f t="shared" si="0"/>
        <v>0</v>
      </c>
    </row>
    <row r="26" spans="1:6" x14ac:dyDescent="0.2">
      <c r="A26">
        <v>24</v>
      </c>
      <c r="B26" s="375"/>
      <c r="C26" s="375"/>
      <c r="D26" s="14"/>
      <c r="E26" s="14"/>
      <c r="F26" s="90">
        <f t="shared" si="0"/>
        <v>0</v>
      </c>
    </row>
    <row r="27" spans="1:6" x14ac:dyDescent="0.2">
      <c r="A27">
        <v>25</v>
      </c>
      <c r="B27" s="375"/>
      <c r="C27" s="375"/>
      <c r="D27" s="14"/>
      <c r="E27" s="14"/>
      <c r="F27" s="90">
        <f t="shared" si="0"/>
        <v>0</v>
      </c>
    </row>
    <row r="28" spans="1:6" x14ac:dyDescent="0.2">
      <c r="A28">
        <v>26</v>
      </c>
      <c r="B28" s="375"/>
      <c r="C28" s="375"/>
      <c r="D28" s="14"/>
      <c r="E28" s="14"/>
      <c r="F28" s="90">
        <f t="shared" si="0"/>
        <v>0</v>
      </c>
    </row>
    <row r="29" spans="1:6" x14ac:dyDescent="0.2">
      <c r="A29">
        <v>27</v>
      </c>
      <c r="B29" s="375"/>
      <c r="C29" s="375"/>
      <c r="D29" s="14"/>
      <c r="E29" s="14"/>
      <c r="F29" s="90">
        <f t="shared" si="0"/>
        <v>0</v>
      </c>
    </row>
    <row r="30" spans="1:6" x14ac:dyDescent="0.2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">
      <c r="B34" s="299">
        <f>SUM(B3:B33)</f>
        <v>205247</v>
      </c>
      <c r="C34" s="299">
        <f>SUM(C3:C33)</f>
        <v>189088</v>
      </c>
      <c r="D34" s="14">
        <f>SUM(D3:D33)</f>
        <v>0</v>
      </c>
      <c r="E34" s="14">
        <f>SUM(E3:E33)</f>
        <v>0</v>
      </c>
      <c r="F34" s="14">
        <f>SUM(F3:F33)</f>
        <v>-16159</v>
      </c>
    </row>
    <row r="35" spans="1:6" x14ac:dyDescent="0.2">
      <c r="D35" s="14"/>
      <c r="E35" s="14"/>
      <c r="F35" s="14"/>
    </row>
    <row r="36" spans="1:6" x14ac:dyDescent="0.2">
      <c r="F36" s="380"/>
    </row>
    <row r="37" spans="1:6" x14ac:dyDescent="0.2">
      <c r="A37" s="264">
        <v>37072</v>
      </c>
      <c r="B37" s="14"/>
      <c r="C37" s="14"/>
      <c r="D37" s="14"/>
      <c r="E37" s="14"/>
      <c r="F37" s="403">
        <v>193992</v>
      </c>
    </row>
    <row r="38" spans="1:6" x14ac:dyDescent="0.2">
      <c r="A38" s="264">
        <v>37076</v>
      </c>
      <c r="B38" s="14"/>
      <c r="C38" s="14"/>
      <c r="D38" s="14"/>
      <c r="E38" s="14"/>
      <c r="F38" s="150">
        <f>+F37+F34</f>
        <v>177833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41797</v>
      </c>
      <c r="C4" s="11">
        <v>41815</v>
      </c>
      <c r="D4" s="25">
        <f>+C4-B4</f>
        <v>18</v>
      </c>
    </row>
    <row r="5" spans="1:4" x14ac:dyDescent="0.2">
      <c r="A5" s="10">
        <v>2</v>
      </c>
      <c r="B5" s="11">
        <v>36093</v>
      </c>
      <c r="C5" s="11">
        <v>36544</v>
      </c>
      <c r="D5" s="25">
        <f t="shared" ref="D5:D34" si="0">+C5-B5</f>
        <v>451</v>
      </c>
    </row>
    <row r="6" spans="1:4" x14ac:dyDescent="0.2">
      <c r="A6" s="10">
        <v>3</v>
      </c>
      <c r="B6" s="11">
        <v>35000</v>
      </c>
      <c r="C6" s="11">
        <v>35547</v>
      </c>
      <c r="D6" s="25">
        <f t="shared" si="0"/>
        <v>547</v>
      </c>
    </row>
    <row r="7" spans="1:4" x14ac:dyDescent="0.2">
      <c r="A7" s="10">
        <v>4</v>
      </c>
      <c r="B7" s="11"/>
      <c r="C7" s="11"/>
      <c r="D7" s="25">
        <f t="shared" si="0"/>
        <v>0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112890</v>
      </c>
      <c r="C35" s="11">
        <f>SUM(C4:C34)</f>
        <v>113906</v>
      </c>
      <c r="D35" s="11">
        <f>SUM(D4:D34)</f>
        <v>1016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51">
        <v>13497</v>
      </c>
    </row>
    <row r="39" spans="1:4" x14ac:dyDescent="0.2">
      <c r="A39" s="2"/>
      <c r="D39" s="24"/>
    </row>
    <row r="40" spans="1:4" x14ac:dyDescent="0.2">
      <c r="A40" s="57">
        <v>37075</v>
      </c>
      <c r="D40" s="51">
        <f>+D38+D35</f>
        <v>14513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4" workbookViewId="3">
      <selection activeCell="H30" sqref="H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63143</v>
      </c>
      <c r="C35" s="11">
        <f t="shared" ref="C35:I35" si="1">SUM(C4:C34)</f>
        <v>62000</v>
      </c>
      <c r="D35" s="11">
        <f t="shared" si="1"/>
        <v>22113</v>
      </c>
      <c r="E35" s="11">
        <f t="shared" si="1"/>
        <v>26000</v>
      </c>
      <c r="F35" s="11">
        <f t="shared" si="1"/>
        <v>32974</v>
      </c>
      <c r="G35" s="11">
        <f t="shared" si="1"/>
        <v>24000</v>
      </c>
      <c r="H35" s="11">
        <f t="shared" si="1"/>
        <v>1446</v>
      </c>
      <c r="I35" s="11">
        <f t="shared" si="1"/>
        <v>0</v>
      </c>
      <c r="J35" s="11">
        <f>SUM(J4:J34)</f>
        <v>-7676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2.65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-20341.399999999998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37072</v>
      </c>
      <c r="C39" s="25"/>
      <c r="E39" s="25"/>
      <c r="G39" s="25"/>
      <c r="I39" s="25"/>
      <c r="J39" s="411">
        <v>337801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1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37075</v>
      </c>
      <c r="J41" s="361">
        <f>+J39+J37</f>
        <v>317459.59999999998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21</v>
      </c>
      <c r="C5" s="121" t="s">
        <v>22</v>
      </c>
      <c r="D5" s="121" t="s">
        <v>21</v>
      </c>
      <c r="E5" s="121" t="s">
        <v>22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-35011</v>
      </c>
      <c r="E8" s="24">
        <v>-34553</v>
      </c>
      <c r="F8" s="24">
        <f t="shared" si="0"/>
        <v>458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-103978</v>
      </c>
      <c r="E37" s="24">
        <f>SUM(E6:E36)</f>
        <v>-107563</v>
      </c>
      <c r="F37" s="24">
        <f>SUM(F6:F36)</f>
        <v>-3585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2.65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-9500.25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406">
        <v>553972.46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37075</v>
      </c>
      <c r="E41" s="14"/>
      <c r="F41" s="104">
        <f>+F40+F39</f>
        <v>544472.21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66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45</v>
      </c>
      <c r="E39" s="11">
        <f>SUM(E8:E38)</f>
        <v>0</v>
      </c>
      <c r="F39" s="25">
        <f>SUM(F8:F38)</f>
        <v>-45</v>
      </c>
    </row>
    <row r="40" spans="1:6" x14ac:dyDescent="0.2">
      <c r="A40" s="26"/>
      <c r="C40" s="14"/>
      <c r="F40" s="261">
        <f>+summary!P11</f>
        <v>2.65</v>
      </c>
    </row>
    <row r="41" spans="1:6" x14ac:dyDescent="0.2">
      <c r="F41" s="138">
        <f>+F40*F39</f>
        <v>-119.25</v>
      </c>
    </row>
    <row r="42" spans="1:6" x14ac:dyDescent="0.2">
      <c r="A42" s="57">
        <v>37072</v>
      </c>
      <c r="C42" s="15"/>
      <c r="F42" s="404">
        <v>-19289</v>
      </c>
    </row>
    <row r="43" spans="1:6" x14ac:dyDescent="0.2">
      <c r="A43" s="57">
        <v>37075</v>
      </c>
      <c r="C43" s="48"/>
      <c r="F43" s="138">
        <f>+F42+F41</f>
        <v>-19408.25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2.65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404">
        <v>326755</v>
      </c>
    </row>
    <row r="43" spans="1:4" x14ac:dyDescent="0.2">
      <c r="A43" s="57">
        <v>37075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-260222</v>
      </c>
      <c r="C37" s="11">
        <f>SUM(C6:C36)</f>
        <v>-195300</v>
      </c>
      <c r="D37" s="25">
        <f>SUM(D6:D36)</f>
        <v>64922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172043.3</v>
      </c>
    </row>
    <row r="40" spans="1:4" x14ac:dyDescent="0.2">
      <c r="A40" s="57">
        <v>37072</v>
      </c>
      <c r="C40" s="15"/>
      <c r="D40" s="404">
        <v>-373656</v>
      </c>
    </row>
    <row r="41" spans="1:4" x14ac:dyDescent="0.2">
      <c r="A41" s="57">
        <v>37076</v>
      </c>
      <c r="C41" s="48"/>
      <c r="D41" s="138">
        <f>+D40+D39</f>
        <v>-201612.7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C33" sqref="C33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41397</v>
      </c>
      <c r="C6" s="11">
        <v>40000</v>
      </c>
      <c r="D6" s="25">
        <f>+C6-B6</f>
        <v>-1397</v>
      </c>
    </row>
    <row r="7" spans="1:4" x14ac:dyDescent="0.2">
      <c r="A7" s="10">
        <v>2</v>
      </c>
      <c r="B7" s="11">
        <v>45176</v>
      </c>
      <c r="C7" s="11">
        <v>42000</v>
      </c>
      <c r="D7" s="25">
        <f t="shared" ref="D7:D36" si="0">+C7-B7</f>
        <v>-3176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173904</v>
      </c>
      <c r="C37" s="11">
        <f>SUM(C6:C36)</f>
        <v>164464</v>
      </c>
      <c r="D37" s="25">
        <f>SUM(D6:D36)</f>
        <v>-9440</v>
      </c>
    </row>
    <row r="38" spans="1:4" x14ac:dyDescent="0.2">
      <c r="A38" s="26"/>
      <c r="C38" s="14"/>
      <c r="D38" s="373">
        <f>+summary!P12</f>
        <v>2.83</v>
      </c>
    </row>
    <row r="39" spans="1:4" x14ac:dyDescent="0.2">
      <c r="D39" s="138">
        <f>+D38*D37</f>
        <v>-26715.200000000001</v>
      </c>
    </row>
    <row r="40" spans="1:4" x14ac:dyDescent="0.2">
      <c r="A40" s="57">
        <v>37072</v>
      </c>
      <c r="C40" s="15"/>
      <c r="D40" s="404">
        <v>-72391</v>
      </c>
    </row>
    <row r="41" spans="1:4" x14ac:dyDescent="0.2">
      <c r="A41" s="57">
        <v>37076</v>
      </c>
      <c r="C41" s="48"/>
      <c r="D41" s="138">
        <f>+D40+D39</f>
        <v>-99106.2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workbookViewId="3">
      <selection activeCell="E8" sqref="E8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77206</v>
      </c>
      <c r="G7" s="11">
        <v>88206</v>
      </c>
      <c r="H7" s="11">
        <v>97217</v>
      </c>
      <c r="I7" s="11">
        <v>90822</v>
      </c>
      <c r="J7" s="11">
        <f t="shared" si="0"/>
        <v>-184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/>
      <c r="C8" s="11"/>
      <c r="D8" s="11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1404514</v>
      </c>
      <c r="C35" s="11">
        <f t="shared" ref="C35:I35" si="1">SUM(C4:C34)</f>
        <v>1438397</v>
      </c>
      <c r="D35" s="11">
        <f t="shared" si="1"/>
        <v>230127</v>
      </c>
      <c r="E35" s="11">
        <f t="shared" si="1"/>
        <v>190575</v>
      </c>
      <c r="F35" s="11">
        <f t="shared" si="1"/>
        <v>320875</v>
      </c>
      <c r="G35" s="11">
        <f t="shared" si="1"/>
        <v>355600</v>
      </c>
      <c r="H35" s="11">
        <f t="shared" si="1"/>
        <v>348244</v>
      </c>
      <c r="I35" s="11">
        <f t="shared" si="1"/>
        <v>325058</v>
      </c>
      <c r="J35" s="11">
        <f>SUM(J4:J34)</f>
        <v>5870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402">
        <v>286330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37075</v>
      </c>
      <c r="J40" s="51">
        <f>+J38+J35</f>
        <v>292200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B32" sqref="B32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1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194324</v>
      </c>
      <c r="C37" s="11">
        <f>SUM(C6:C36)</f>
        <v>203975</v>
      </c>
      <c r="D37" s="25">
        <f>SUM(D6:D36)</f>
        <v>9651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25575.149999999998</v>
      </c>
    </row>
    <row r="40" spans="1:4" x14ac:dyDescent="0.2">
      <c r="A40" s="57">
        <v>37072</v>
      </c>
      <c r="C40" s="15"/>
      <c r="D40" s="404">
        <v>855395</v>
      </c>
    </row>
    <row r="41" spans="1:4" x14ac:dyDescent="0.2">
      <c r="A41" s="57">
        <v>37075</v>
      </c>
      <c r="C41" s="48"/>
      <c r="D41" s="138">
        <f>+D40+D39</f>
        <v>880970.15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B33" sqref="B33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6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/>
      <c r="C9" s="11"/>
      <c r="D9" s="25">
        <f t="shared" si="0"/>
        <v>0</v>
      </c>
    </row>
    <row r="10" spans="1:5" x14ac:dyDescent="0.2">
      <c r="A10" s="10">
        <v>5</v>
      </c>
      <c r="B10" s="11"/>
      <c r="C10" s="11"/>
      <c r="D10" s="25">
        <f t="shared" si="0"/>
        <v>0</v>
      </c>
    </row>
    <row r="11" spans="1:5" x14ac:dyDescent="0.2">
      <c r="A11" s="10">
        <v>6</v>
      </c>
      <c r="B11" s="11"/>
      <c r="C11" s="11"/>
      <c r="D11" s="25">
        <f t="shared" si="0"/>
        <v>0</v>
      </c>
    </row>
    <row r="12" spans="1:5" x14ac:dyDescent="0.2">
      <c r="A12" s="10">
        <v>7</v>
      </c>
      <c r="B12" s="11"/>
      <c r="C12" s="11"/>
      <c r="D12" s="25">
        <f t="shared" si="0"/>
        <v>0</v>
      </c>
    </row>
    <row r="13" spans="1:5" x14ac:dyDescent="0.2">
      <c r="A13" s="10">
        <v>8</v>
      </c>
      <c r="B13" s="11"/>
      <c r="C13" s="11"/>
      <c r="D13" s="25">
        <f t="shared" si="0"/>
        <v>0</v>
      </c>
    </row>
    <row r="14" spans="1:5" x14ac:dyDescent="0.2">
      <c r="A14" s="10">
        <v>9</v>
      </c>
      <c r="B14" s="11"/>
      <c r="C14" s="11"/>
      <c r="D14" s="25">
        <f t="shared" si="0"/>
        <v>0</v>
      </c>
    </row>
    <row r="15" spans="1:5" x14ac:dyDescent="0.2">
      <c r="A15" s="10">
        <v>10</v>
      </c>
      <c r="B15" s="11"/>
      <c r="C15" s="11"/>
      <c r="D15" s="25">
        <f t="shared" si="0"/>
        <v>0</v>
      </c>
    </row>
    <row r="16" spans="1:5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-2089</v>
      </c>
      <c r="C37" s="11">
        <f>SUM(C6:C36)</f>
        <v>-8103</v>
      </c>
      <c r="D37" s="25">
        <f>SUM(D6:D36)</f>
        <v>-6014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-15937.1</v>
      </c>
    </row>
    <row r="40" spans="1:4" x14ac:dyDescent="0.2">
      <c r="A40" s="57">
        <v>37072</v>
      </c>
      <c r="C40" s="15"/>
      <c r="D40" s="404">
        <v>-346060</v>
      </c>
    </row>
    <row r="41" spans="1:4" x14ac:dyDescent="0.2">
      <c r="A41" s="57">
        <v>37075</v>
      </c>
      <c r="C41" s="48"/>
      <c r="D41" s="138">
        <f>+D40+D39</f>
        <v>-361997.1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6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73">
        <f>+summary!P11</f>
        <v>2.65</v>
      </c>
    </row>
    <row r="39" spans="1:4" x14ac:dyDescent="0.2">
      <c r="D39" s="138">
        <f>+D38*D37</f>
        <v>0</v>
      </c>
    </row>
    <row r="40" spans="1:4" x14ac:dyDescent="0.2">
      <c r="A40" s="57">
        <v>37072</v>
      </c>
      <c r="C40" s="15"/>
      <c r="D40" s="404">
        <v>-215290</v>
      </c>
    </row>
    <row r="41" spans="1:4" x14ac:dyDescent="0.2">
      <c r="A41" s="57">
        <v>37076</v>
      </c>
      <c r="C41" s="48"/>
      <c r="D41" s="138">
        <f>+D40+D39</f>
        <v>-215290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D17" sqref="D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0"/>
      <c r="C5" s="90"/>
      <c r="D5" s="90">
        <f>+C5-B5</f>
        <v>0</v>
      </c>
      <c r="E5" s="287"/>
      <c r="F5" s="285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0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2.65</v>
      </c>
      <c r="E13" s="289"/>
      <c r="F13" s="285"/>
    </row>
    <row r="14" spans="1:13" x14ac:dyDescent="0.2">
      <c r="A14" s="87"/>
      <c r="B14" s="88"/>
      <c r="C14" s="88"/>
      <c r="D14" s="96">
        <f>+D13*D12</f>
        <v>0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414">
        <v>-886028.59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37072</v>
      </c>
      <c r="B18" s="88"/>
      <c r="C18" s="88"/>
      <c r="D18" s="358">
        <f>+D16+D14</f>
        <v>-886028.59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-20000</v>
      </c>
      <c r="D37" s="25">
        <f>SUM(D6:D36)</f>
        <v>-20000</v>
      </c>
    </row>
    <row r="38" spans="1:4" x14ac:dyDescent="0.2">
      <c r="A38" s="26"/>
      <c r="C38" s="14"/>
      <c r="D38" s="420"/>
    </row>
    <row r="39" spans="1:4" x14ac:dyDescent="0.2">
      <c r="D39" s="138"/>
    </row>
    <row r="40" spans="1:4" x14ac:dyDescent="0.2">
      <c r="A40" s="57">
        <v>37072</v>
      </c>
      <c r="C40" s="15"/>
      <c r="D40" s="402">
        <v>54077</v>
      </c>
    </row>
    <row r="41" spans="1:4" x14ac:dyDescent="0.2">
      <c r="A41" s="57">
        <v>37076</v>
      </c>
      <c r="C41" s="48"/>
      <c r="D41" s="25">
        <f>+D40+D37</f>
        <v>34077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tabSelected="1" workbookViewId="2">
      <selection activeCell="D41" sqref="D41"/>
    </sheetView>
    <sheetView workbookViewId="3">
      <selection activeCell="C11" sqref="C1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1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1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652960</v>
      </c>
      <c r="C38" s="11">
        <f>SUM(C7:C37)</f>
        <v>654694</v>
      </c>
      <c r="D38" s="11">
        <f>SUM(D7:D37)</f>
        <v>1734</v>
      </c>
    </row>
    <row r="39" spans="1:4" x14ac:dyDescent="0.2">
      <c r="A39" s="26"/>
      <c r="C39" s="14"/>
      <c r="D39" s="106">
        <f>+summary!P10</f>
        <v>2.29</v>
      </c>
    </row>
    <row r="40" spans="1:4" x14ac:dyDescent="0.2">
      <c r="D40" s="138">
        <f>+D39*D38</f>
        <v>3970.86</v>
      </c>
    </row>
    <row r="41" spans="1:4" x14ac:dyDescent="0.2">
      <c r="A41" s="57">
        <v>37072</v>
      </c>
      <c r="C41" s="15"/>
      <c r="D41" s="415">
        <v>4822</v>
      </c>
    </row>
    <row r="42" spans="1:4" x14ac:dyDescent="0.2">
      <c r="A42" s="57">
        <v>37076</v>
      </c>
      <c r="D42" s="361">
        <f>+D41+D40</f>
        <v>8792.86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4" workbookViewId="3">
      <selection activeCell="B32" sqref="B32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-150271</v>
      </c>
      <c r="C36" s="44">
        <f>SUM(C5:C35)</f>
        <v>-70754</v>
      </c>
      <c r="D36" s="43">
        <f>SUM(D5:D35)</f>
        <v>0</v>
      </c>
      <c r="E36" s="44">
        <f>SUM(E5:E35)</f>
        <v>-74725</v>
      </c>
      <c r="F36" s="11">
        <f>SUM(F5:F35)</f>
        <v>4792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-79517</v>
      </c>
      <c r="D37" s="24"/>
      <c r="E37" s="24">
        <f>+D36-E36</f>
        <v>74725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248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37076</v>
      </c>
      <c r="C42" s="14"/>
      <c r="D42" s="50"/>
      <c r="E42" s="50"/>
      <c r="F42" s="51">
        <f>+F41+F36</f>
        <v>74106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A39" sqref="A3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21</v>
      </c>
      <c r="C3" s="6" t="s">
        <v>22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1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1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1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-556345</v>
      </c>
      <c r="C35" s="11">
        <f>SUM(C4:C34)</f>
        <v>-558087</v>
      </c>
      <c r="D35" s="11">
        <f>SUM(D4:D34)</f>
        <v>-1742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248">
        <v>-12760</v>
      </c>
    </row>
    <row r="39" spans="1:30" x14ac:dyDescent="0.2">
      <c r="A39" s="12"/>
      <c r="D39" s="24"/>
    </row>
    <row r="40" spans="1:30" x14ac:dyDescent="0.2">
      <c r="A40" s="250">
        <v>37076</v>
      </c>
      <c r="D40" s="24">
        <f>+D38+D35</f>
        <v>-14502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4" workbookViewId="3">
      <selection activeCell="A40" sqref="A40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1"/>
      <c r="C8" s="11"/>
      <c r="D8" s="11"/>
      <c r="E8" s="11"/>
      <c r="F8" s="25">
        <f t="shared" si="0"/>
        <v>0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1"/>
      <c r="C10" s="11"/>
      <c r="D10" s="11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1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-3053639</v>
      </c>
      <c r="C35" s="11">
        <f>SUM(C4:C34)</f>
        <v>-3051072</v>
      </c>
      <c r="D35" s="11">
        <f>SUM(D4:D34)</f>
        <v>-124413</v>
      </c>
      <c r="E35" s="11">
        <f>SUM(E4:E34)</f>
        <v>-125000</v>
      </c>
      <c r="F35" s="11">
        <f>SUM(F4:F34)</f>
        <v>1980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403">
        <v>123509</v>
      </c>
    </row>
    <row r="39" spans="1:45" x14ac:dyDescent="0.2">
      <c r="A39" s="2"/>
      <c r="F39" s="24"/>
    </row>
    <row r="40" spans="1:45" x14ac:dyDescent="0.2">
      <c r="A40" s="57">
        <v>37076</v>
      </c>
      <c r="F40" s="51">
        <f>+F38+F35</f>
        <v>125489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35" sqref="E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-125900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156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-139659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-590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-524306</v>
      </c>
      <c r="C35" s="44">
        <f t="shared" si="1"/>
        <v>-455274</v>
      </c>
      <c r="D35" s="11">
        <f t="shared" si="1"/>
        <v>-250836</v>
      </c>
      <c r="E35" s="44">
        <f t="shared" si="1"/>
        <v>-316178</v>
      </c>
      <c r="F35" s="11">
        <f t="shared" si="1"/>
        <v>0</v>
      </c>
      <c r="G35" s="11">
        <f t="shared" si="1"/>
        <v>0</v>
      </c>
      <c r="H35" s="11">
        <f t="shared" si="1"/>
        <v>-2646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2.65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-7011.9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404">
        <v>301945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37076</v>
      </c>
      <c r="F39" s="47"/>
      <c r="G39" s="47"/>
      <c r="H39" s="137">
        <f>+H38+H37</f>
        <v>294933.09999999998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24" workbookViewId="3">
      <selection activeCell="H29" sqref="H29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-247557</v>
      </c>
      <c r="F8" s="11"/>
      <c r="G8" s="11"/>
      <c r="H8" s="24">
        <f t="shared" si="0"/>
        <v>-6878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-886709</v>
      </c>
      <c r="E36" s="11">
        <f t="shared" si="15"/>
        <v>-914368</v>
      </c>
      <c r="F36" s="11">
        <f t="shared" si="15"/>
        <v>0</v>
      </c>
      <c r="G36" s="11">
        <f t="shared" si="15"/>
        <v>0</v>
      </c>
      <c r="H36" s="11">
        <f t="shared" si="15"/>
        <v>-27659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47</v>
      </c>
      <c r="C37" s="408">
        <v>50503</v>
      </c>
      <c r="D37" s="362"/>
      <c r="E37" s="409">
        <v>139669</v>
      </c>
      <c r="F37" s="24"/>
      <c r="G37" s="24"/>
      <c r="H37" s="241">
        <f>+C37+E37+G37</f>
        <v>190172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37076</v>
      </c>
      <c r="B38" s="2" t="s">
        <v>47</v>
      </c>
      <c r="C38" s="131">
        <f>+C37+C36-B36</f>
        <v>50503</v>
      </c>
      <c r="D38" s="260"/>
      <c r="E38" s="131">
        <f>+E37+D36-E36</f>
        <v>167328</v>
      </c>
      <c r="F38" s="260"/>
      <c r="G38" s="131"/>
      <c r="H38" s="131">
        <f>+H37+H36</f>
        <v>162513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4" workbookViewId="3">
      <selection activeCell="B33" sqref="B33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358899</v>
      </c>
      <c r="C37" s="11">
        <f>SUM(C6:C36)</f>
        <v>360885</v>
      </c>
      <c r="D37" s="11">
        <f>SUM(D6:D36)</f>
        <v>1986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37072</v>
      </c>
      <c r="C39" s="15"/>
      <c r="D39" s="248">
        <v>59179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37076</v>
      </c>
      <c r="C40" s="48"/>
      <c r="D40" s="25">
        <f>+D39+D37</f>
        <v>61165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2001-07-02T23:00:44Z</cp:lastPrinted>
  <dcterms:created xsi:type="dcterms:W3CDTF">2000-03-28T16:52:23Z</dcterms:created>
  <dcterms:modified xsi:type="dcterms:W3CDTF">2023-09-14T18:03:47Z</dcterms:modified>
</cp:coreProperties>
</file>