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739A18-655D-4EEF-8828-D1A64D62CDFD}" xr6:coauthVersionLast="47" xr6:coauthVersionMax="47" xr10:uidLastSave="{00000000-0000-0000-0000-000000000000}"/>
  <bookViews>
    <workbookView xWindow="-120" yWindow="-120" windowWidth="38640" windowHeight="15720" tabRatio="686" firstSheet="13" activeTab="13"/>
    <workbookView xWindow="-120" yWindow="-120" windowWidth="38640" windowHeight="15720" tabRatio="895" activeTab="2"/>
    <workbookView xWindow="-120" yWindow="-120" windowWidth="38640" windowHeight="15720" firstSheet="28" activeTab="34"/>
    <workbookView xWindow="-120" yWindow="-120" windowWidth="38640" windowHeight="15720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0">'by type'!$A$11:$J$49</definedName>
    <definedName name="_xlnm.Print_Area" localSheetId="12">Conoco!$A$1:$F$41</definedName>
    <definedName name="_xlnm.Print_Area" localSheetId="16">DEFS!$A$1:$J$54</definedName>
    <definedName name="_xlnm.Print_Area" localSheetId="15">Duke!$A$2:$C$62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summary!$A$6:$F$52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B11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P10" i="80"/>
  <c r="P11" i="80"/>
  <c r="B12" i="80"/>
  <c r="C12" i="80"/>
  <c r="D12" i="80"/>
  <c r="P12" i="80"/>
  <c r="B13" i="80"/>
  <c r="C13" i="80"/>
  <c r="D13" i="80"/>
  <c r="B14" i="80"/>
  <c r="C14" i="80"/>
  <c r="D14" i="80"/>
  <c r="B15" i="80"/>
  <c r="C15" i="80"/>
  <c r="D15" i="80"/>
  <c r="B16" i="80"/>
  <c r="C16" i="80"/>
  <c r="D16" i="80"/>
  <c r="B17" i="80"/>
  <c r="C17" i="80"/>
  <c r="D17" i="80"/>
  <c r="B18" i="80"/>
  <c r="C18" i="80"/>
  <c r="D18" i="80"/>
  <c r="B19" i="80"/>
  <c r="C19" i="80"/>
  <c r="D19" i="80"/>
  <c r="B20" i="80"/>
  <c r="C20" i="80"/>
  <c r="D20" i="80"/>
  <c r="B21" i="80"/>
  <c r="C21" i="80"/>
  <c r="D21" i="80"/>
  <c r="B22" i="80"/>
  <c r="C22" i="80"/>
  <c r="D22" i="80"/>
  <c r="B23" i="80"/>
  <c r="C23" i="80"/>
  <c r="D23" i="80"/>
  <c r="B24" i="80"/>
  <c r="C24" i="80"/>
  <c r="D24" i="80"/>
  <c r="B25" i="80"/>
  <c r="C25" i="80"/>
  <c r="D25" i="80"/>
  <c r="B26" i="80"/>
  <c r="C26" i="80"/>
  <c r="D26" i="80"/>
  <c r="B27" i="80"/>
  <c r="C27" i="80"/>
  <c r="D27" i="80"/>
  <c r="B28" i="80"/>
  <c r="C28" i="80"/>
  <c r="D28" i="80"/>
  <c r="B29" i="80"/>
  <c r="C29" i="80"/>
  <c r="D29" i="80"/>
  <c r="B30" i="80"/>
  <c r="C30" i="80"/>
  <c r="D30" i="80"/>
  <c r="B31" i="80"/>
  <c r="C31" i="80"/>
  <c r="D31" i="80"/>
  <c r="B32" i="80"/>
  <c r="C32" i="80"/>
  <c r="D32" i="80"/>
  <c r="B33" i="80"/>
  <c r="C33" i="80"/>
  <c r="B36" i="80"/>
  <c r="C36" i="80"/>
  <c r="D36" i="80"/>
  <c r="B37" i="80"/>
  <c r="C37" i="80"/>
  <c r="D37" i="80"/>
  <c r="B38" i="80"/>
  <c r="C38" i="80"/>
  <c r="D38" i="80"/>
  <c r="B39" i="80"/>
  <c r="C39" i="80"/>
  <c r="D39" i="80"/>
  <c r="B40" i="80"/>
  <c r="C40" i="80"/>
  <c r="D40" i="80"/>
  <c r="B41" i="80"/>
  <c r="C41" i="80"/>
  <c r="D41" i="80"/>
  <c r="B42" i="80"/>
  <c r="C42" i="80"/>
  <c r="D42" i="80"/>
  <c r="B43" i="80"/>
  <c r="C43" i="80"/>
  <c r="D43" i="80"/>
  <c r="B44" i="80"/>
  <c r="C44" i="80"/>
  <c r="D44" i="80"/>
  <c r="B45" i="80"/>
  <c r="C45" i="80"/>
  <c r="D45" i="80"/>
  <c r="B46" i="80"/>
  <c r="C46" i="80"/>
  <c r="D46" i="80"/>
  <c r="B47" i="80"/>
  <c r="C47" i="80"/>
  <c r="B49" i="80"/>
  <c r="C49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H39" i="73"/>
  <c r="C40" i="73"/>
  <c r="E40" i="73"/>
  <c r="F40" i="73"/>
  <c r="H40" i="73"/>
  <c r="H41" i="73"/>
  <c r="F50" i="73"/>
  <c r="F52" i="73"/>
  <c r="F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E37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B8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B7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B9" i="64"/>
  <c r="D9" i="64"/>
  <c r="B10" i="64"/>
  <c r="D10" i="64"/>
  <c r="D11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O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B50" i="63"/>
  <c r="C50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<sst xmlns="http://schemas.openxmlformats.org/spreadsheetml/2006/main" count="584" uniqueCount="173">
  <si>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</si>
  <si>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</si>
  <si>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</si>
  <si>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</si>
  <si>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</si>
  <si>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</si>
  <si>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</si>
  <si>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</si>
  <si>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</si>
  <si>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</si>
  <si>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</si>
  <si>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</si>
  <si>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</si>
  <si>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</si>
  <si>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</si>
  <si>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</si>
  <si>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</si>
  <si>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</si>
  <si>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</si>
  <si>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</si>
  <si>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</si>
  <si>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</si>
  <si>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</si>
  <si>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</si>
  <si>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</si>
  <si>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</si>
  <si>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</si>
  <si>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</si>
  <si>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</si>
  <si>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</si>
  <si>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</si>
  <si>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</si>
  <si>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</si>
  <si>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</si>
  <si>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</si>
  <si>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</si>
  <si>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</si>
  <si>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</si>
  <si>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</si>
  <si>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</si>
  <si>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</si>
  <si>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</si>
  <si>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</si>
  <si>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</si>
  <si>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</si>
  <si>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</si>
  <si>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</si>
  <si>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</si>
  <si>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</si>
  <si>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</si>
  <si>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</si>
  <si>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</si>
  <si>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</si>
  <si>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</si>
  <si>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</si>
  <si>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</si>
  <si>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</si>
  <si>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</si>
  <si>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</si>
  <si>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</si>
  <si>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</si>
  <si>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</si>
  <si>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</si>
  <si>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</si>
  <si>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</si>
  <si>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</si>
  <si>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</si>
  <si>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</si>
  <si>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</si>
  <si>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</si>
  <si>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</si>
  <si>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</si>
  <si>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</si>
  <si>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</si>
  <si>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</si>
  <si>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</si>
  <si>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</si>
  <si>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</si>
  <si>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</si>
  <si>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</si>
  <si>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</si>
  <si>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</si>
  <si>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</si>
  <si>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</si>
  <si>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</si>
  <si>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</si>
  <si>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</si>
  <si>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</si>
  <si>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</si>
  <si>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</si>
  <si>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</si>
  <si>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</si>
  <si>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</si>
  <si>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</si>
  <si>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</si>
  <si>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</si>
  <si>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</si>
  <si>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</si>
  <si>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</si>
  <si>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</si>
  <si>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</si>
  <si>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</si>
  <si>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</si>
  <si>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</si>
  <si>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</si>
  <si>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</si>
  <si>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</si>
  <si>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</si>
  <si>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</si>
  <si>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</si>
  <si>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</si>
  <si>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</si>
  <si>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</si>
  <si>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</si>
  <si>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</si>
  <si>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</si>
  <si>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</si>
  <si>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</si>
  <si>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</si>
  <si>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</si>
  <si>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</si>
  <si>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</si>
  <si>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</si>
  <si>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</si>
  <si>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</si>
  <si>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</si>
  <si>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</si>
  <si>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</si>
  <si>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</si>
  <si>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</si>
  <si>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</si>
  <si>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</si>
  <si>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</si>
  <si>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</si>
  <si>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</si>
  <si>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</si>
  <si>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</si>
  <si>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</si>
  <si>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</si>
  <si>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</si>
  <si>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</si>
  <si>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</si>
  <si>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</si>
  <si>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</si>
  <si>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</si>
  <si>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</si>
  <si>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</si>
  <si>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</si>
  <si>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</si>
  <si>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</si>
  <si>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</si>
  <si>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</si>
  <si>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</si>
  <si>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</si>
  <si>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</si>
  <si>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</si>
  <si>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</si>
  <si>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</si>
  <si>
    <t>Hansford</t>
  </si>
  <si>
    <t>Panhandle Eastern</t>
  </si>
  <si>
    <t>$ valued totals</t>
  </si>
  <si>
    <t>volumetric totals</t>
  </si>
  <si>
    <t>Net $ valued/volumetric</t>
  </si>
  <si>
    <t>If index is high - payback should be done on Dollar Valued payables</t>
  </si>
  <si>
    <t xml:space="preserve">                             - payback should not be done on Volumetric payables</t>
  </si>
  <si>
    <t xml:space="preserve">                             - payback should not be done on Dollar valued receivables</t>
  </si>
  <si>
    <t xml:space="preserve">                             - payback should be done on Volumetric receivable   </t>
  </si>
  <si>
    <t>Milagro, Ignacio, Valverde, Kutz</t>
  </si>
  <si>
    <t>Zia and Maljamar</t>
  </si>
  <si>
    <t>Keystone - to be cashed out</t>
  </si>
  <si>
    <t>Ignacio, Valverde, Kutz, and Milagro</t>
  </si>
  <si>
    <t>Keystone - to be cashed out in 7/01</t>
  </si>
  <si>
    <t>6,000/day planned makeup during 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</si>
</sst>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7" fillId="0" borderId="0" xfId="0" applyFont="1"/>
    <xf numFmtId="0" fontId="38" fillId="0" borderId="0" xfId="0" applyFont="1"/>
    <xf numFmtId="5" fontId="38" fillId="0" borderId="0" xfId="0" applyNumberFormat="1" applyFont="1" applyAlignment="1">
      <alignment horizontal="right"/>
    </xf>
    <xf numFmtId="37" fontId="38" fillId="0" borderId="0" xfId="1" applyNumberFormat="1" applyFont="1" applyAlignment="1">
      <alignment horizontal="right"/>
    </xf>
    <xf numFmtId="0" fontId="38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37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9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  <xf numFmtId="7" fontId="3" fillId="0" borderId="0" xfId="2" applyNumberFormat="1" applyFont="1" applyBorder="1"/>
    <xf numFmtId="14" fontId="0" fillId="0" borderId="0" xfId="0" applyNumberFormat="1" applyBorder="1" applyAlignment="1">
      <alignment horizontal="right"/>
    </xf>
    <xf numFmtId="166" fontId="14" fillId="0" borderId="3" xfId="1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40" fillId="0" borderId="0" xfId="1" applyNumberFormat="1" applyFont="1" applyFill="1"/>
    <xf numFmtId="0" fontId="20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3.55</v>
          </cell>
          <cell r="K39">
            <v>2.58</v>
          </cell>
          <cell r="M39">
            <v>3.22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/>
    <sheetView workbookViewId="1"/>
    <sheetView workbookViewId="2"/>
    <sheetView topLeftCell="A20" workbookViewId="3">
      <selection activeCell="C16" sqref="C16"/>
    </sheetView>
  </sheetViews>
  <sheetFormatPr defaultRowHeight="12.75" x14ac:dyDescent="0.2"/>
  <cols>
    <col min="1" max="1" width="22.5703125" style="297" customWidth="1"/>
    <col min="2" max="2" width="10.7109375" style="253" bestFit="1" customWidth="1"/>
    <col min="3" max="3" width="10.28515625" style="298" bestFit="1" customWidth="1"/>
    <col min="4" max="4" width="10.7109375" customWidth="1"/>
    <col min="5" max="5" width="12" customWidth="1"/>
    <col min="6" max="6" width="15.140625" customWidth="1"/>
    <col min="10" max="10" width="12.7109375" customWidth="1"/>
  </cols>
  <sheetData>
    <row r="1" spans="1:20" ht="15" x14ac:dyDescent="0.25">
      <c r="A1" s="428"/>
    </row>
    <row r="2" spans="1:20" ht="15.75" x14ac:dyDescent="0.25">
      <c r="A2" s="53" t="s">
        <v>163</v>
      </c>
    </row>
    <row r="3" spans="1:20" ht="15.75" x14ac:dyDescent="0.25">
      <c r="A3" s="53" t="s">
        <v>166</v>
      </c>
    </row>
    <row r="4" spans="1:20" ht="15" customHeight="1" x14ac:dyDescent="0.25">
      <c r="A4" s="53" t="s">
        <v>165</v>
      </c>
    </row>
    <row r="5" spans="1:20" ht="15" customHeight="1" x14ac:dyDescent="0.25">
      <c r="A5" s="53" t="s">
        <v>164</v>
      </c>
    </row>
    <row r="6" spans="1:20" ht="20.100000000000001" customHeight="1" x14ac:dyDescent="0.25">
      <c r="A6" s="392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+'[1]0601'!$K$39</f>
        <v>2.58</v>
      </c>
    </row>
    <row r="11" spans="1:20" ht="18" customHeight="1" x14ac:dyDescent="0.2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+'[1]0601'!$M$39</f>
        <v>3.22</v>
      </c>
    </row>
    <row r="12" spans="1:20" ht="18" customHeight="1" x14ac:dyDescent="0.2">
      <c r="A12" s="356" t="s">
        <v>95</v>
      </c>
      <c r="B12" s="374">
        <f>+NNG!$D$24</f>
        <v>1028251.0800000001</v>
      </c>
      <c r="C12" s="386">
        <f>+B12/$P$11</f>
        <v>319332.63354037266</v>
      </c>
      <c r="D12" s="317">
        <f>+NNG!A24</f>
        <v>37069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3.55</v>
      </c>
    </row>
    <row r="13" spans="1:20" ht="15" customHeight="1" x14ac:dyDescent="0.2">
      <c r="A13" s="355" t="s">
        <v>145</v>
      </c>
      <c r="B13" s="374">
        <f>+SidR!D41</f>
        <v>867711.38</v>
      </c>
      <c r="C13" s="386">
        <f>+B13/$P$11</f>
        <v>269475.58385093167</v>
      </c>
      <c r="D13" s="65">
        <f>+SidR!A41</f>
        <v>37069</v>
      </c>
      <c r="E13" t="s">
        <v>90</v>
      </c>
      <c r="F13" t="s">
        <v>112</v>
      </c>
      <c r="G13" t="s">
        <v>169</v>
      </c>
    </row>
    <row r="14" spans="1:20" ht="15" customHeight="1" x14ac:dyDescent="0.2">
      <c r="A14" s="355" t="s">
        <v>87</v>
      </c>
      <c r="B14" s="374">
        <f>+PNM!$D$23</f>
        <v>714387.42999999993</v>
      </c>
      <c r="C14" s="386">
        <f>+B14/$P$11</f>
        <v>221859.45031055898</v>
      </c>
      <c r="D14" s="65">
        <f>+PNM!A23</f>
        <v>37069</v>
      </c>
      <c r="E14" t="s">
        <v>90</v>
      </c>
      <c r="F14" t="s">
        <v>108</v>
      </c>
    </row>
    <row r="15" spans="1:20" ht="15" customHeight="1" x14ac:dyDescent="0.2">
      <c r="A15" s="355" t="s">
        <v>25</v>
      </c>
      <c r="B15" s="368">
        <f>+'Red C'!$F$43</f>
        <v>668641.16</v>
      </c>
      <c r="C15" s="369">
        <f>+B15/$P$10</f>
        <v>259163.24031007753</v>
      </c>
      <c r="D15" s="317">
        <f>+'Red C'!B43</f>
        <v>37069</v>
      </c>
      <c r="E15" t="s">
        <v>90</v>
      </c>
      <c r="F15" t="s">
        <v>125</v>
      </c>
    </row>
    <row r="16" spans="1:20" ht="15" customHeight="1" x14ac:dyDescent="0.2">
      <c r="A16" s="355" t="s">
        <v>3</v>
      </c>
      <c r="B16" s="374">
        <f>+'Amoco Abo'!$F$43</f>
        <v>560183.66999999993</v>
      </c>
      <c r="C16" s="386">
        <f>+B16/$P$11</f>
        <v>173970.08385093164</v>
      </c>
      <c r="D16" s="65">
        <f>+'Amoco Abo'!A43</f>
        <v>37069</v>
      </c>
      <c r="E16" t="s">
        <v>90</v>
      </c>
      <c r="F16" t="s">
        <v>109</v>
      </c>
      <c r="T16" s="269"/>
    </row>
    <row r="17" spans="1:20" ht="15" customHeight="1" x14ac:dyDescent="0.2">
      <c r="A17" s="355" t="s">
        <v>84</v>
      </c>
      <c r="B17" s="374">
        <f>+Conoco!$F$41</f>
        <v>557234.25</v>
      </c>
      <c r="C17" s="386">
        <f>+B17/$P$10</f>
        <v>215982.26744186046</v>
      </c>
      <c r="D17" s="317">
        <f>+Conoco!A41</f>
        <v>37069</v>
      </c>
      <c r="E17" t="s">
        <v>90</v>
      </c>
      <c r="F17" t="s">
        <v>109</v>
      </c>
      <c r="G17" t="s">
        <v>168</v>
      </c>
      <c r="T17" s="269"/>
    </row>
    <row r="18" spans="1:20" ht="15" customHeight="1" x14ac:dyDescent="0.2">
      <c r="A18" s="355" t="s">
        <v>117</v>
      </c>
      <c r="B18" s="374">
        <f>+KN_Westar!F41</f>
        <v>519682.55</v>
      </c>
      <c r="C18" s="386">
        <f t="shared" ref="C18:C29" si="0">+B18/$P$11</f>
        <v>161392.09627329191</v>
      </c>
      <c r="D18" s="65">
        <f>+KN_Westar!A41</f>
        <v>37069</v>
      </c>
      <c r="E18" t="s">
        <v>90</v>
      </c>
      <c r="F18" t="s">
        <v>110</v>
      </c>
    </row>
    <row r="19" spans="1:20" ht="15" customHeight="1" x14ac:dyDescent="0.2">
      <c r="A19" s="355" t="s">
        <v>2</v>
      </c>
      <c r="B19" s="374">
        <f>+mewborne!$J$43</f>
        <v>361137.73</v>
      </c>
      <c r="C19" s="386">
        <f t="shared" si="0"/>
        <v>112154.57453416148</v>
      </c>
      <c r="D19" s="65">
        <f>+mewborne!A43</f>
        <v>37069</v>
      </c>
      <c r="E19" t="s">
        <v>90</v>
      </c>
      <c r="F19" t="s">
        <v>109</v>
      </c>
    </row>
    <row r="20" spans="1:20" ht="15" customHeight="1" x14ac:dyDescent="0.2">
      <c r="A20" s="355" t="s">
        <v>113</v>
      </c>
      <c r="B20" s="374">
        <f>+EOG!J41</f>
        <v>379090.39</v>
      </c>
      <c r="C20" s="386">
        <f t="shared" si="0"/>
        <v>117729.93478260869</v>
      </c>
      <c r="D20" s="317">
        <f>+EOG!A41</f>
        <v>37069</v>
      </c>
      <c r="E20" t="s">
        <v>90</v>
      </c>
      <c r="F20" t="s">
        <v>112</v>
      </c>
    </row>
    <row r="21" spans="1:20" ht="15" customHeight="1" x14ac:dyDescent="0.2">
      <c r="A21" s="355" t="s">
        <v>120</v>
      </c>
      <c r="B21" s="374">
        <f>+CIG!D43</f>
        <v>326755</v>
      </c>
      <c r="C21" s="386">
        <f t="shared" si="0"/>
        <v>101476.70807453415</v>
      </c>
      <c r="D21" s="65">
        <f>+CIG!A43</f>
        <v>37069</v>
      </c>
      <c r="E21" t="s">
        <v>90</v>
      </c>
      <c r="F21" t="s">
        <v>123</v>
      </c>
      <c r="G21" t="s">
        <v>139</v>
      </c>
    </row>
    <row r="22" spans="1:20" ht="15" customHeight="1" x14ac:dyDescent="0.2">
      <c r="A22" s="355" t="s">
        <v>141</v>
      </c>
      <c r="B22" s="374">
        <f>+PGETX!$H$39</f>
        <v>296522.76</v>
      </c>
      <c r="C22" s="386">
        <f t="shared" si="0"/>
        <v>92087.813664596266</v>
      </c>
      <c r="D22" s="65">
        <f>+PGETX!E39</f>
        <v>37069</v>
      </c>
      <c r="E22" t="s">
        <v>90</v>
      </c>
      <c r="F22" t="s">
        <v>112</v>
      </c>
    </row>
    <row r="23" spans="1:20" ht="15" customHeight="1" x14ac:dyDescent="0.2">
      <c r="A23" s="355" t="s">
        <v>75</v>
      </c>
      <c r="B23" s="368">
        <f>+transcol!$D$43</f>
        <v>58225</v>
      </c>
      <c r="C23" s="369">
        <f t="shared" si="0"/>
        <v>18082.298136645961</v>
      </c>
      <c r="D23" s="65">
        <f>+transcol!A43</f>
        <v>37069</v>
      </c>
      <c r="E23" t="s">
        <v>90</v>
      </c>
      <c r="F23" t="s">
        <v>125</v>
      </c>
    </row>
    <row r="24" spans="1:20" ht="15" customHeight="1" x14ac:dyDescent="0.2">
      <c r="A24" s="356" t="s">
        <v>104</v>
      </c>
      <c r="B24" s="374">
        <f>+burlington!D42</f>
        <v>2435.52</v>
      </c>
      <c r="C24" s="386">
        <f>+B24/$P$10</f>
        <v>944</v>
      </c>
      <c r="D24" s="317">
        <f>+burlington!A42</f>
        <v>37069</v>
      </c>
      <c r="E24" s="314" t="s">
        <v>90</v>
      </c>
      <c r="F24" t="s">
        <v>109</v>
      </c>
      <c r="G24" t="s">
        <v>157</v>
      </c>
    </row>
    <row r="25" spans="1:20" ht="15" customHeight="1" x14ac:dyDescent="0.2">
      <c r="A25" s="355" t="s">
        <v>138</v>
      </c>
      <c r="B25" s="374">
        <f>+DEFS!F54</f>
        <v>12413.990000000224</v>
      </c>
      <c r="C25" s="400">
        <f>+B25/$P$11</f>
        <v>3855.2763975155972</v>
      </c>
      <c r="D25" s="65">
        <f>+DEFS!A40</f>
        <v>37069</v>
      </c>
      <c r="E25" t="s">
        <v>90</v>
      </c>
      <c r="F25" t="s">
        <v>110</v>
      </c>
      <c r="G25" s="32" t="s">
        <v>128</v>
      </c>
    </row>
    <row r="26" spans="1:20" ht="15" customHeight="1" x14ac:dyDescent="0.2">
      <c r="A26" s="355" t="s">
        <v>143</v>
      </c>
      <c r="B26" s="374">
        <f>+EPFS!D41</f>
        <v>-58244.67</v>
      </c>
      <c r="C26" s="400">
        <f>+B26/$P$12</f>
        <v>-16406.949295774648</v>
      </c>
      <c r="D26" s="317">
        <f>+EPFS!A41</f>
        <v>37069</v>
      </c>
      <c r="E26" t="s">
        <v>90</v>
      </c>
      <c r="F26" t="s">
        <v>110</v>
      </c>
    </row>
    <row r="27" spans="1:20" ht="15" customHeight="1" x14ac:dyDescent="0.2">
      <c r="A27" s="355" t="s">
        <v>119</v>
      </c>
      <c r="B27" s="374">
        <f>+Continental!F43</f>
        <v>-19157.41</v>
      </c>
      <c r="C27" s="400">
        <f>+B27/$P$11</f>
        <v>-5949.5062111801235</v>
      </c>
      <c r="D27" s="65">
        <f>+Continental!A43</f>
        <v>37069</v>
      </c>
      <c r="E27" t="s">
        <v>90</v>
      </c>
      <c r="F27" t="s">
        <v>125</v>
      </c>
    </row>
    <row r="28" spans="1:20" ht="15" customHeight="1" x14ac:dyDescent="0.2">
      <c r="A28" s="356" t="s">
        <v>83</v>
      </c>
      <c r="B28" s="374">
        <f>+Agave!$D$24</f>
        <v>69869.459999999977</v>
      </c>
      <c r="C28" s="400">
        <f>+B28/$P$11</f>
        <v>21698.590062111794</v>
      </c>
      <c r="D28" s="317">
        <f>+Agave!A24</f>
        <v>37069</v>
      </c>
      <c r="E28" s="314" t="s">
        <v>90</v>
      </c>
      <c r="F28" s="314" t="s">
        <v>112</v>
      </c>
    </row>
    <row r="29" spans="1:20" ht="15" customHeight="1" x14ac:dyDescent="0.2">
      <c r="A29" s="355" t="s">
        <v>154</v>
      </c>
      <c r="B29" s="374">
        <f>+'Citizens-Griffith'!D41</f>
        <v>-217863.63</v>
      </c>
      <c r="C29" s="386">
        <f t="shared" si="0"/>
        <v>-67659.512422360247</v>
      </c>
      <c r="D29" s="317">
        <f>+'Citizens-Griffith'!A41</f>
        <v>37069</v>
      </c>
      <c r="E29" t="s">
        <v>90</v>
      </c>
      <c r="F29" t="s">
        <v>109</v>
      </c>
    </row>
    <row r="30" spans="1:20" ht="15" customHeight="1" x14ac:dyDescent="0.2">
      <c r="A30" s="356" t="s">
        <v>140</v>
      </c>
      <c r="B30" s="374">
        <f>+Calpine!D41</f>
        <v>-342175.37</v>
      </c>
      <c r="C30" s="400">
        <f>+B30/$P$11</f>
        <v>-106265.64285714286</v>
      </c>
      <c r="D30" s="317">
        <f>+Calpine!A41</f>
        <v>37069</v>
      </c>
      <c r="E30" s="314" t="s">
        <v>90</v>
      </c>
      <c r="F30" s="314" t="s">
        <v>109</v>
      </c>
      <c r="G30" s="301"/>
    </row>
    <row r="31" spans="1:20" ht="15" customHeight="1" x14ac:dyDescent="0.2">
      <c r="A31" s="355" t="s">
        <v>147</v>
      </c>
      <c r="B31" s="374">
        <f>+'NS Steel'!D41</f>
        <v>-343691.48</v>
      </c>
      <c r="C31" s="400">
        <f>+B31/$P$10</f>
        <v>-133213.75193798449</v>
      </c>
      <c r="D31" s="65">
        <f>+'NS Steel'!A41</f>
        <v>37069</v>
      </c>
      <c r="E31" t="s">
        <v>90</v>
      </c>
      <c r="F31" t="s">
        <v>110</v>
      </c>
      <c r="G31" s="301"/>
    </row>
    <row r="32" spans="1:20" ht="15" customHeight="1" x14ac:dyDescent="0.2">
      <c r="A32" s="356" t="s">
        <v>149</v>
      </c>
      <c r="B32" s="387">
        <f>+Citizens!D18</f>
        <v>-875907.96</v>
      </c>
      <c r="C32" s="401">
        <f>+B32/$P$11</f>
        <v>-272021.1055900621</v>
      </c>
      <c r="D32" s="317">
        <f>+Citizens!A18</f>
        <v>37065</v>
      </c>
      <c r="E32" s="314" t="s">
        <v>90</v>
      </c>
      <c r="F32" s="314" t="s">
        <v>108</v>
      </c>
      <c r="G32" s="301"/>
    </row>
    <row r="33" spans="1:7" ht="15.95" customHeight="1" x14ac:dyDescent="0.2">
      <c r="A33" s="297" t="s">
        <v>160</v>
      </c>
      <c r="B33" s="253">
        <f>SUM(B12:B32)</f>
        <v>4565500.8499999987</v>
      </c>
      <c r="C33" s="298">
        <f>SUM(C12:C32)</f>
        <v>1487688.082915694</v>
      </c>
    </row>
    <row r="34" spans="1:7" ht="15.95" customHeight="1" x14ac:dyDescent="0.2">
      <c r="A34" s="356"/>
      <c r="B34" s="374"/>
      <c r="C34" s="386"/>
      <c r="D34" s="317"/>
      <c r="E34" s="314"/>
      <c r="F34" s="314"/>
    </row>
    <row r="35" spans="1:7" ht="15.95" customHeight="1" x14ac:dyDescent="0.2">
      <c r="A35" s="393" t="s">
        <v>98</v>
      </c>
      <c r="B35" s="394" t="s">
        <v>18</v>
      </c>
      <c r="C35" s="395" t="s">
        <v>0</v>
      </c>
      <c r="D35" s="396" t="s">
        <v>85</v>
      </c>
      <c r="E35" s="393" t="s">
        <v>99</v>
      </c>
      <c r="F35" s="397" t="s">
        <v>111</v>
      </c>
      <c r="G35" s="301" t="s">
        <v>107</v>
      </c>
    </row>
    <row r="36" spans="1:7" ht="15.95" customHeight="1" x14ac:dyDescent="0.2">
      <c r="A36" s="356" t="s">
        <v>30</v>
      </c>
      <c r="B36" s="374">
        <f>+C36*$P$10</f>
        <v>786273.06</v>
      </c>
      <c r="C36" s="386">
        <f>+williams!J40</f>
        <v>304757</v>
      </c>
      <c r="D36" s="317">
        <f>+williams!A40</f>
        <v>37069</v>
      </c>
      <c r="E36" s="314" t="s">
        <v>89</v>
      </c>
      <c r="F36" s="314" t="s">
        <v>125</v>
      </c>
      <c r="G36" t="s">
        <v>170</v>
      </c>
    </row>
    <row r="37" spans="1:7" ht="15" customHeight="1" x14ac:dyDescent="0.2">
      <c r="A37" s="355" t="s">
        <v>97</v>
      </c>
      <c r="B37" s="374">
        <f>+C37*$P$11</f>
        <v>577977.12</v>
      </c>
      <c r="C37" s="386">
        <f>+NGPL!F38</f>
        <v>179496</v>
      </c>
      <c r="D37" s="65">
        <f>+NGPL!A38</f>
        <v>37069</v>
      </c>
      <c r="E37" t="s">
        <v>89</v>
      </c>
      <c r="F37" t="s">
        <v>125</v>
      </c>
    </row>
    <row r="38" spans="1:7" ht="15" customHeight="1" x14ac:dyDescent="0.2">
      <c r="A38" s="355" t="s">
        <v>35</v>
      </c>
      <c r="B38" s="374">
        <f>+'El Paso'!E38*summary!P10+'El Paso'!C38*summary!P11</f>
        <v>517617.33999999997</v>
      </c>
      <c r="C38" s="386">
        <f>+'El Paso'!H38</f>
        <v>188099</v>
      </c>
      <c r="D38" s="65">
        <f>+'El Paso'!A38</f>
        <v>37069</v>
      </c>
      <c r="E38" t="s">
        <v>89</v>
      </c>
      <c r="F38" t="s">
        <v>110</v>
      </c>
      <c r="G38" t="s">
        <v>129</v>
      </c>
    </row>
    <row r="39" spans="1:7" ht="15" customHeight="1" x14ac:dyDescent="0.2">
      <c r="A39" s="355" t="s">
        <v>33</v>
      </c>
      <c r="B39" s="374">
        <f>+C39*$P$11</f>
        <v>216905.64</v>
      </c>
      <c r="C39" s="386">
        <f>+Lonestar!F42</f>
        <v>67362</v>
      </c>
      <c r="D39" s="317">
        <f>+Lonestar!B42</f>
        <v>37069</v>
      </c>
      <c r="E39" t="s">
        <v>89</v>
      </c>
      <c r="F39" t="s">
        <v>112</v>
      </c>
    </row>
    <row r="40" spans="1:7" ht="15" customHeight="1" x14ac:dyDescent="0.2">
      <c r="A40" s="355" t="s">
        <v>7</v>
      </c>
      <c r="B40" s="374">
        <f>+C40*$P$10</f>
        <v>164885.22</v>
      </c>
      <c r="C40" s="386">
        <f>+Amoco!D40</f>
        <v>63909</v>
      </c>
      <c r="D40" s="65">
        <f>+Amoco!A40</f>
        <v>37069</v>
      </c>
      <c r="E40" t="s">
        <v>89</v>
      </c>
      <c r="F40" t="s">
        <v>125</v>
      </c>
    </row>
    <row r="41" spans="1:7" ht="15" customHeight="1" x14ac:dyDescent="0.2">
      <c r="A41" s="355" t="s">
        <v>159</v>
      </c>
      <c r="B41" s="368">
        <f>+C41*$P$11</f>
        <v>174127.94</v>
      </c>
      <c r="C41" s="369">
        <f>+PEPL!D41</f>
        <v>54077</v>
      </c>
      <c r="D41" s="65">
        <f>+PEPL!A41</f>
        <v>37069</v>
      </c>
      <c r="E41" t="s">
        <v>89</v>
      </c>
      <c r="F41" t="s">
        <v>112</v>
      </c>
      <c r="G41" t="s">
        <v>129</v>
      </c>
    </row>
    <row r="42" spans="1:7" ht="15" customHeight="1" x14ac:dyDescent="0.2">
      <c r="A42" s="355" t="s">
        <v>1</v>
      </c>
      <c r="B42" s="374">
        <f>+C42*$P$10</f>
        <v>65209.5</v>
      </c>
      <c r="C42" s="400">
        <f>+NW!$F$41</f>
        <v>25275</v>
      </c>
      <c r="D42" s="317">
        <f>+NW!B41</f>
        <v>37069</v>
      </c>
      <c r="E42" t="s">
        <v>89</v>
      </c>
      <c r="F42" t="s">
        <v>109</v>
      </c>
    </row>
    <row r="43" spans="1:7" ht="15" customHeight="1" x14ac:dyDescent="0.2">
      <c r="A43" s="355" t="s">
        <v>8</v>
      </c>
      <c r="B43" s="374">
        <f>+C43*$P$11</f>
        <v>53400.480000000003</v>
      </c>
      <c r="C43" s="400">
        <f>+Oasis!D40</f>
        <v>16584</v>
      </c>
      <c r="D43" s="65">
        <f>+Oasis!B40</f>
        <v>37069</v>
      </c>
      <c r="E43" t="s">
        <v>89</v>
      </c>
      <c r="F43" t="s">
        <v>112</v>
      </c>
    </row>
    <row r="44" spans="1:7" ht="15" customHeight="1" x14ac:dyDescent="0.2">
      <c r="A44" s="355" t="s">
        <v>103</v>
      </c>
      <c r="B44" s="374">
        <f>+C44*$P$11</f>
        <v>42078.96</v>
      </c>
      <c r="C44" s="386">
        <f>+Mojave!D40</f>
        <v>13068</v>
      </c>
      <c r="D44" s="65">
        <f>+Mojave!A40</f>
        <v>37069</v>
      </c>
      <c r="E44" t="s">
        <v>89</v>
      </c>
      <c r="F44" t="s">
        <v>110</v>
      </c>
    </row>
    <row r="45" spans="1:7" ht="15" customHeight="1" x14ac:dyDescent="0.2">
      <c r="A45" s="355" t="s">
        <v>34</v>
      </c>
      <c r="B45" s="374">
        <f>+C45*$P$11</f>
        <v>-86228.38</v>
      </c>
      <c r="C45" s="400">
        <f>+SoCal!F40</f>
        <v>-26779</v>
      </c>
      <c r="D45" s="385">
        <f>+SoCal!A40</f>
        <v>37069</v>
      </c>
      <c r="E45" t="s">
        <v>89</v>
      </c>
      <c r="F45" t="s">
        <v>108</v>
      </c>
    </row>
    <row r="46" spans="1:7" ht="15" customHeight="1" x14ac:dyDescent="0.2">
      <c r="A46" s="355" t="s">
        <v>124</v>
      </c>
      <c r="B46" s="387">
        <f>+C46*$P$11</f>
        <v>-51703.54</v>
      </c>
      <c r="C46" s="401">
        <f>+'PG&amp;E'!D40</f>
        <v>-16057</v>
      </c>
      <c r="D46" s="65">
        <f>+'PG&amp;E'!A40</f>
        <v>37069</v>
      </c>
      <c r="E46" t="s">
        <v>89</v>
      </c>
      <c r="F46" t="s">
        <v>112</v>
      </c>
    </row>
    <row r="47" spans="1:7" ht="18" customHeight="1" x14ac:dyDescent="0.2">
      <c r="A47" s="297" t="s">
        <v>161</v>
      </c>
      <c r="B47" s="374">
        <f>SUM(B36:B46)</f>
        <v>2460543.3400000003</v>
      </c>
      <c r="C47" s="400">
        <f>SUM(C36:C46)</f>
        <v>869791</v>
      </c>
      <c r="D47" s="314"/>
    </row>
    <row r="48" spans="1:7" ht="18" customHeight="1" x14ac:dyDescent="0.2">
      <c r="B48" s="398"/>
      <c r="C48" s="399"/>
    </row>
    <row r="49" spans="1:5" ht="18" customHeight="1" thickBot="1" x14ac:dyDescent="0.25">
      <c r="A49" s="34" t="s">
        <v>162</v>
      </c>
      <c r="B49" s="390">
        <f>+B47+B33</f>
        <v>7026044.1899999995</v>
      </c>
      <c r="C49" s="423">
        <f>+C47+C33</f>
        <v>2357479.082915694</v>
      </c>
    </row>
    <row r="50" spans="1:5" ht="18" customHeight="1" thickTop="1" x14ac:dyDescent="0.2"/>
    <row r="51" spans="1:5" x14ac:dyDescent="0.2">
      <c r="C51" s="342"/>
    </row>
    <row r="54" spans="1:5" x14ac:dyDescent="0.2">
      <c r="A54" s="34" t="s">
        <v>101</v>
      </c>
    </row>
    <row r="57" spans="1:5" x14ac:dyDescent="0.2">
      <c r="C57" s="259"/>
      <c r="E57" s="340"/>
    </row>
    <row r="64" spans="1:5" x14ac:dyDescent="0.2">
      <c r="B64" s="311"/>
      <c r="C64" s="332"/>
    </row>
    <row r="65" spans="2:5" x14ac:dyDescent="0.2">
      <c r="B65" s="259"/>
    </row>
    <row r="66" spans="2:5" x14ac:dyDescent="0.2">
      <c r="B66" s="259"/>
    </row>
    <row r="67" spans="2:5" x14ac:dyDescent="0.2">
      <c r="B67" s="259"/>
    </row>
    <row r="68" spans="2:5" x14ac:dyDescent="0.2">
      <c r="B68" s="259"/>
      <c r="D68" s="64"/>
    </row>
    <row r="69" spans="2:5" x14ac:dyDescent="0.2">
      <c r="B69" s="259"/>
      <c r="C69" s="342"/>
    </row>
    <row r="70" spans="2:5" x14ac:dyDescent="0.2">
      <c r="B70" s="259"/>
      <c r="C70" s="342"/>
      <c r="D70" s="338"/>
      <c r="E70" s="343"/>
    </row>
    <row r="71" spans="2:5" x14ac:dyDescent="0.2">
      <c r="B71" s="259"/>
      <c r="C71" s="342"/>
      <c r="D71" s="269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31"/>
    </row>
    <row r="74" spans="2:5" x14ac:dyDescent="0.2">
      <c r="B74" s="259"/>
      <c r="C74" s="342"/>
      <c r="D74" s="344"/>
    </row>
    <row r="75" spans="2:5" x14ac:dyDescent="0.2">
      <c r="B75" s="339"/>
    </row>
    <row r="76" spans="2:5" x14ac:dyDescent="0.2">
      <c r="B76" s="339"/>
      <c r="D76" s="64"/>
    </row>
    <row r="77" spans="2:5" x14ac:dyDescent="0.2">
      <c r="B77" s="338"/>
      <c r="C77" s="259"/>
    </row>
    <row r="78" spans="2:5" x14ac:dyDescent="0.2">
      <c r="B78" s="338"/>
      <c r="C78" s="259"/>
    </row>
    <row r="79" spans="2:5" x14ac:dyDescent="0.2">
      <c r="B79" s="339"/>
      <c r="C79" s="259"/>
      <c r="D79" s="64"/>
    </row>
    <row r="80" spans="2:5" x14ac:dyDescent="0.2">
      <c r="B80" s="339"/>
      <c r="D80" s="64"/>
    </row>
    <row r="81" spans="2:3" x14ac:dyDescent="0.2">
      <c r="B81" s="339"/>
    </row>
    <row r="82" spans="2:3" x14ac:dyDescent="0.2">
      <c r="B82" s="311"/>
      <c r="C82" s="318"/>
    </row>
  </sheetData>
  <phoneticPr fontId="0" type="noConversion"/>
  <pageMargins left="0.75" right="0.75" top="0" bottom="0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2" workbookViewId="3">
      <selection activeCell="B44" sqref="B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171328</v>
      </c>
      <c r="C8" s="11">
        <v>172740</v>
      </c>
      <c r="D8" s="11">
        <v>13043</v>
      </c>
      <c r="E8" s="11">
        <v>13835</v>
      </c>
      <c r="F8" s="11">
        <f>+C8-B8+E8-D8</f>
        <v>2204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171643</v>
      </c>
      <c r="C9" s="11">
        <v>170298</v>
      </c>
      <c r="D9" s="11">
        <v>13843</v>
      </c>
      <c r="E9" s="11">
        <v>13835</v>
      </c>
      <c r="F9" s="11">
        <f t="shared" ref="F9:F39" si="5">+C9-B9+E9-D9</f>
        <v>-1353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172625</v>
      </c>
      <c r="C10" s="11">
        <v>174728</v>
      </c>
      <c r="D10" s="11">
        <v>13265</v>
      </c>
      <c r="E10" s="11">
        <v>13835</v>
      </c>
      <c r="F10" s="11">
        <f t="shared" si="5"/>
        <v>2673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158189</v>
      </c>
      <c r="C11" s="11">
        <v>159044</v>
      </c>
      <c r="D11" s="11">
        <v>12086</v>
      </c>
      <c r="E11" s="11">
        <v>13835</v>
      </c>
      <c r="F11" s="11">
        <f t="shared" si="5"/>
        <v>2604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140836</v>
      </c>
      <c r="C12" s="11">
        <v>142067</v>
      </c>
      <c r="D12" s="11">
        <v>13448</v>
      </c>
      <c r="E12" s="11">
        <v>13835</v>
      </c>
      <c r="F12" s="11">
        <f t="shared" si="5"/>
        <v>1618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115211</v>
      </c>
      <c r="C13" s="11">
        <v>109764</v>
      </c>
      <c r="D13" s="11">
        <v>6762</v>
      </c>
      <c r="E13" s="11">
        <v>6073</v>
      </c>
      <c r="F13" s="11">
        <f t="shared" si="5"/>
        <v>-6136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175660</v>
      </c>
      <c r="C14" s="11">
        <v>181244</v>
      </c>
      <c r="D14" s="11">
        <v>13993</v>
      </c>
      <c r="E14" s="11">
        <v>13790</v>
      </c>
      <c r="F14" s="11">
        <f t="shared" si="5"/>
        <v>5381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163307</v>
      </c>
      <c r="C15" s="11">
        <v>163231</v>
      </c>
      <c r="D15" s="11">
        <v>13452</v>
      </c>
      <c r="E15" s="11">
        <v>14512</v>
      </c>
      <c r="F15" s="11">
        <f t="shared" si="5"/>
        <v>984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176029</v>
      </c>
      <c r="C16" s="11">
        <v>177835</v>
      </c>
      <c r="D16" s="11">
        <v>13010</v>
      </c>
      <c r="E16" s="11">
        <v>13835</v>
      </c>
      <c r="F16" s="11">
        <f t="shared" si="5"/>
        <v>2631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175752</v>
      </c>
      <c r="C17" s="11">
        <v>178206</v>
      </c>
      <c r="D17" s="11">
        <v>12903</v>
      </c>
      <c r="E17" s="11">
        <v>13835</v>
      </c>
      <c r="F17" s="11">
        <f t="shared" si="5"/>
        <v>3386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162444</v>
      </c>
      <c r="C18" s="11">
        <v>165625</v>
      </c>
      <c r="D18" s="11">
        <v>13858</v>
      </c>
      <c r="E18" s="11">
        <v>13835</v>
      </c>
      <c r="F18" s="11">
        <f t="shared" si="5"/>
        <v>3158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163846</v>
      </c>
      <c r="C19" s="11">
        <v>166546</v>
      </c>
      <c r="D19" s="11">
        <v>13130</v>
      </c>
      <c r="E19" s="11">
        <v>13835</v>
      </c>
      <c r="F19" s="11">
        <f t="shared" si="5"/>
        <v>3405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159657</v>
      </c>
      <c r="C20" s="11">
        <v>178757</v>
      </c>
      <c r="D20" s="11">
        <v>13816</v>
      </c>
      <c r="E20" s="11">
        <v>13835</v>
      </c>
      <c r="F20" s="11">
        <f t="shared" si="5"/>
        <v>19119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157496</v>
      </c>
      <c r="C21" s="11">
        <v>158660</v>
      </c>
      <c r="D21" s="11">
        <v>13451</v>
      </c>
      <c r="E21" s="11">
        <v>13835</v>
      </c>
      <c r="F21" s="11">
        <f t="shared" si="5"/>
        <v>1548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164191</v>
      </c>
      <c r="C22" s="11">
        <v>162522</v>
      </c>
      <c r="D22" s="11">
        <v>12399</v>
      </c>
      <c r="E22" s="11">
        <v>13835</v>
      </c>
      <c r="F22" s="11">
        <f t="shared" si="5"/>
        <v>-233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156784</v>
      </c>
      <c r="C23" s="11">
        <v>158769</v>
      </c>
      <c r="D23" s="11">
        <v>13391</v>
      </c>
      <c r="E23" s="11">
        <v>13033</v>
      </c>
      <c r="F23" s="11">
        <f t="shared" si="5"/>
        <v>1627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167648</v>
      </c>
      <c r="C24" s="11">
        <v>166296</v>
      </c>
      <c r="D24" s="11">
        <v>13316</v>
      </c>
      <c r="E24" s="11">
        <v>13033</v>
      </c>
      <c r="F24" s="11">
        <f t="shared" si="5"/>
        <v>-1635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53</v>
      </c>
      <c r="B25" s="11">
        <v>169485</v>
      </c>
      <c r="C25" s="11">
        <v>167848</v>
      </c>
      <c r="D25" s="11">
        <v>13356</v>
      </c>
      <c r="E25" s="11">
        <v>12711</v>
      </c>
      <c r="F25" s="11">
        <f t="shared" si="5"/>
        <v>-2282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185996</v>
      </c>
      <c r="C26" s="11">
        <v>184574</v>
      </c>
      <c r="D26" s="11">
        <v>13299</v>
      </c>
      <c r="E26" s="11">
        <v>12965</v>
      </c>
      <c r="F26" s="11">
        <f t="shared" si="5"/>
        <v>-1756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189817</v>
      </c>
      <c r="C27" s="11">
        <v>193284</v>
      </c>
      <c r="D27" s="11">
        <v>13394</v>
      </c>
      <c r="E27" s="11">
        <v>13033</v>
      </c>
      <c r="F27" s="11">
        <f t="shared" si="5"/>
        <v>3106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154351</v>
      </c>
      <c r="C28" s="150">
        <v>155772</v>
      </c>
      <c r="D28" s="150">
        <v>12639</v>
      </c>
      <c r="E28" s="150">
        <v>11097</v>
      </c>
      <c r="F28" s="11">
        <f t="shared" si="5"/>
        <v>-121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176660</v>
      </c>
      <c r="C29" s="150">
        <v>178017</v>
      </c>
      <c r="D29" s="150">
        <v>13112</v>
      </c>
      <c r="E29" s="150">
        <v>13033</v>
      </c>
      <c r="F29" s="11">
        <f t="shared" si="5"/>
        <v>1278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175706</v>
      </c>
      <c r="C30" s="150">
        <v>178067</v>
      </c>
      <c r="D30" s="150">
        <v>13128</v>
      </c>
      <c r="E30" s="150">
        <v>13033</v>
      </c>
      <c r="F30" s="11">
        <f t="shared" si="5"/>
        <v>2266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171169</v>
      </c>
      <c r="C31" s="150">
        <v>171076</v>
      </c>
      <c r="D31" s="150">
        <v>12530</v>
      </c>
      <c r="E31" s="150">
        <v>13033</v>
      </c>
      <c r="F31" s="11">
        <f t="shared" si="5"/>
        <v>410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160915</v>
      </c>
      <c r="C32" s="150">
        <v>155452</v>
      </c>
      <c r="D32" s="150">
        <v>12969</v>
      </c>
      <c r="E32" s="150">
        <v>13033</v>
      </c>
      <c r="F32" s="11">
        <f t="shared" si="5"/>
        <v>-5399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141477</v>
      </c>
      <c r="C33" s="150">
        <v>141215</v>
      </c>
      <c r="D33" s="150">
        <v>13128</v>
      </c>
      <c r="E33" s="150">
        <v>13033</v>
      </c>
      <c r="F33" s="11">
        <f t="shared" si="5"/>
        <v>-357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179204</v>
      </c>
      <c r="C34" s="150">
        <v>183000</v>
      </c>
      <c r="D34" s="150">
        <v>13862</v>
      </c>
      <c r="E34" s="150">
        <v>14360</v>
      </c>
      <c r="F34" s="11">
        <f t="shared" si="5"/>
        <v>4294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4457426</v>
      </c>
      <c r="C39" s="150">
        <f>SUM(C8:C38)</f>
        <v>4494637</v>
      </c>
      <c r="D39" s="150">
        <f>SUM(D8:D38)</f>
        <v>350583</v>
      </c>
      <c r="E39" s="150">
        <f>SUM(E8:E38)</f>
        <v>355792</v>
      </c>
      <c r="F39" s="11">
        <f t="shared" si="5"/>
        <v>42420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+summary!P10</f>
        <v>2.58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109443.6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37042</v>
      </c>
      <c r="C42" s="153"/>
      <c r="D42" s="153"/>
      <c r="E42" s="153"/>
      <c r="F42" s="419">
        <v>559197.56000000006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37069</v>
      </c>
      <c r="C43" s="142"/>
      <c r="D43" s="142"/>
      <c r="E43" s="142"/>
      <c r="F43" s="252">
        <f>+F42+F41</f>
        <v>668641.16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1" workbookViewId="3">
      <selection activeCell="B41" sqref="B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97525</v>
      </c>
      <c r="C8" s="51">
        <v>96856</v>
      </c>
      <c r="D8" s="24">
        <f t="shared" si="0"/>
        <v>-669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82735</v>
      </c>
      <c r="C10" s="24">
        <v>82655</v>
      </c>
      <c r="D10" s="24">
        <f t="shared" si="0"/>
        <v>-80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94635</v>
      </c>
      <c r="C11" s="24">
        <v>94027</v>
      </c>
      <c r="D11" s="24">
        <f t="shared" si="0"/>
        <v>-608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134131</v>
      </c>
      <c r="C12" s="51">
        <v>136018</v>
      </c>
      <c r="D12" s="24">
        <f t="shared" si="0"/>
        <v>1887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71735</v>
      </c>
      <c r="C13" s="24">
        <v>72648</v>
      </c>
      <c r="D13" s="24">
        <f t="shared" si="0"/>
        <v>913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71735</v>
      </c>
      <c r="C14" s="24">
        <v>86862</v>
      </c>
      <c r="D14" s="24">
        <f t="shared" si="0"/>
        <v>15127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71685</v>
      </c>
      <c r="C15" s="24">
        <v>71511</v>
      </c>
      <c r="D15" s="24">
        <f t="shared" si="0"/>
        <v>-174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84166</v>
      </c>
      <c r="C16" s="24">
        <v>84634</v>
      </c>
      <c r="D16" s="24">
        <f t="shared" si="0"/>
        <v>468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72703</v>
      </c>
      <c r="C17" s="24">
        <v>73788</v>
      </c>
      <c r="D17" s="24">
        <f t="shared" si="0"/>
        <v>1085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98337</v>
      </c>
      <c r="C18" s="24">
        <v>98796</v>
      </c>
      <c r="D18" s="24">
        <f t="shared" si="0"/>
        <v>459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80637</v>
      </c>
      <c r="C19" s="24">
        <v>80688</v>
      </c>
      <c r="D19" s="24">
        <f t="shared" si="0"/>
        <v>51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121128</v>
      </c>
      <c r="C20" s="24">
        <v>120967</v>
      </c>
      <c r="D20" s="24">
        <f t="shared" si="0"/>
        <v>-161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134798</v>
      </c>
      <c r="C21" s="24">
        <v>134333</v>
      </c>
      <c r="D21" s="24">
        <f t="shared" si="0"/>
        <v>-465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97710</v>
      </c>
      <c r="C22" s="24">
        <v>97329</v>
      </c>
      <c r="D22" s="24">
        <f t="shared" si="0"/>
        <v>-381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51492</v>
      </c>
      <c r="C23" s="24">
        <v>52093</v>
      </c>
      <c r="D23" s="24">
        <f t="shared" si="0"/>
        <v>601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78940</v>
      </c>
      <c r="C24" s="24">
        <v>80724</v>
      </c>
      <c r="D24" s="24">
        <f t="shared" si="0"/>
        <v>1784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59500</v>
      </c>
      <c r="C25" s="24">
        <v>59403</v>
      </c>
      <c r="D25" s="24">
        <f t="shared" si="0"/>
        <v>-97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75046</v>
      </c>
      <c r="C26" s="24">
        <v>75023</v>
      </c>
      <c r="D26" s="24">
        <f t="shared" si="0"/>
        <v>-23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133085</v>
      </c>
      <c r="C27" s="24">
        <v>133535</v>
      </c>
      <c r="D27" s="24">
        <f t="shared" si="0"/>
        <v>450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116924</v>
      </c>
      <c r="C28" s="24">
        <v>118622</v>
      </c>
      <c r="D28" s="24">
        <f t="shared" si="0"/>
        <v>1698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118450</v>
      </c>
      <c r="C29" s="24">
        <v>118617</v>
      </c>
      <c r="D29" s="24">
        <f t="shared" si="0"/>
        <v>167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>
        <v>72068</v>
      </c>
      <c r="C30" s="24">
        <v>72026</v>
      </c>
      <c r="D30" s="24">
        <f t="shared" si="0"/>
        <v>-42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108037</v>
      </c>
      <c r="C31" s="24">
        <v>108946</v>
      </c>
      <c r="D31" s="24">
        <f t="shared" si="0"/>
        <v>909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">
      <c r="A36" s="12"/>
      <c r="B36" s="24">
        <f>SUM(B5:B35)</f>
        <v>2530431</v>
      </c>
      <c r="C36" s="24">
        <f>SUM(C5:C35)</f>
        <v>2545708</v>
      </c>
      <c r="D36" s="24">
        <f t="shared" si="0"/>
        <v>15277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">
      <c r="B38" s="256">
        <v>37042</v>
      </c>
      <c r="C38" s="24"/>
      <c r="D38" s="403">
        <v>1307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5" thickBot="1" x14ac:dyDescent="0.25">
      <c r="B40" s="256">
        <v>37069</v>
      </c>
      <c r="C40" s="24"/>
      <c r="D40" s="195">
        <f>+D36+D38</f>
        <v>16584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5" thickTop="1" x14ac:dyDescent="0.2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2" sqref="C12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56339</v>
      </c>
      <c r="B5" s="370">
        <v>845166</v>
      </c>
      <c r="C5" s="90">
        <v>913513</v>
      </c>
      <c r="D5" s="90">
        <f>+C5-B5</f>
        <v>68347</v>
      </c>
      <c r="E5" s="287"/>
      <c r="F5" s="285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832139</v>
      </c>
      <c r="C7" s="90">
        <v>824073</v>
      </c>
      <c r="D7" s="90">
        <f t="shared" si="0"/>
        <v>-8066</v>
      </c>
      <c r="E7" s="287"/>
      <c r="F7" s="285"/>
      <c r="L7" t="s">
        <v>27</v>
      </c>
      <c r="M7">
        <v>7.6</v>
      </c>
    </row>
    <row r="8" spans="1:13" x14ac:dyDescent="0.2">
      <c r="A8" s="87">
        <v>500239</v>
      </c>
      <c r="B8" s="331">
        <v>954660</v>
      </c>
      <c r="C8" s="90">
        <v>1008459</v>
      </c>
      <c r="D8" s="90">
        <f t="shared" si="0"/>
        <v>53799</v>
      </c>
      <c r="E8" s="287"/>
      <c r="F8" s="285"/>
    </row>
    <row r="9" spans="1:13" x14ac:dyDescent="0.2">
      <c r="A9" s="87">
        <v>500293</v>
      </c>
      <c r="B9" s="92">
        <v>421977</v>
      </c>
      <c r="C9" s="90">
        <v>547348</v>
      </c>
      <c r="D9" s="90">
        <f t="shared" si="0"/>
        <v>125371</v>
      </c>
      <c r="E9" s="287"/>
      <c r="F9" s="285"/>
    </row>
    <row r="10" spans="1:13" x14ac:dyDescent="0.2">
      <c r="A10" s="87">
        <v>500302</v>
      </c>
      <c r="B10" s="331">
        <v>10321</v>
      </c>
      <c r="C10" s="331"/>
      <c r="D10" s="90">
        <f t="shared" si="0"/>
        <v>-10321</v>
      </c>
      <c r="E10" s="287"/>
      <c r="F10" s="285"/>
    </row>
    <row r="11" spans="1:13" x14ac:dyDescent="0.2">
      <c r="A11" s="87">
        <v>500303</v>
      </c>
      <c r="B11" s="331">
        <f>183396+6928</f>
        <v>190324</v>
      </c>
      <c r="C11" s="90">
        <v>300890</v>
      </c>
      <c r="D11" s="90">
        <f t="shared" si="0"/>
        <v>110566</v>
      </c>
      <c r="E11" s="287"/>
      <c r="F11" s="285"/>
    </row>
    <row r="12" spans="1:13" x14ac:dyDescent="0.2">
      <c r="A12" s="91">
        <v>500305</v>
      </c>
      <c r="B12" s="331">
        <v>934520</v>
      </c>
      <c r="C12" s="90">
        <v>1222709</v>
      </c>
      <c r="D12" s="90">
        <f t="shared" si="0"/>
        <v>288189</v>
      </c>
      <c r="E12" s="288"/>
      <c r="F12" s="285"/>
    </row>
    <row r="13" spans="1:13" x14ac:dyDescent="0.2">
      <c r="A13" s="87">
        <v>500307</v>
      </c>
      <c r="B13" s="331">
        <v>58869</v>
      </c>
      <c r="C13" s="90">
        <v>58620</v>
      </c>
      <c r="D13" s="90">
        <f t="shared" si="0"/>
        <v>-249</v>
      </c>
      <c r="E13" s="287"/>
      <c r="F13" s="285"/>
    </row>
    <row r="14" spans="1:13" x14ac:dyDescent="0.2">
      <c r="A14" s="87">
        <v>500313</v>
      </c>
      <c r="B14" s="90"/>
      <c r="C14" s="331">
        <v>2784</v>
      </c>
      <c r="D14" s="90">
        <f t="shared" si="0"/>
        <v>2784</v>
      </c>
      <c r="E14" s="287"/>
      <c r="F14" s="285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">
      <c r="A16" s="87">
        <v>500655</v>
      </c>
      <c r="B16" s="345">
        <v>628303</v>
      </c>
      <c r="C16" s="90"/>
      <c r="D16" s="90">
        <f t="shared" si="0"/>
        <v>-628303</v>
      </c>
      <c r="E16" s="287"/>
      <c r="F16" s="285"/>
    </row>
    <row r="17" spans="1:6" x14ac:dyDescent="0.2">
      <c r="A17" s="87">
        <v>500657</v>
      </c>
      <c r="B17" s="359">
        <v>188912</v>
      </c>
      <c r="C17" s="88">
        <v>161550</v>
      </c>
      <c r="D17" s="94">
        <f t="shared" si="0"/>
        <v>-27362</v>
      </c>
      <c r="E17" s="287"/>
      <c r="F17" s="285"/>
    </row>
    <row r="18" spans="1:6" x14ac:dyDescent="0.2">
      <c r="A18" s="87"/>
      <c r="B18" s="88"/>
      <c r="C18" s="88"/>
      <c r="D18" s="88">
        <f>SUM(D5:D17)</f>
        <v>-25245</v>
      </c>
      <c r="E18" s="287"/>
      <c r="F18" s="285"/>
    </row>
    <row r="19" spans="1:6" x14ac:dyDescent="0.2">
      <c r="A19" s="87" t="s">
        <v>86</v>
      </c>
      <c r="B19" s="88"/>
      <c r="C19" s="88"/>
      <c r="D19" s="95">
        <f>+summary!P11</f>
        <v>3.22</v>
      </c>
      <c r="E19" s="289"/>
      <c r="F19" s="285"/>
    </row>
    <row r="20" spans="1:6" x14ac:dyDescent="0.2">
      <c r="A20" s="87"/>
      <c r="B20" s="88"/>
      <c r="C20" s="88"/>
      <c r="D20" s="96">
        <f>+D19*D18</f>
        <v>-81288.900000000009</v>
      </c>
      <c r="E20" s="209"/>
      <c r="F20" s="286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37042</v>
      </c>
      <c r="B22" s="88"/>
      <c r="C22" s="88"/>
      <c r="D22" s="415">
        <v>151158.35999999999</v>
      </c>
      <c r="E22" s="209"/>
      <c r="F22" s="66"/>
    </row>
    <row r="23" spans="1:6" x14ac:dyDescent="0.2">
      <c r="A23" s="87"/>
      <c r="B23" s="88"/>
      <c r="C23" s="88"/>
      <c r="D23" s="336"/>
      <c r="E23" s="209"/>
      <c r="F23" s="66"/>
    </row>
    <row r="24" spans="1:6" ht="13.5" thickBot="1" x14ac:dyDescent="0.25">
      <c r="A24" s="99">
        <v>37069</v>
      </c>
      <c r="B24" s="88"/>
      <c r="C24" s="88"/>
      <c r="D24" s="358">
        <f>+D22+D20</f>
        <v>69869.459999999977</v>
      </c>
      <c r="E24" s="209"/>
      <c r="F24" s="66"/>
    </row>
    <row r="25" spans="1:6" ht="13.5" thickTop="1" x14ac:dyDescent="0.2">
      <c r="E25" s="29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26" workbookViewId="3">
      <selection activeCell="E27" sqref="E27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>
        <v>41924</v>
      </c>
      <c r="C9" s="11">
        <v>43713</v>
      </c>
      <c r="D9" s="11">
        <v>36834</v>
      </c>
      <c r="E9" s="11">
        <v>39999</v>
      </c>
      <c r="F9" s="25">
        <f t="shared" si="0"/>
        <v>4954</v>
      </c>
      <c r="G9" s="25"/>
    </row>
    <row r="10" spans="1:7" x14ac:dyDescent="0.2">
      <c r="A10" s="41">
        <v>7</v>
      </c>
      <c r="B10" s="11">
        <v>41447</v>
      </c>
      <c r="C10" s="11">
        <v>43714</v>
      </c>
      <c r="D10" s="11">
        <v>35036</v>
      </c>
      <c r="E10" s="11">
        <v>38000</v>
      </c>
      <c r="F10" s="25">
        <f t="shared" si="0"/>
        <v>5231</v>
      </c>
      <c r="G10" s="25"/>
    </row>
    <row r="11" spans="1:7" x14ac:dyDescent="0.2">
      <c r="A11" s="41">
        <v>8</v>
      </c>
      <c r="B11" s="11">
        <v>36290</v>
      </c>
      <c r="C11" s="11">
        <v>40000</v>
      </c>
      <c r="D11" s="11">
        <v>32619</v>
      </c>
      <c r="E11" s="11">
        <v>34000</v>
      </c>
      <c r="F11" s="25">
        <f t="shared" si="0"/>
        <v>5091</v>
      </c>
      <c r="G11" s="25"/>
    </row>
    <row r="12" spans="1:7" x14ac:dyDescent="0.2">
      <c r="A12" s="41">
        <v>9</v>
      </c>
      <c r="B12" s="11">
        <v>39937</v>
      </c>
      <c r="C12" s="11">
        <v>38777</v>
      </c>
      <c r="D12" s="11">
        <v>32705</v>
      </c>
      <c r="E12" s="11">
        <v>31047</v>
      </c>
      <c r="F12" s="25">
        <f t="shared" si="0"/>
        <v>-2818</v>
      </c>
      <c r="G12" s="25"/>
    </row>
    <row r="13" spans="1:7" x14ac:dyDescent="0.2">
      <c r="A13" s="41">
        <v>10</v>
      </c>
      <c r="B13" s="11">
        <v>39339</v>
      </c>
      <c r="C13" s="11">
        <v>38777</v>
      </c>
      <c r="D13" s="11">
        <v>31138</v>
      </c>
      <c r="E13" s="11">
        <v>31047</v>
      </c>
      <c r="F13" s="25">
        <f t="shared" si="0"/>
        <v>-653</v>
      </c>
      <c r="G13" s="25"/>
    </row>
    <row r="14" spans="1:7" x14ac:dyDescent="0.2">
      <c r="A14" s="41">
        <v>11</v>
      </c>
      <c r="B14" s="11">
        <v>39932</v>
      </c>
      <c r="C14" s="11">
        <v>43714</v>
      </c>
      <c r="D14" s="11">
        <v>32600</v>
      </c>
      <c r="E14" s="11">
        <v>35000</v>
      </c>
      <c r="F14" s="25">
        <f t="shared" si="0"/>
        <v>6182</v>
      </c>
      <c r="G14" s="25"/>
    </row>
    <row r="15" spans="1:7" x14ac:dyDescent="0.2">
      <c r="A15" s="41">
        <v>12</v>
      </c>
      <c r="B15" s="11">
        <v>44225</v>
      </c>
      <c r="C15" s="11">
        <v>42710</v>
      </c>
      <c r="D15" s="11">
        <v>22986</v>
      </c>
      <c r="E15" s="11">
        <v>32997</v>
      </c>
      <c r="F15" s="25">
        <f t="shared" si="0"/>
        <v>8496</v>
      </c>
      <c r="G15" s="25"/>
    </row>
    <row r="16" spans="1:7" x14ac:dyDescent="0.2">
      <c r="A16" s="41">
        <v>13</v>
      </c>
      <c r="B16" s="11">
        <v>48063</v>
      </c>
      <c r="C16" s="11">
        <v>44000</v>
      </c>
      <c r="D16" s="11">
        <v>26734</v>
      </c>
      <c r="E16" s="11">
        <v>23000</v>
      </c>
      <c r="F16" s="25">
        <f t="shared" si="0"/>
        <v>-7797</v>
      </c>
      <c r="G16" s="25"/>
    </row>
    <row r="17" spans="1:7" x14ac:dyDescent="0.2">
      <c r="A17" s="41">
        <v>14</v>
      </c>
      <c r="B17" s="11">
        <v>47229</v>
      </c>
      <c r="C17" s="11">
        <v>50115</v>
      </c>
      <c r="D17" s="11">
        <v>31012</v>
      </c>
      <c r="E17" s="11">
        <v>33532</v>
      </c>
      <c r="F17" s="25">
        <f t="shared" si="0"/>
        <v>5406</v>
      </c>
      <c r="G17" s="25"/>
    </row>
    <row r="18" spans="1:7" x14ac:dyDescent="0.2">
      <c r="A18" s="41">
        <v>15</v>
      </c>
      <c r="B18" s="11">
        <v>40048</v>
      </c>
      <c r="C18" s="11">
        <v>37619</v>
      </c>
      <c r="D18" s="11">
        <v>25456</v>
      </c>
      <c r="E18" s="11">
        <v>29065</v>
      </c>
      <c r="F18" s="25">
        <f t="shared" si="0"/>
        <v>1180</v>
      </c>
      <c r="G18" s="25"/>
    </row>
    <row r="19" spans="1:7" x14ac:dyDescent="0.2">
      <c r="A19" s="41">
        <v>16</v>
      </c>
      <c r="B19" s="11">
        <v>40576</v>
      </c>
      <c r="C19" s="11">
        <v>50051</v>
      </c>
      <c r="D19" s="11">
        <v>29835</v>
      </c>
      <c r="E19" s="11">
        <v>35000</v>
      </c>
      <c r="F19" s="25">
        <f t="shared" si="0"/>
        <v>14640</v>
      </c>
      <c r="G19" s="25"/>
    </row>
    <row r="20" spans="1:7" x14ac:dyDescent="0.2">
      <c r="A20" s="41">
        <v>17</v>
      </c>
      <c r="B20" s="11">
        <v>40047</v>
      </c>
      <c r="C20" s="11">
        <v>41227</v>
      </c>
      <c r="D20" s="11">
        <v>31203</v>
      </c>
      <c r="E20" s="11">
        <v>33917</v>
      </c>
      <c r="F20" s="25">
        <f t="shared" si="0"/>
        <v>3894</v>
      </c>
      <c r="G20" s="25"/>
    </row>
    <row r="21" spans="1:7" x14ac:dyDescent="0.2">
      <c r="A21" s="41">
        <v>18</v>
      </c>
      <c r="B21" s="11">
        <v>39329</v>
      </c>
      <c r="C21" s="11">
        <v>39000</v>
      </c>
      <c r="D21" s="11">
        <v>30953</v>
      </c>
      <c r="E21" s="11">
        <v>32000</v>
      </c>
      <c r="F21" s="25">
        <f t="shared" si="0"/>
        <v>718</v>
      </c>
      <c r="G21" s="25"/>
    </row>
    <row r="22" spans="1:7" x14ac:dyDescent="0.2">
      <c r="A22" s="41">
        <v>19</v>
      </c>
      <c r="B22" s="11">
        <v>42235</v>
      </c>
      <c r="C22" s="11">
        <v>43714</v>
      </c>
      <c r="D22" s="11">
        <v>33768</v>
      </c>
      <c r="E22" s="11">
        <v>32000</v>
      </c>
      <c r="F22" s="25">
        <f t="shared" si="0"/>
        <v>-289</v>
      </c>
      <c r="G22" s="25"/>
    </row>
    <row r="23" spans="1:7" x14ac:dyDescent="0.2">
      <c r="A23" s="41">
        <v>20</v>
      </c>
      <c r="B23" s="11">
        <v>43145</v>
      </c>
      <c r="C23" s="11">
        <v>43688</v>
      </c>
      <c r="D23" s="11">
        <v>31869</v>
      </c>
      <c r="E23" s="11">
        <v>31981</v>
      </c>
      <c r="F23" s="25">
        <f t="shared" si="0"/>
        <v>655</v>
      </c>
      <c r="G23" s="25"/>
    </row>
    <row r="24" spans="1:7" x14ac:dyDescent="0.2">
      <c r="A24" s="41">
        <v>21</v>
      </c>
      <c r="B24" s="11">
        <v>40601</v>
      </c>
      <c r="C24" s="11">
        <v>43714</v>
      </c>
      <c r="D24" s="11">
        <v>31726</v>
      </c>
      <c r="E24" s="11">
        <v>32000</v>
      </c>
      <c r="F24" s="25">
        <f t="shared" si="0"/>
        <v>3387</v>
      </c>
      <c r="G24" s="25"/>
    </row>
    <row r="25" spans="1:7" x14ac:dyDescent="0.2">
      <c r="A25" s="41">
        <v>22</v>
      </c>
      <c r="B25" s="11">
        <v>46395</v>
      </c>
      <c r="C25" s="11">
        <v>43714</v>
      </c>
      <c r="D25" s="11">
        <v>30615</v>
      </c>
      <c r="E25" s="11">
        <v>32000</v>
      </c>
      <c r="F25" s="25">
        <f t="shared" si="0"/>
        <v>-1296</v>
      </c>
      <c r="G25" s="25"/>
    </row>
    <row r="26" spans="1:7" x14ac:dyDescent="0.2">
      <c r="A26" s="41">
        <v>23</v>
      </c>
      <c r="B26" s="11">
        <v>42750</v>
      </c>
      <c r="C26" s="11">
        <v>44813</v>
      </c>
      <c r="D26" s="108">
        <v>31000</v>
      </c>
      <c r="E26" s="11">
        <v>34039</v>
      </c>
      <c r="F26" s="25">
        <f t="shared" si="0"/>
        <v>5102</v>
      </c>
    </row>
    <row r="27" spans="1:7" x14ac:dyDescent="0.2">
      <c r="A27" s="41">
        <v>24</v>
      </c>
      <c r="B27" s="11">
        <v>42834</v>
      </c>
      <c r="C27" s="11">
        <v>42578</v>
      </c>
      <c r="D27" s="11">
        <v>29054</v>
      </c>
      <c r="E27" s="11">
        <v>40826</v>
      </c>
      <c r="F27" s="25">
        <f t="shared" si="0"/>
        <v>11516</v>
      </c>
    </row>
    <row r="28" spans="1:7" x14ac:dyDescent="0.2">
      <c r="A28" s="41">
        <v>25</v>
      </c>
      <c r="B28" s="11">
        <v>46910</v>
      </c>
      <c r="C28" s="11">
        <v>43714</v>
      </c>
      <c r="D28" s="11">
        <v>30772</v>
      </c>
      <c r="E28" s="11">
        <v>42000</v>
      </c>
      <c r="F28" s="25">
        <f t="shared" si="0"/>
        <v>8032</v>
      </c>
    </row>
    <row r="29" spans="1:7" x14ac:dyDescent="0.2">
      <c r="A29" s="41">
        <v>26</v>
      </c>
      <c r="B29" s="11">
        <v>45204</v>
      </c>
      <c r="C29" s="11">
        <v>43504</v>
      </c>
      <c r="D29" s="11">
        <v>30125</v>
      </c>
      <c r="E29" s="11">
        <v>31847</v>
      </c>
      <c r="F29" s="25">
        <f t="shared" si="0"/>
        <v>22</v>
      </c>
    </row>
    <row r="30" spans="1:7" x14ac:dyDescent="0.2">
      <c r="A30" s="41">
        <v>27</v>
      </c>
      <c r="B30" s="11">
        <v>46122</v>
      </c>
      <c r="C30" s="11">
        <v>43048</v>
      </c>
      <c r="D30" s="11">
        <v>29987</v>
      </c>
      <c r="E30" s="11">
        <v>31514</v>
      </c>
      <c r="F30" s="25">
        <f t="shared" si="0"/>
        <v>-1547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1142213</v>
      </c>
      <c r="C35" s="11">
        <f>SUM(C4:C34)</f>
        <v>1152474</v>
      </c>
      <c r="D35" s="11">
        <f>SUM(D4:D34)</f>
        <v>879415</v>
      </c>
      <c r="E35" s="11">
        <f>SUM(E4:E34)</f>
        <v>926811</v>
      </c>
      <c r="F35" s="11">
        <f>+E35-D35+C35-B35</f>
        <v>57657</v>
      </c>
    </row>
    <row r="36" spans="1:7" x14ac:dyDescent="0.2">
      <c r="A36" s="45"/>
      <c r="C36" s="14">
        <f>+C35-B35</f>
        <v>10261</v>
      </c>
      <c r="D36" s="14"/>
      <c r="E36" s="14">
        <f>+E35-D35</f>
        <v>47396</v>
      </c>
      <c r="F36" s="47"/>
    </row>
    <row r="37" spans="1:7" x14ac:dyDescent="0.2">
      <c r="C37" s="15">
        <f>+summary!P11</f>
        <v>3.22</v>
      </c>
      <c r="D37" s="15"/>
      <c r="E37" s="15">
        <f>+C37</f>
        <v>3.22</v>
      </c>
      <c r="F37" s="24"/>
    </row>
    <row r="38" spans="1:7" x14ac:dyDescent="0.2">
      <c r="C38" s="48">
        <f>+C37*C36</f>
        <v>33040.420000000006</v>
      </c>
      <c r="D38" s="47"/>
      <c r="E38" s="48">
        <f>+E37*E36</f>
        <v>152615.12</v>
      </c>
      <c r="F38" s="46">
        <f>+E38+C38</f>
        <v>185655.54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414">
        <v>2444005.89</v>
      </c>
      <c r="D40" s="111"/>
      <c r="E40" s="414">
        <v>-2072427.18</v>
      </c>
      <c r="F40" s="382">
        <f>+E40+C40</f>
        <v>371578.7100000002</v>
      </c>
      <c r="G40" s="25"/>
    </row>
    <row r="41" spans="1:7" x14ac:dyDescent="0.2">
      <c r="A41" s="57">
        <v>37069</v>
      </c>
      <c r="C41" s="106">
        <f>+C40+C38</f>
        <v>2477046.31</v>
      </c>
      <c r="D41" s="106"/>
      <c r="E41" s="106">
        <f>+E40+E38</f>
        <v>-1919812.06</v>
      </c>
      <c r="F41" s="106">
        <f>+E41+C41</f>
        <v>557234.25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abSelected="1"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0" workbookViewId="3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219273</v>
      </c>
      <c r="C8" s="11">
        <v>224915</v>
      </c>
      <c r="D8" s="11"/>
      <c r="E8" s="11">
        <v>1276</v>
      </c>
      <c r="F8" s="11">
        <f t="shared" ref="F8:F35" si="5">+D8+C8-E8-B8</f>
        <v>4366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185522</v>
      </c>
      <c r="C9" s="11">
        <v>183474</v>
      </c>
      <c r="D9" s="11"/>
      <c r="E9" s="11"/>
      <c r="F9" s="11">
        <f t="shared" si="5"/>
        <v>-2048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164874</v>
      </c>
      <c r="C10" s="11">
        <v>182838</v>
      </c>
      <c r="D10" s="11"/>
      <c r="E10" s="11">
        <v>21037</v>
      </c>
      <c r="F10" s="11">
        <f t="shared" si="5"/>
        <v>-3073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170513</v>
      </c>
      <c r="C11" s="11">
        <v>212981</v>
      </c>
      <c r="D11" s="11"/>
      <c r="E11" s="11">
        <v>46832</v>
      </c>
      <c r="F11" s="11">
        <f t="shared" si="5"/>
        <v>-4364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208241</v>
      </c>
      <c r="C12" s="11">
        <v>215303</v>
      </c>
      <c r="D12" s="11"/>
      <c r="E12" s="11">
        <v>11936</v>
      </c>
      <c r="F12" s="11">
        <f t="shared" si="5"/>
        <v>-4874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244312</v>
      </c>
      <c r="C13" s="11">
        <v>252585</v>
      </c>
      <c r="D13" s="11"/>
      <c r="E13" s="11"/>
      <c r="F13" s="11">
        <f t="shared" si="5"/>
        <v>8273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239584</v>
      </c>
      <c r="C14" s="11">
        <v>236368</v>
      </c>
      <c r="D14" s="11"/>
      <c r="E14" s="11"/>
      <c r="F14" s="11">
        <f t="shared" si="5"/>
        <v>-3216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237058</v>
      </c>
      <c r="C15" s="11">
        <v>239663</v>
      </c>
      <c r="D15" s="11"/>
      <c r="E15" s="11">
        <v>6248</v>
      </c>
      <c r="F15" s="11">
        <f t="shared" si="5"/>
        <v>-3643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211948</v>
      </c>
      <c r="C16" s="11">
        <v>213917</v>
      </c>
      <c r="D16" s="11"/>
      <c r="E16" s="11">
        <v>4672</v>
      </c>
      <c r="F16" s="11">
        <f t="shared" si="5"/>
        <v>-2703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217410</v>
      </c>
      <c r="C17" s="11">
        <v>213983</v>
      </c>
      <c r="D17" s="11"/>
      <c r="E17" s="11"/>
      <c r="F17" s="11">
        <f t="shared" si="5"/>
        <v>-3427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233108</v>
      </c>
      <c r="C18" s="11">
        <v>238826</v>
      </c>
      <c r="D18" s="11"/>
      <c r="E18" s="11">
        <v>7833</v>
      </c>
      <c r="F18" s="11">
        <f t="shared" si="5"/>
        <v>-2115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189384</v>
      </c>
      <c r="C19" s="11">
        <v>215677</v>
      </c>
      <c r="D19" s="11"/>
      <c r="E19" s="11">
        <v>26468</v>
      </c>
      <c r="F19" s="11">
        <f t="shared" si="5"/>
        <v>-175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151173</v>
      </c>
      <c r="C20" s="11">
        <v>189752</v>
      </c>
      <c r="D20" s="11"/>
      <c r="E20" s="11">
        <v>39013</v>
      </c>
      <c r="F20" s="11">
        <f t="shared" si="5"/>
        <v>-434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>
        <v>129417</v>
      </c>
      <c r="C21" s="11">
        <v>185365</v>
      </c>
      <c r="D21" s="11"/>
      <c r="E21" s="11">
        <v>52368</v>
      </c>
      <c r="F21" s="11">
        <f t="shared" si="5"/>
        <v>3580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>
        <v>205779</v>
      </c>
      <c r="C22" s="11">
        <v>212053</v>
      </c>
      <c r="D22" s="11"/>
      <c r="E22" s="11">
        <v>1879</v>
      </c>
      <c r="F22" s="11">
        <f t="shared" si="5"/>
        <v>4395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191216</v>
      </c>
      <c r="C23" s="11">
        <v>208174</v>
      </c>
      <c r="D23" s="11"/>
      <c r="E23" s="11">
        <v>7701</v>
      </c>
      <c r="F23" s="11">
        <f t="shared" si="5"/>
        <v>9257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153438</v>
      </c>
      <c r="C24" s="11">
        <v>202373</v>
      </c>
      <c r="D24" s="11"/>
      <c r="E24" s="11">
        <v>26809</v>
      </c>
      <c r="F24" s="11">
        <f t="shared" si="5"/>
        <v>22126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186072</v>
      </c>
      <c r="C25" s="11">
        <v>209859</v>
      </c>
      <c r="D25" s="11"/>
      <c r="E25" s="11">
        <v>14484</v>
      </c>
      <c r="F25" s="11">
        <f t="shared" si="5"/>
        <v>9303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160654</v>
      </c>
      <c r="C26" s="11">
        <v>217616</v>
      </c>
      <c r="D26" s="11"/>
      <c r="E26" s="11">
        <v>47947</v>
      </c>
      <c r="F26" s="11">
        <f t="shared" si="5"/>
        <v>9015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148501</v>
      </c>
      <c r="C27" s="11">
        <v>189529</v>
      </c>
      <c r="D27" s="11"/>
      <c r="E27" s="11">
        <v>38025</v>
      </c>
      <c r="F27" s="11">
        <f t="shared" si="5"/>
        <v>3003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141423</v>
      </c>
      <c r="C28" s="11">
        <v>186433</v>
      </c>
      <c r="D28" s="11"/>
      <c r="E28" s="11">
        <v>57326</v>
      </c>
      <c r="F28" s="11">
        <f t="shared" si="5"/>
        <v>-12316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148090</v>
      </c>
      <c r="C29" s="11">
        <v>192818</v>
      </c>
      <c r="D29" s="11"/>
      <c r="E29" s="11">
        <v>50101</v>
      </c>
      <c r="F29" s="11">
        <f t="shared" si="5"/>
        <v>-5373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177460</v>
      </c>
      <c r="C30" s="11">
        <v>186428</v>
      </c>
      <c r="D30" s="11"/>
      <c r="E30" s="11">
        <v>5955</v>
      </c>
      <c r="F30" s="11">
        <f t="shared" si="5"/>
        <v>3013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132979</v>
      </c>
      <c r="C31" s="11">
        <v>177800</v>
      </c>
      <c r="D31" s="11"/>
      <c r="E31" s="11">
        <v>44757</v>
      </c>
      <c r="F31" s="11">
        <f t="shared" si="5"/>
        <v>64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5097830</v>
      </c>
      <c r="C36" s="11">
        <f>SUM(C5:C35)</f>
        <v>5640635</v>
      </c>
      <c r="D36" s="11">
        <f>SUM(D5:D35)</f>
        <v>0</v>
      </c>
      <c r="E36" s="11">
        <f>SUM(E5:E35)</f>
        <v>517144</v>
      </c>
      <c r="F36" s="11">
        <f>SUM(F5:F35)</f>
        <v>25661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37042</v>
      </c>
      <c r="F39" s="408">
        <v>-386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37069</v>
      </c>
      <c r="F41" s="383">
        <f>+F39+F36</f>
        <v>25275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6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">
      <c r="A13" s="10">
        <v>6</v>
      </c>
      <c r="B13" s="11">
        <v>60647</v>
      </c>
      <c r="C13" s="11">
        <v>62388</v>
      </c>
      <c r="D13" s="11">
        <f t="shared" si="0"/>
        <v>1741</v>
      </c>
      <c r="E13" s="10"/>
      <c r="F13" s="11"/>
      <c r="G13" s="11"/>
      <c r="H13" s="11"/>
    </row>
    <row r="14" spans="1:8" x14ac:dyDescent="0.2">
      <c r="A14" s="10">
        <v>7</v>
      </c>
      <c r="B14" s="11">
        <v>63117</v>
      </c>
      <c r="C14" s="11">
        <v>62388</v>
      </c>
      <c r="D14" s="11">
        <f t="shared" si="0"/>
        <v>-729</v>
      </c>
      <c r="E14" s="10"/>
      <c r="F14" s="11"/>
      <c r="G14" s="11"/>
      <c r="H14" s="11"/>
    </row>
    <row r="15" spans="1:8" x14ac:dyDescent="0.2">
      <c r="A15" s="10">
        <v>8</v>
      </c>
      <c r="B15" s="11">
        <v>72994</v>
      </c>
      <c r="C15" s="11">
        <v>72388</v>
      </c>
      <c r="D15" s="11">
        <f t="shared" si="0"/>
        <v>-606</v>
      </c>
      <c r="E15" s="10"/>
      <c r="F15" s="11"/>
      <c r="G15" s="11"/>
      <c r="H15" s="11"/>
    </row>
    <row r="16" spans="1:8" x14ac:dyDescent="0.2">
      <c r="A16" s="10">
        <v>9</v>
      </c>
      <c r="B16" s="11">
        <v>134234</v>
      </c>
      <c r="C16" s="11">
        <v>133583</v>
      </c>
      <c r="D16" s="11">
        <f t="shared" si="0"/>
        <v>-651</v>
      </c>
      <c r="E16" s="10"/>
      <c r="F16" s="11"/>
      <c r="G16" s="11"/>
      <c r="H16" s="11"/>
    </row>
    <row r="17" spans="1:8" x14ac:dyDescent="0.2">
      <c r="A17" s="10">
        <v>10</v>
      </c>
      <c r="B17" s="11">
        <v>132100</v>
      </c>
      <c r="C17" s="11">
        <v>133583</v>
      </c>
      <c r="D17" s="11">
        <f t="shared" si="0"/>
        <v>1483</v>
      </c>
      <c r="E17" s="10"/>
      <c r="F17" s="11"/>
      <c r="G17" s="11"/>
      <c r="H17" s="11"/>
    </row>
    <row r="18" spans="1:8" x14ac:dyDescent="0.2">
      <c r="A18" s="10">
        <v>11</v>
      </c>
      <c r="B18" s="11">
        <v>134813</v>
      </c>
      <c r="C18" s="11">
        <v>133583</v>
      </c>
      <c r="D18" s="11">
        <f t="shared" si="0"/>
        <v>-1230</v>
      </c>
      <c r="E18" s="10"/>
      <c r="F18" s="11"/>
      <c r="G18" s="11"/>
      <c r="H18" s="11"/>
    </row>
    <row r="19" spans="1:8" x14ac:dyDescent="0.2">
      <c r="A19" s="10">
        <v>12</v>
      </c>
      <c r="B19" s="11">
        <v>144825</v>
      </c>
      <c r="C19" s="11">
        <v>137693</v>
      </c>
      <c r="D19" s="11">
        <f t="shared" si="0"/>
        <v>-7132</v>
      </c>
      <c r="E19" s="10"/>
      <c r="F19" s="11"/>
      <c r="G19" s="11"/>
      <c r="H19" s="11"/>
    </row>
    <row r="20" spans="1:8" x14ac:dyDescent="0.2">
      <c r="A20" s="10">
        <v>13</v>
      </c>
      <c r="B20" s="11">
        <v>149457</v>
      </c>
      <c r="C20" s="11">
        <v>148910</v>
      </c>
      <c r="D20" s="11">
        <f t="shared" si="0"/>
        <v>-547</v>
      </c>
      <c r="E20" s="10"/>
      <c r="F20" s="11"/>
      <c r="G20" s="11"/>
      <c r="H20" s="11"/>
    </row>
    <row r="21" spans="1:8" x14ac:dyDescent="0.2">
      <c r="A21" s="10">
        <v>14</v>
      </c>
      <c r="B21" s="11">
        <v>128254</v>
      </c>
      <c r="C21" s="11">
        <v>127976</v>
      </c>
      <c r="D21" s="11">
        <f t="shared" si="0"/>
        <v>-278</v>
      </c>
      <c r="E21" s="10"/>
      <c r="F21" s="11"/>
      <c r="G21" s="11"/>
      <c r="H21" s="11"/>
    </row>
    <row r="22" spans="1:8" x14ac:dyDescent="0.2">
      <c r="A22" s="10">
        <v>15</v>
      </c>
      <c r="B22" s="11">
        <v>117231</v>
      </c>
      <c r="C22" s="11">
        <v>116363</v>
      </c>
      <c r="D22" s="11">
        <f t="shared" si="0"/>
        <v>-868</v>
      </c>
      <c r="E22" s="10"/>
      <c r="F22" s="11"/>
      <c r="G22" s="11"/>
      <c r="H22" s="11"/>
    </row>
    <row r="23" spans="1:8" x14ac:dyDescent="0.2">
      <c r="A23" s="10">
        <v>16</v>
      </c>
      <c r="B23" s="11">
        <v>107320</v>
      </c>
      <c r="C23" s="11">
        <v>106674</v>
      </c>
      <c r="D23" s="11">
        <f t="shared" si="0"/>
        <v>-646</v>
      </c>
      <c r="E23" s="10"/>
      <c r="F23" s="11"/>
      <c r="G23" s="11"/>
      <c r="H23" s="11"/>
    </row>
    <row r="24" spans="1:8" x14ac:dyDescent="0.2">
      <c r="A24" s="10">
        <v>17</v>
      </c>
      <c r="B24" s="11">
        <v>97555</v>
      </c>
      <c r="C24" s="11">
        <v>96821</v>
      </c>
      <c r="D24" s="11">
        <f t="shared" si="0"/>
        <v>-734</v>
      </c>
      <c r="E24" s="10"/>
      <c r="F24" s="11"/>
      <c r="G24" s="11"/>
      <c r="H24" s="11"/>
    </row>
    <row r="25" spans="1:8" x14ac:dyDescent="0.2">
      <c r="A25" s="10">
        <v>18</v>
      </c>
      <c r="B25" s="11">
        <v>106400</v>
      </c>
      <c r="C25" s="11">
        <v>105865</v>
      </c>
      <c r="D25" s="11">
        <f t="shared" si="0"/>
        <v>-535</v>
      </c>
      <c r="E25" s="10"/>
      <c r="F25" s="11"/>
      <c r="G25" s="11"/>
      <c r="H25" s="11"/>
    </row>
    <row r="26" spans="1:8" x14ac:dyDescent="0.2">
      <c r="A26" s="10">
        <v>19</v>
      </c>
      <c r="B26" s="11">
        <v>122694</v>
      </c>
      <c r="C26" s="11">
        <v>121355</v>
      </c>
      <c r="D26" s="11">
        <f t="shared" si="0"/>
        <v>-1339</v>
      </c>
      <c r="E26" s="10"/>
      <c r="F26" s="11"/>
      <c r="G26" s="11"/>
      <c r="H26" s="11"/>
    </row>
    <row r="27" spans="1:8" x14ac:dyDescent="0.2">
      <c r="A27" s="10">
        <v>20</v>
      </c>
      <c r="B27" s="11">
        <v>125257</v>
      </c>
      <c r="C27" s="11">
        <v>129965</v>
      </c>
      <c r="D27" s="11">
        <f t="shared" si="0"/>
        <v>4708</v>
      </c>
      <c r="E27" s="10"/>
      <c r="F27" s="11"/>
      <c r="G27" s="11"/>
      <c r="H27" s="11"/>
    </row>
    <row r="28" spans="1:8" x14ac:dyDescent="0.2">
      <c r="A28" s="10">
        <v>21</v>
      </c>
      <c r="B28" s="11">
        <v>122398</v>
      </c>
      <c r="C28" s="11">
        <v>122873</v>
      </c>
      <c r="D28" s="11">
        <f t="shared" si="0"/>
        <v>475</v>
      </c>
      <c r="E28" s="10"/>
      <c r="F28" s="11"/>
      <c r="G28" s="11"/>
      <c r="H28" s="11"/>
    </row>
    <row r="29" spans="1:8" x14ac:dyDescent="0.2">
      <c r="A29" s="10">
        <v>22</v>
      </c>
      <c r="B29" s="11">
        <v>97344</v>
      </c>
      <c r="C29" s="11">
        <v>96505</v>
      </c>
      <c r="D29" s="11">
        <f t="shared" si="0"/>
        <v>-839</v>
      </c>
      <c r="E29" s="10"/>
      <c r="F29" s="11"/>
      <c r="G29" s="11"/>
      <c r="H29" s="11"/>
    </row>
    <row r="30" spans="1:8" x14ac:dyDescent="0.2">
      <c r="A30" s="10">
        <v>23</v>
      </c>
      <c r="B30" s="11">
        <v>112641</v>
      </c>
      <c r="C30" s="11">
        <v>111347</v>
      </c>
      <c r="D30" s="11">
        <f t="shared" si="0"/>
        <v>-1294</v>
      </c>
      <c r="E30" s="10"/>
      <c r="F30" s="11"/>
      <c r="G30" s="11"/>
      <c r="H30" s="11"/>
    </row>
    <row r="31" spans="1:8" x14ac:dyDescent="0.2">
      <c r="A31" s="10">
        <v>24</v>
      </c>
      <c r="B31" s="11">
        <v>108996</v>
      </c>
      <c r="C31" s="11">
        <v>108654</v>
      </c>
      <c r="D31" s="11">
        <f t="shared" si="0"/>
        <v>-342</v>
      </c>
      <c r="E31" s="10"/>
      <c r="F31" s="11"/>
      <c r="G31" s="11"/>
      <c r="H31" s="11"/>
    </row>
    <row r="32" spans="1:8" x14ac:dyDescent="0.2">
      <c r="A32" s="10">
        <v>25</v>
      </c>
      <c r="B32" s="11">
        <v>109510</v>
      </c>
      <c r="C32" s="11">
        <v>111211</v>
      </c>
      <c r="D32" s="11">
        <f t="shared" si="0"/>
        <v>1701</v>
      </c>
      <c r="E32" s="10"/>
      <c r="F32" s="11"/>
      <c r="G32" s="11"/>
      <c r="H32" s="11"/>
    </row>
    <row r="33" spans="1:8" x14ac:dyDescent="0.2">
      <c r="A33" s="10">
        <v>26</v>
      </c>
      <c r="B33" s="11">
        <v>80733</v>
      </c>
      <c r="C33" s="11">
        <v>80081</v>
      </c>
      <c r="D33" s="11">
        <f t="shared" si="0"/>
        <v>-652</v>
      </c>
      <c r="E33" s="10"/>
      <c r="F33" s="11"/>
      <c r="G33" s="11"/>
      <c r="H33" s="11"/>
    </row>
    <row r="34" spans="1:8" x14ac:dyDescent="0.2">
      <c r="A34" s="10">
        <v>27</v>
      </c>
      <c r="B34" s="11">
        <v>85742</v>
      </c>
      <c r="C34" s="11">
        <v>85648</v>
      </c>
      <c r="D34" s="11">
        <f t="shared" si="0"/>
        <v>-94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2700744</v>
      </c>
      <c r="C39" s="11">
        <f>SUM(C8:C38)</f>
        <v>2689794</v>
      </c>
      <c r="D39" s="11">
        <f>SUM(D8:D38)</f>
        <v>-10950</v>
      </c>
      <c r="E39" s="10"/>
      <c r="F39" s="11"/>
      <c r="G39" s="11"/>
      <c r="H39" s="11"/>
    </row>
    <row r="40" spans="1:8" x14ac:dyDescent="0.2">
      <c r="A40" s="26"/>
      <c r="D40" s="75">
        <f>+summary!P11</f>
        <v>3.22</v>
      </c>
      <c r="E40" s="26"/>
      <c r="H40" s="75"/>
    </row>
    <row r="41" spans="1:8" x14ac:dyDescent="0.2">
      <c r="D41" s="197">
        <f>+D40*D39</f>
        <v>-35259</v>
      </c>
      <c r="F41" s="253"/>
      <c r="H41" s="197"/>
    </row>
    <row r="42" spans="1:8" x14ac:dyDescent="0.2">
      <c r="A42" s="57">
        <v>37042</v>
      </c>
      <c r="D42" s="420">
        <v>93484</v>
      </c>
      <c r="E42" s="57"/>
      <c r="H42" s="197"/>
    </row>
    <row r="43" spans="1:8" x14ac:dyDescent="0.2">
      <c r="A43" s="57">
        <v>37069</v>
      </c>
      <c r="D43" s="198">
        <f>+D42+D41</f>
        <v>58225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E14" sqref="E14"/>
    </sheetView>
    <sheetView workbookViewId="1">
      <selection activeCell="B13" sqref="B13"/>
    </sheetView>
    <sheetView workbookViewId="2">
      <selection activeCell="C5" sqref="C5"/>
    </sheetView>
    <sheetView topLeftCell="A30" workbookViewId="3">
      <selection activeCell="B52" sqref="B52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37042</v>
      </c>
      <c r="C5" s="418">
        <v>748349.6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37069</v>
      </c>
      <c r="G7" s="32"/>
      <c r="H7" s="15"/>
      <c r="I7" s="32"/>
      <c r="J7" s="32"/>
    </row>
    <row r="8" spans="1:10" x14ac:dyDescent="0.2">
      <c r="A8" s="254">
        <v>60874</v>
      </c>
      <c r="B8" s="424">
        <v>4202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426">
        <f>20928-29724</f>
        <v>-8796</v>
      </c>
      <c r="G10" s="32"/>
      <c r="H10" s="15"/>
      <c r="I10" s="32"/>
      <c r="J10" s="32"/>
    </row>
    <row r="11" spans="1:10" x14ac:dyDescent="0.2">
      <c r="A11" s="254">
        <v>500251</v>
      </c>
      <c r="B11" s="354">
        <f>13759-16424</f>
        <v>-2665</v>
      </c>
      <c r="G11" s="32"/>
      <c r="H11" s="15"/>
      <c r="I11" s="32"/>
      <c r="J11" s="32"/>
    </row>
    <row r="12" spans="1:10" x14ac:dyDescent="0.2">
      <c r="A12" s="254">
        <v>500254</v>
      </c>
      <c r="B12" s="354">
        <f>1618-3353</f>
        <v>-1735</v>
      </c>
      <c r="G12" s="32"/>
      <c r="H12" s="15"/>
      <c r="I12" s="32"/>
      <c r="J12" s="32"/>
    </row>
    <row r="13" spans="1:10" x14ac:dyDescent="0.2">
      <c r="A13" s="32">
        <v>500255</v>
      </c>
      <c r="B13" s="354">
        <f>13556-14112</f>
        <v>-556</v>
      </c>
      <c r="G13" s="32"/>
      <c r="H13" s="15"/>
      <c r="I13" s="32"/>
      <c r="J13" s="32"/>
    </row>
    <row r="14" spans="1:10" x14ac:dyDescent="0.2">
      <c r="A14" s="32">
        <v>500262</v>
      </c>
      <c r="B14" s="354">
        <f>3217-6308</f>
        <v>-3091</v>
      </c>
      <c r="G14" s="32"/>
      <c r="H14" s="15"/>
      <c r="I14" s="32"/>
      <c r="J14" s="32"/>
    </row>
    <row r="15" spans="1:10" x14ac:dyDescent="0.2">
      <c r="A15" s="292">
        <v>500267</v>
      </c>
      <c r="B15" s="425">
        <f>1611421-1547825</f>
        <v>63596</v>
      </c>
      <c r="G15" s="32"/>
      <c r="H15" s="15"/>
      <c r="I15" s="32"/>
      <c r="J15" s="32"/>
    </row>
    <row r="16" spans="1:10" x14ac:dyDescent="0.2">
      <c r="B16" s="14">
        <f>SUM(B8:B15)</f>
        <v>50955</v>
      </c>
      <c r="G16" s="32"/>
      <c r="H16" s="15"/>
      <c r="I16" s="32"/>
      <c r="J16" s="32"/>
    </row>
    <row r="17" spans="1:10" x14ac:dyDescent="0.2">
      <c r="B17" s="15">
        <f>+B30</f>
        <v>3.22</v>
      </c>
      <c r="C17" s="201">
        <f>+B17*B16</f>
        <v>164075.1</v>
      </c>
      <c r="G17" s="32"/>
      <c r="H17" s="15"/>
      <c r="I17" s="32"/>
      <c r="J17" s="32"/>
    </row>
    <row r="18" spans="1:10" x14ac:dyDescent="0.2">
      <c r="C18" s="363">
        <f>+C17+C5</f>
        <v>912424.7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37042</v>
      </c>
      <c r="C24" s="418">
        <v>275313.71999999997</v>
      </c>
      <c r="G24" s="32"/>
      <c r="H24" s="15"/>
      <c r="I24" s="32"/>
      <c r="J24" s="32"/>
    </row>
    <row r="25" spans="1:10" x14ac:dyDescent="0.2">
      <c r="F25" s="269"/>
      <c r="G25" s="32"/>
      <c r="H25" s="15"/>
      <c r="I25" s="32"/>
      <c r="J25" s="32"/>
    </row>
    <row r="26" spans="1:10" x14ac:dyDescent="0.2">
      <c r="A26" s="57">
        <v>37069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3.22</v>
      </c>
      <c r="C30" s="201">
        <f>+B30*B29</f>
        <v>0</v>
      </c>
    </row>
    <row r="31" spans="1:10" x14ac:dyDescent="0.2">
      <c r="C31" s="363">
        <f>+C30+C24</f>
        <v>275313.71999999997</v>
      </c>
      <c r="E31" s="15"/>
    </row>
    <row r="33" spans="1:6" x14ac:dyDescent="0.2">
      <c r="E33" s="274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37042</v>
      </c>
      <c r="C38" s="418">
        <v>663620.68999999994</v>
      </c>
      <c r="E38" s="15"/>
      <c r="F38" s="269"/>
    </row>
    <row r="40" spans="1:6" x14ac:dyDescent="0.2">
      <c r="A40" s="250">
        <v>37069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8141</v>
      </c>
    </row>
    <row r="43" spans="1:6" x14ac:dyDescent="0.2">
      <c r="A43" s="32">
        <v>500392</v>
      </c>
      <c r="B43" s="258">
        <v>1949</v>
      </c>
    </row>
    <row r="44" spans="1:6" x14ac:dyDescent="0.2">
      <c r="B44" s="14">
        <f>SUM(B41:B43)</f>
        <v>10090</v>
      </c>
    </row>
    <row r="45" spans="1:6" x14ac:dyDescent="0.2">
      <c r="B45" s="201">
        <f>+B30</f>
        <v>3.22</v>
      </c>
      <c r="C45" s="201">
        <f>+B45*B44</f>
        <v>32489.800000000003</v>
      </c>
    </row>
    <row r="46" spans="1:6" x14ac:dyDescent="0.2">
      <c r="C46" s="363">
        <f>+C45+C38</f>
        <v>696110.49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1"/>
      <c r="E49" s="217"/>
    </row>
    <row r="50" spans="1:9" x14ac:dyDescent="0.2">
      <c r="A50" s="32" t="s">
        <v>94</v>
      </c>
      <c r="C50" s="255"/>
    </row>
    <row r="51" spans="1:9" x14ac:dyDescent="0.2">
      <c r="A51" s="32">
        <v>21665</v>
      </c>
      <c r="B51" s="15" t="s">
        <v>151</v>
      </c>
      <c r="C51" s="417">
        <v>73449.16</v>
      </c>
      <c r="D51" s="32" t="s">
        <v>130</v>
      </c>
      <c r="E51" s="50"/>
    </row>
    <row r="52" spans="1:9" x14ac:dyDescent="0.2">
      <c r="A52" s="32">
        <v>22664</v>
      </c>
      <c r="B52" s="15" t="s">
        <v>151</v>
      </c>
      <c r="C52" s="416">
        <v>23612.35</v>
      </c>
      <c r="D52" s="32" t="s">
        <v>131</v>
      </c>
    </row>
    <row r="53" spans="1:9" x14ac:dyDescent="0.2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">
      <c r="A54" s="32">
        <v>25873</v>
      </c>
      <c r="C54" s="406">
        <v>-259</v>
      </c>
      <c r="D54" s="15"/>
      <c r="H54" s="15"/>
    </row>
    <row r="55" spans="1:9" x14ac:dyDescent="0.2">
      <c r="A55" s="32">
        <v>26758</v>
      </c>
      <c r="C55" s="47">
        <v>-596</v>
      </c>
      <c r="D55" s="15"/>
      <c r="H55" s="15"/>
    </row>
    <row r="56" spans="1:9" x14ac:dyDescent="0.2">
      <c r="A56" s="32">
        <v>26372</v>
      </c>
      <c r="C56" s="47">
        <v>2997.09</v>
      </c>
      <c r="D56" s="15"/>
      <c r="H56" s="15"/>
    </row>
    <row r="57" spans="1:9" x14ac:dyDescent="0.2">
      <c r="A57" s="32">
        <v>26700</v>
      </c>
      <c r="C57" s="47">
        <v>4077.9</v>
      </c>
      <c r="D57" s="15"/>
      <c r="H57" s="352"/>
    </row>
    <row r="58" spans="1:9" x14ac:dyDescent="0.2">
      <c r="A58" s="32">
        <v>26422</v>
      </c>
      <c r="C58" s="47">
        <v>8155.8</v>
      </c>
      <c r="D58" s="15"/>
      <c r="H58" s="47"/>
    </row>
    <row r="59" spans="1:9" x14ac:dyDescent="0.2">
      <c r="A59" s="32">
        <v>26661</v>
      </c>
      <c r="C59" s="47">
        <v>146862.35</v>
      </c>
      <c r="D59" s="15"/>
      <c r="H59" s="367"/>
      <c r="I59" s="32"/>
    </row>
    <row r="60" spans="1:9" x14ac:dyDescent="0.2">
      <c r="A60" s="32">
        <v>27291</v>
      </c>
      <c r="C60" s="47">
        <v>-17965</v>
      </c>
      <c r="D60" s="15"/>
    </row>
    <row r="61" spans="1:9" x14ac:dyDescent="0.2">
      <c r="A61" s="32">
        <v>27123</v>
      </c>
      <c r="C61" s="353">
        <v>-6425.19</v>
      </c>
      <c r="D61" s="15"/>
    </row>
    <row r="62" spans="1:9" x14ac:dyDescent="0.2">
      <c r="C62" s="352">
        <f>+C18+C31+C46+C51+C52+C53+C54+C55+C56+C57+C58+C59+C60+C61</f>
        <v>2101964.37</v>
      </c>
    </row>
    <row r="63" spans="1:9" x14ac:dyDescent="0.2">
      <c r="C63" s="352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20" workbookViewId="3">
      <selection activeCell="B25" sqref="B25"/>
    </sheetView>
  </sheetViews>
  <sheetFormatPr defaultRowHeight="12.75" x14ac:dyDescent="0.2"/>
  <cols>
    <col min="3" max="3" width="9.85546875" bestFit="1" customWidth="1"/>
    <col min="6" max="6" width="12.28515625" bestFit="1" customWidth="1"/>
    <col min="8" max="8" width="9.5703125" bestFit="1" customWidth="1"/>
    <col min="9" max="9" width="12.7109375" customWidth="1"/>
  </cols>
  <sheetData>
    <row r="1" spans="1:8" x14ac:dyDescent="0.2">
      <c r="A1" s="54"/>
      <c r="B1" s="349">
        <v>23995</v>
      </c>
      <c r="C1" s="236"/>
      <c r="D1" s="348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">
      <c r="A7" s="10">
        <v>4</v>
      </c>
      <c r="B7" s="11"/>
      <c r="C7" s="11"/>
      <c r="D7" s="129">
        <v>24410</v>
      </c>
      <c r="E7" s="11">
        <v>23536</v>
      </c>
      <c r="F7" s="11">
        <f t="shared" si="0"/>
        <v>-874</v>
      </c>
      <c r="G7" s="11"/>
      <c r="H7" s="24"/>
    </row>
    <row r="8" spans="1:8" x14ac:dyDescent="0.2">
      <c r="A8" s="10">
        <v>5</v>
      </c>
      <c r="B8" s="11"/>
      <c r="C8" s="11"/>
      <c r="D8" s="11">
        <v>24215</v>
      </c>
      <c r="E8" s="11">
        <v>23536</v>
      </c>
      <c r="F8" s="11">
        <f t="shared" si="0"/>
        <v>-679</v>
      </c>
      <c r="G8" s="11"/>
      <c r="H8" s="24"/>
    </row>
    <row r="9" spans="1:8" x14ac:dyDescent="0.2">
      <c r="A9" s="10">
        <v>6</v>
      </c>
      <c r="B9" s="11"/>
      <c r="C9" s="11"/>
      <c r="D9" s="11">
        <v>23942</v>
      </c>
      <c r="E9" s="11">
        <v>23536</v>
      </c>
      <c r="F9" s="11">
        <f t="shared" si="0"/>
        <v>-406</v>
      </c>
      <c r="G9" s="11"/>
      <c r="H9" s="24"/>
    </row>
    <row r="10" spans="1:8" x14ac:dyDescent="0.2">
      <c r="A10" s="10">
        <v>7</v>
      </c>
      <c r="B10" s="11"/>
      <c r="C10" s="11"/>
      <c r="D10" s="11">
        <v>24284</v>
      </c>
      <c r="E10" s="11">
        <v>23536</v>
      </c>
      <c r="F10" s="11">
        <f t="shared" si="0"/>
        <v>-748</v>
      </c>
      <c r="G10" s="11"/>
      <c r="H10" s="24"/>
    </row>
    <row r="11" spans="1:8" x14ac:dyDescent="0.2">
      <c r="A11" s="10">
        <v>8</v>
      </c>
      <c r="B11" s="11"/>
      <c r="C11" s="11"/>
      <c r="D11" s="11">
        <v>24202</v>
      </c>
      <c r="E11" s="11">
        <v>23536</v>
      </c>
      <c r="F11" s="11">
        <f t="shared" si="0"/>
        <v>-666</v>
      </c>
      <c r="G11" s="11"/>
      <c r="H11" s="24"/>
    </row>
    <row r="12" spans="1:8" x14ac:dyDescent="0.2">
      <c r="A12" s="10">
        <v>9</v>
      </c>
      <c r="B12" s="11"/>
      <c r="C12" s="11"/>
      <c r="D12" s="11">
        <v>24336</v>
      </c>
      <c r="E12" s="11">
        <v>22111</v>
      </c>
      <c r="F12" s="11">
        <f t="shared" si="0"/>
        <v>-2225</v>
      </c>
      <c r="G12" s="11"/>
      <c r="H12" s="24"/>
    </row>
    <row r="13" spans="1:8" x14ac:dyDescent="0.2">
      <c r="A13" s="10">
        <v>10</v>
      </c>
      <c r="B13" s="11"/>
      <c r="C13" s="11"/>
      <c r="D13" s="11">
        <v>24289</v>
      </c>
      <c r="E13" s="11">
        <v>22111</v>
      </c>
      <c r="F13" s="11">
        <f t="shared" si="0"/>
        <v>-2178</v>
      </c>
      <c r="G13" s="11"/>
      <c r="H13" s="24"/>
    </row>
    <row r="14" spans="1:8" x14ac:dyDescent="0.2">
      <c r="A14" s="10">
        <v>11</v>
      </c>
      <c r="B14" s="11"/>
      <c r="C14" s="11"/>
      <c r="D14" s="11">
        <v>23616</v>
      </c>
      <c r="E14" s="11">
        <v>23536</v>
      </c>
      <c r="F14" s="11">
        <f t="shared" si="0"/>
        <v>-80</v>
      </c>
      <c r="G14" s="11"/>
      <c r="H14" s="24"/>
    </row>
    <row r="15" spans="1:8" x14ac:dyDescent="0.2">
      <c r="A15" s="10">
        <v>12</v>
      </c>
      <c r="B15" s="11"/>
      <c r="C15" s="11"/>
      <c r="D15" s="11">
        <v>24159</v>
      </c>
      <c r="E15" s="11">
        <v>23536</v>
      </c>
      <c r="F15" s="11">
        <f t="shared" si="0"/>
        <v>-623</v>
      </c>
      <c r="G15" s="11"/>
      <c r="H15" s="24"/>
    </row>
    <row r="16" spans="1:8" x14ac:dyDescent="0.2">
      <c r="A16" s="10">
        <v>13</v>
      </c>
      <c r="B16" s="11"/>
      <c r="C16" s="11"/>
      <c r="D16" s="11">
        <v>23867</v>
      </c>
      <c r="E16" s="11">
        <v>23536</v>
      </c>
      <c r="F16" s="11">
        <f t="shared" si="0"/>
        <v>-331</v>
      </c>
      <c r="G16" s="11"/>
      <c r="H16" s="24"/>
    </row>
    <row r="17" spans="1:8" x14ac:dyDescent="0.2">
      <c r="A17" s="10">
        <v>14</v>
      </c>
      <c r="B17" s="11"/>
      <c r="C17" s="11"/>
      <c r="D17" s="11">
        <v>24042</v>
      </c>
      <c r="E17" s="11">
        <v>23536</v>
      </c>
      <c r="F17" s="11">
        <f t="shared" si="0"/>
        <v>-506</v>
      </c>
      <c r="G17" s="11"/>
      <c r="H17" s="24"/>
    </row>
    <row r="18" spans="1:8" x14ac:dyDescent="0.2">
      <c r="A18" s="10">
        <v>15</v>
      </c>
      <c r="B18" s="11">
        <v>18</v>
      </c>
      <c r="C18" s="11"/>
      <c r="D18" s="11">
        <v>23819</v>
      </c>
      <c r="E18" s="11">
        <v>23278</v>
      </c>
      <c r="F18" s="11">
        <f t="shared" si="0"/>
        <v>-559</v>
      </c>
      <c r="G18" s="11"/>
      <c r="H18" s="24"/>
    </row>
    <row r="19" spans="1:8" x14ac:dyDescent="0.2">
      <c r="A19" s="10">
        <v>16</v>
      </c>
      <c r="B19" s="11">
        <v>232</v>
      </c>
      <c r="C19" s="11"/>
      <c r="D19" s="11">
        <v>21454</v>
      </c>
      <c r="E19" s="11">
        <v>20542</v>
      </c>
      <c r="F19" s="11">
        <f t="shared" si="0"/>
        <v>-1144</v>
      </c>
      <c r="G19" s="11"/>
      <c r="H19" s="24"/>
    </row>
    <row r="20" spans="1:8" x14ac:dyDescent="0.2">
      <c r="A20" s="10">
        <v>17</v>
      </c>
      <c r="B20" s="11">
        <v>771</v>
      </c>
      <c r="C20" s="11"/>
      <c r="D20" s="11">
        <v>20772</v>
      </c>
      <c r="E20" s="11">
        <v>21043</v>
      </c>
      <c r="F20" s="11">
        <f t="shared" si="0"/>
        <v>-500</v>
      </c>
      <c r="G20" s="11"/>
      <c r="H20" s="24"/>
    </row>
    <row r="21" spans="1:8" x14ac:dyDescent="0.2">
      <c r="A21" s="10">
        <v>18</v>
      </c>
      <c r="B21" s="129">
        <v>133</v>
      </c>
      <c r="C21" s="11"/>
      <c r="D21" s="11">
        <v>23091</v>
      </c>
      <c r="E21" s="11">
        <v>23536</v>
      </c>
      <c r="F21" s="11">
        <f t="shared" si="0"/>
        <v>312</v>
      </c>
      <c r="G21" s="11"/>
      <c r="H21" s="24"/>
    </row>
    <row r="22" spans="1:8" x14ac:dyDescent="0.2">
      <c r="A22" s="10">
        <v>19</v>
      </c>
      <c r="B22" s="11"/>
      <c r="C22" s="11"/>
      <c r="D22" s="11">
        <v>24168</v>
      </c>
      <c r="E22" s="11">
        <v>24000</v>
      </c>
      <c r="F22" s="11">
        <f t="shared" si="0"/>
        <v>-168</v>
      </c>
      <c r="G22" s="11"/>
      <c r="H22" s="24"/>
    </row>
    <row r="23" spans="1:8" x14ac:dyDescent="0.2">
      <c r="A23" s="10">
        <v>20</v>
      </c>
      <c r="B23" s="11"/>
      <c r="C23" s="11"/>
      <c r="D23" s="11">
        <v>24583</v>
      </c>
      <c r="E23" s="11">
        <v>24000</v>
      </c>
      <c r="F23" s="11">
        <f t="shared" si="0"/>
        <v>-583</v>
      </c>
      <c r="G23" s="11"/>
      <c r="H23" s="24"/>
    </row>
    <row r="24" spans="1:8" x14ac:dyDescent="0.2">
      <c r="A24" s="10">
        <v>21</v>
      </c>
      <c r="B24" s="11">
        <v>1</v>
      </c>
      <c r="C24" s="11"/>
      <c r="D24" s="11">
        <v>23992</v>
      </c>
      <c r="E24" s="11">
        <v>24000</v>
      </c>
      <c r="F24" s="11">
        <f t="shared" si="0"/>
        <v>7</v>
      </c>
      <c r="G24" s="11"/>
      <c r="H24" s="24"/>
    </row>
    <row r="25" spans="1:8" x14ac:dyDescent="0.2">
      <c r="A25" s="10">
        <v>22</v>
      </c>
      <c r="B25" s="11"/>
      <c r="C25" s="11"/>
      <c r="D25" s="11">
        <v>24502</v>
      </c>
      <c r="E25" s="11">
        <v>24000</v>
      </c>
      <c r="F25" s="11">
        <f t="shared" si="0"/>
        <v>-502</v>
      </c>
      <c r="G25" s="11"/>
      <c r="H25" s="24"/>
    </row>
    <row r="26" spans="1:8" x14ac:dyDescent="0.2">
      <c r="A26" s="10">
        <v>23</v>
      </c>
      <c r="B26" s="11"/>
      <c r="C26" s="11"/>
      <c r="D26" s="11">
        <v>24584</v>
      </c>
      <c r="E26" s="11">
        <v>22829</v>
      </c>
      <c r="F26" s="11">
        <f t="shared" si="0"/>
        <v>-1755</v>
      </c>
      <c r="G26" s="11"/>
      <c r="H26" s="24"/>
    </row>
    <row r="27" spans="1:8" x14ac:dyDescent="0.2">
      <c r="A27" s="10">
        <v>24</v>
      </c>
      <c r="B27" s="11"/>
      <c r="C27" s="11"/>
      <c r="D27" s="11">
        <v>24583</v>
      </c>
      <c r="E27" s="11">
        <v>22519</v>
      </c>
      <c r="F27" s="11">
        <f t="shared" si="0"/>
        <v>-2064</v>
      </c>
      <c r="G27" s="11"/>
      <c r="H27" s="24"/>
    </row>
    <row r="28" spans="1:8" x14ac:dyDescent="0.2">
      <c r="A28" s="10">
        <v>25</v>
      </c>
      <c r="B28" s="11"/>
      <c r="C28" s="11"/>
      <c r="D28" s="11">
        <v>24499</v>
      </c>
      <c r="E28" s="11">
        <v>24000</v>
      </c>
      <c r="F28" s="11">
        <f t="shared" si="0"/>
        <v>-499</v>
      </c>
      <c r="G28" s="11"/>
      <c r="H28" s="24"/>
    </row>
    <row r="29" spans="1:8" x14ac:dyDescent="0.2">
      <c r="A29" s="10">
        <v>26</v>
      </c>
      <c r="B29" s="11"/>
      <c r="C29" s="11"/>
      <c r="D29" s="11">
        <v>24299</v>
      </c>
      <c r="E29" s="11">
        <v>24000</v>
      </c>
      <c r="F29" s="11">
        <f t="shared" si="0"/>
        <v>-299</v>
      </c>
      <c r="G29" s="11"/>
      <c r="H29" s="24"/>
    </row>
    <row r="30" spans="1:8" x14ac:dyDescent="0.2">
      <c r="A30" s="10">
        <v>27</v>
      </c>
      <c r="B30" s="11"/>
      <c r="C30" s="11"/>
      <c r="D30" s="11">
        <v>24575</v>
      </c>
      <c r="E30" s="11">
        <v>24000</v>
      </c>
      <c r="F30" s="11">
        <f t="shared" si="0"/>
        <v>-575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1155</v>
      </c>
      <c r="C35" s="11">
        <f>SUM(C4:C34)</f>
        <v>0</v>
      </c>
      <c r="D35" s="11">
        <f>SUM(D4:D34)</f>
        <v>647503</v>
      </c>
      <c r="E35" s="11">
        <f>SUM(E4:E34)</f>
        <v>628865</v>
      </c>
      <c r="F35" s="11">
        <f>SUM(F4:F34)</f>
        <v>-19793</v>
      </c>
      <c r="G35" s="11"/>
      <c r="H35" s="11"/>
    </row>
    <row r="36" spans="1:8" x14ac:dyDescent="0.2">
      <c r="C36" s="25">
        <f>+C35-B35</f>
        <v>-1155</v>
      </c>
      <c r="E36" s="25">
        <f>+E35-D35</f>
        <v>-18638</v>
      </c>
      <c r="F36" s="25">
        <f>+E36+C36</f>
        <v>-19793</v>
      </c>
    </row>
    <row r="37" spans="1:8" x14ac:dyDescent="0.2">
      <c r="C37" s="350">
        <f>+summary!P12</f>
        <v>3.55</v>
      </c>
      <c r="E37" s="350">
        <f>+C37</f>
        <v>3.55</v>
      </c>
      <c r="F37" s="350">
        <f>+E37</f>
        <v>3.55</v>
      </c>
    </row>
    <row r="38" spans="1:8" x14ac:dyDescent="0.2">
      <c r="C38" s="138">
        <f>+C37*C36</f>
        <v>-4100.25</v>
      </c>
      <c r="E38" s="138">
        <f>+E37*E36</f>
        <v>-66164.899999999994</v>
      </c>
      <c r="F38" s="138">
        <f>+F37*F36</f>
        <v>-70265.149999999994</v>
      </c>
    </row>
    <row r="39" spans="1:8" x14ac:dyDescent="0.2">
      <c r="A39" s="57">
        <v>37042</v>
      </c>
      <c r="B39" s="2" t="s">
        <v>47</v>
      </c>
      <c r="C39" s="412">
        <v>-1023092.89</v>
      </c>
      <c r="D39" s="362"/>
      <c r="E39" s="412">
        <v>-366672.63</v>
      </c>
      <c r="F39" s="361">
        <f>+E39+C39</f>
        <v>-1389765.52</v>
      </c>
      <c r="G39" s="51"/>
      <c r="H39" s="24">
        <f>+F39+F44+F45+F46+F47+F48+F49</f>
        <v>-2019285.23</v>
      </c>
    </row>
    <row r="40" spans="1:8" x14ac:dyDescent="0.2">
      <c r="A40" s="57">
        <v>37069</v>
      </c>
      <c r="B40" s="2" t="s">
        <v>47</v>
      </c>
      <c r="C40" s="351">
        <f>+C39+C38</f>
        <v>-1027193.14</v>
      </c>
      <c r="D40" s="260"/>
      <c r="E40" s="351">
        <f>+E39+E38</f>
        <v>-432837.53</v>
      </c>
      <c r="F40" s="351">
        <f>+F39+F38</f>
        <v>-1460030.67</v>
      </c>
      <c r="G40" s="131"/>
      <c r="H40" s="131">
        <f>+Duke!C5+Duke!C24+Duke!C38+Duke!C51+Duke!C52+Duke!C53+Duke!C54+Duke!C55+Duke!C56+Duke!C57+Duke!C58+Duke!C59+Duke!C60+Duke!C61</f>
        <v>1905399.47</v>
      </c>
    </row>
    <row r="41" spans="1:8" x14ac:dyDescent="0.2">
      <c r="C41" s="377"/>
      <c r="D41" s="251"/>
      <c r="E41" s="251"/>
      <c r="F41" s="251"/>
      <c r="G41" s="251"/>
      <c r="H41" s="31">
        <f>+H40+H39</f>
        <v>-113885.76000000001</v>
      </c>
    </row>
    <row r="42" spans="1:8" x14ac:dyDescent="0.2">
      <c r="C42" s="251"/>
      <c r="D42" s="251"/>
      <c r="E42" s="251"/>
      <c r="F42" s="274"/>
      <c r="G42" s="251"/>
    </row>
    <row r="43" spans="1:8" x14ac:dyDescent="0.2">
      <c r="B43" s="12" t="s">
        <v>122</v>
      </c>
      <c r="C43" s="251"/>
      <c r="D43" s="251"/>
      <c r="E43" s="251"/>
      <c r="F43" s="274"/>
      <c r="G43" s="251"/>
    </row>
    <row r="44" spans="1:8" x14ac:dyDescent="0.2">
      <c r="B44" s="12">
        <v>22864</v>
      </c>
      <c r="C44" s="251"/>
      <c r="D44" s="251"/>
      <c r="E44" s="251"/>
      <c r="F44" s="418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418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378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418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418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16">
        <v>-635539.74</v>
      </c>
      <c r="G49" s="255" t="s">
        <v>132</v>
      </c>
    </row>
    <row r="50" spans="2:7" x14ac:dyDescent="0.2">
      <c r="C50" s="251"/>
      <c r="D50" s="251"/>
      <c r="E50" s="251"/>
      <c r="F50" s="379">
        <f>SUM(F40:F49)</f>
        <v>-2089550.38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153</v>
      </c>
      <c r="F52" s="138">
        <f>+Duke!C62</f>
        <v>2101964.37</v>
      </c>
    </row>
    <row r="54" spans="2:7" x14ac:dyDescent="0.2">
      <c r="F54" s="104">
        <f>+F52+F50</f>
        <v>12413.990000000224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2" workbookViewId="3">
      <selection activeCell="G30" sqref="G30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6274</v>
      </c>
      <c r="C8" s="11">
        <v>6163</v>
      </c>
      <c r="D8" s="11"/>
      <c r="E8" s="11"/>
      <c r="F8" s="11">
        <v>1156</v>
      </c>
      <c r="G8" s="11">
        <v>1178</v>
      </c>
      <c r="H8" s="11">
        <v>2098</v>
      </c>
      <c r="I8" s="11">
        <v>1619</v>
      </c>
      <c r="J8" s="25">
        <f>+C8-B8+E8-D8+G8-F8+I8-H8</f>
        <v>-568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6067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-265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5977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6222</v>
      </c>
      <c r="C13" s="11">
        <v>6163</v>
      </c>
      <c r="D13" s="11"/>
      <c r="E13" s="11"/>
      <c r="F13" s="11">
        <v>695</v>
      </c>
      <c r="G13" s="11">
        <v>1178</v>
      </c>
      <c r="H13" s="11">
        <v>1911</v>
      </c>
      <c r="I13" s="11">
        <v>1619</v>
      </c>
      <c r="J13" s="25">
        <f t="shared" si="0"/>
        <v>132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6569</v>
      </c>
      <c r="C14" s="11">
        <v>6163</v>
      </c>
      <c r="D14" s="11"/>
      <c r="E14" s="11"/>
      <c r="F14" s="11">
        <v>743</v>
      </c>
      <c r="G14" s="11">
        <v>1178</v>
      </c>
      <c r="H14" s="11">
        <v>2009</v>
      </c>
      <c r="I14" s="129">
        <v>1619</v>
      </c>
      <c r="J14" s="25">
        <f t="shared" si="0"/>
        <v>-361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6569</v>
      </c>
      <c r="C15" s="11">
        <v>6163</v>
      </c>
      <c r="D15" s="11"/>
      <c r="E15" s="11"/>
      <c r="F15" s="11">
        <v>923</v>
      </c>
      <c r="G15" s="11">
        <v>1178</v>
      </c>
      <c r="H15" s="11">
        <v>1207</v>
      </c>
      <c r="I15" s="11">
        <v>1619</v>
      </c>
      <c r="J15" s="25">
        <f t="shared" si="0"/>
        <v>261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6543</v>
      </c>
      <c r="C16" s="11">
        <v>6163</v>
      </c>
      <c r="D16" s="11"/>
      <c r="E16" s="11"/>
      <c r="F16" s="11">
        <v>848</v>
      </c>
      <c r="G16" s="11">
        <v>1178</v>
      </c>
      <c r="H16" s="11">
        <v>2085</v>
      </c>
      <c r="I16" s="11">
        <v>1619</v>
      </c>
      <c r="J16" s="25">
        <f t="shared" si="0"/>
        <v>-516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6466</v>
      </c>
      <c r="C17" s="11">
        <v>6163</v>
      </c>
      <c r="D17" s="11"/>
      <c r="E17" s="11"/>
      <c r="F17" s="11">
        <v>686</v>
      </c>
      <c r="G17" s="11">
        <v>1178</v>
      </c>
      <c r="H17" s="11">
        <v>2052</v>
      </c>
      <c r="I17" s="11">
        <v>1619</v>
      </c>
      <c r="J17" s="25">
        <f t="shared" si="0"/>
        <v>-244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6317</v>
      </c>
      <c r="C18" s="11">
        <v>6163</v>
      </c>
      <c r="D18" s="11"/>
      <c r="E18" s="11"/>
      <c r="F18" s="11">
        <v>238</v>
      </c>
      <c r="G18" s="11">
        <v>1178</v>
      </c>
      <c r="H18" s="11">
        <v>1968</v>
      </c>
      <c r="I18" s="11">
        <v>1619</v>
      </c>
      <c r="J18" s="25">
        <f t="shared" si="0"/>
        <v>437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1</v>
      </c>
      <c r="C19" s="11"/>
      <c r="D19" s="11"/>
      <c r="E19" s="11"/>
      <c r="F19" s="11">
        <v>875</v>
      </c>
      <c r="G19" s="11">
        <v>1178</v>
      </c>
      <c r="H19" s="11">
        <v>1999</v>
      </c>
      <c r="I19" s="11">
        <v>1619</v>
      </c>
      <c r="J19" s="25">
        <f t="shared" si="0"/>
        <v>-78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>
        <v>843</v>
      </c>
      <c r="G20" s="11">
        <v>1178</v>
      </c>
      <c r="H20" s="11">
        <v>1962</v>
      </c>
      <c r="I20" s="11">
        <v>1619</v>
      </c>
      <c r="J20" s="25">
        <f t="shared" si="0"/>
        <v>-8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>
        <v>1056</v>
      </c>
      <c r="G21" s="11">
        <v>1178</v>
      </c>
      <c r="H21" s="11">
        <v>1914</v>
      </c>
      <c r="I21" s="11">
        <v>1619</v>
      </c>
      <c r="J21" s="25">
        <f t="shared" si="0"/>
        <v>-173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>
        <v>805</v>
      </c>
      <c r="G22" s="11">
        <v>1178</v>
      </c>
      <c r="H22" s="11">
        <v>1974</v>
      </c>
      <c r="I22" s="11">
        <v>1619</v>
      </c>
      <c r="J22" s="25">
        <f t="shared" si="0"/>
        <v>18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>
        <v>823</v>
      </c>
      <c r="G23" s="11">
        <v>1178</v>
      </c>
      <c r="H23" s="11">
        <v>1941</v>
      </c>
      <c r="I23" s="11">
        <v>1619</v>
      </c>
      <c r="J23" s="25">
        <f t="shared" si="0"/>
        <v>33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>
        <v>1000</v>
      </c>
      <c r="G24" s="11">
        <v>1178</v>
      </c>
      <c r="H24" s="11">
        <v>1910</v>
      </c>
      <c r="I24" s="11">
        <v>1619</v>
      </c>
      <c r="J24" s="25">
        <f t="shared" si="0"/>
        <v>-113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>
        <v>414</v>
      </c>
      <c r="G25" s="11">
        <v>1178</v>
      </c>
      <c r="H25" s="11">
        <v>1874</v>
      </c>
      <c r="I25" s="11">
        <v>1619</v>
      </c>
      <c r="J25" s="25">
        <f t="shared" si="0"/>
        <v>509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>
        <v>1033</v>
      </c>
      <c r="G26" s="11">
        <v>1178</v>
      </c>
      <c r="H26" s="11">
        <v>1826</v>
      </c>
      <c r="I26" s="11">
        <v>1619</v>
      </c>
      <c r="J26" s="25">
        <f t="shared" si="0"/>
        <v>-62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>
        <v>1265</v>
      </c>
      <c r="G27" s="11">
        <v>1178</v>
      </c>
      <c r="H27" s="11">
        <v>1784</v>
      </c>
      <c r="I27" s="11">
        <v>1619</v>
      </c>
      <c r="J27" s="25">
        <f t="shared" si="0"/>
        <v>-252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>
        <v>1</v>
      </c>
      <c r="E28" s="11"/>
      <c r="F28" s="11">
        <v>1242</v>
      </c>
      <c r="G28" s="11">
        <v>1178</v>
      </c>
      <c r="H28" s="11">
        <v>1393</v>
      </c>
      <c r="I28" s="11">
        <v>1619</v>
      </c>
      <c r="J28" s="25">
        <f t="shared" si="0"/>
        <v>161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>
        <v>1325</v>
      </c>
      <c r="G29" s="11">
        <v>1178</v>
      </c>
      <c r="H29" s="11">
        <v>1384</v>
      </c>
      <c r="I29" s="11">
        <v>1619</v>
      </c>
      <c r="J29" s="25">
        <f t="shared" si="0"/>
        <v>88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>
        <v>1264</v>
      </c>
      <c r="G30" s="11">
        <v>1178</v>
      </c>
      <c r="H30" s="11">
        <v>1388</v>
      </c>
      <c r="I30" s="11">
        <v>1619</v>
      </c>
      <c r="J30" s="25">
        <f t="shared" si="0"/>
        <v>145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>
        <v>1328</v>
      </c>
      <c r="G31" s="11">
        <v>1178</v>
      </c>
      <c r="H31" s="11">
        <v>2001</v>
      </c>
      <c r="I31" s="11">
        <v>1619</v>
      </c>
      <c r="J31" s="25">
        <f t="shared" si="0"/>
        <v>-532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>
        <v>1200</v>
      </c>
      <c r="G32" s="11">
        <v>1178</v>
      </c>
      <c r="H32" s="11">
        <v>1937</v>
      </c>
      <c r="I32" s="11">
        <v>1619</v>
      </c>
      <c r="J32" s="25">
        <f t="shared" si="0"/>
        <v>-340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>
        <v>1236</v>
      </c>
      <c r="G33" s="11">
        <v>1178</v>
      </c>
      <c r="H33" s="11">
        <v>1747</v>
      </c>
      <c r="I33" s="11">
        <v>1619</v>
      </c>
      <c r="J33" s="25">
        <f t="shared" si="0"/>
        <v>-186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>
        <v>1228</v>
      </c>
      <c r="G34" s="11">
        <v>1178</v>
      </c>
      <c r="H34" s="11">
        <v>74</v>
      </c>
      <c r="I34" s="11">
        <v>1619</v>
      </c>
      <c r="J34" s="25">
        <f t="shared" si="0"/>
        <v>1495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69522</v>
      </c>
      <c r="C39" s="11">
        <f t="shared" si="1"/>
        <v>67793</v>
      </c>
      <c r="D39" s="11">
        <f t="shared" si="1"/>
        <v>1</v>
      </c>
      <c r="E39" s="11">
        <f t="shared" si="1"/>
        <v>0</v>
      </c>
      <c r="F39" s="11">
        <f t="shared" si="1"/>
        <v>25847</v>
      </c>
      <c r="G39" s="11">
        <f t="shared" si="1"/>
        <v>31806</v>
      </c>
      <c r="H39" s="11">
        <f t="shared" si="1"/>
        <v>48240</v>
      </c>
      <c r="I39" s="11">
        <f t="shared" si="1"/>
        <v>43713</v>
      </c>
      <c r="J39" s="25">
        <f t="shared" si="1"/>
        <v>-298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+summary!P11</f>
        <v>3.22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-959.56000000000006</v>
      </c>
      <c r="L41"/>
      <c r="R41" s="138"/>
      <c r="X41" s="138"/>
    </row>
    <row r="42" spans="1:24" x14ac:dyDescent="0.2">
      <c r="A42" s="57">
        <v>37042</v>
      </c>
      <c r="C42" s="15"/>
      <c r="J42" s="405">
        <v>362097.29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37069</v>
      </c>
      <c r="C43" s="48"/>
      <c r="J43" s="138">
        <f>+J42+J41</f>
        <v>361137.73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6" workbookViewId="3">
      <selection activeCell="D34" sqref="D3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12353</v>
      </c>
      <c r="C8" s="11">
        <v>11113</v>
      </c>
      <c r="D8" s="11">
        <v>-1</v>
      </c>
      <c r="E8" s="11"/>
      <c r="F8" s="25">
        <f>+C8-B8+E8-D8</f>
        <v>-1239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12672</v>
      </c>
      <c r="C9" s="11">
        <v>11039</v>
      </c>
      <c r="D9" s="11"/>
      <c r="E9" s="11"/>
      <c r="F9" s="25">
        <f t="shared" ref="F9:F38" si="0">+C9-B9+E9-D9</f>
        <v>-1633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12650</v>
      </c>
      <c r="C10" s="11">
        <v>11039</v>
      </c>
      <c r="D10" s="11">
        <v>-1</v>
      </c>
      <c r="E10" s="11"/>
      <c r="F10" s="25">
        <f t="shared" si="0"/>
        <v>-1610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12883</v>
      </c>
      <c r="C11" s="11">
        <v>11039</v>
      </c>
      <c r="D11" s="11">
        <v>-2</v>
      </c>
      <c r="E11" s="11"/>
      <c r="F11" s="25">
        <f t="shared" si="0"/>
        <v>-1842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13361</v>
      </c>
      <c r="C12" s="11">
        <v>11039</v>
      </c>
      <c r="D12" s="11">
        <v>-455</v>
      </c>
      <c r="E12" s="11"/>
      <c r="F12" s="25">
        <f t="shared" si="0"/>
        <v>-1867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13826</v>
      </c>
      <c r="C13" s="11">
        <v>11039</v>
      </c>
      <c r="D13" s="11">
        <v>-611</v>
      </c>
      <c r="E13" s="11"/>
      <c r="F13" s="25">
        <f t="shared" si="0"/>
        <v>-2176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13833</v>
      </c>
      <c r="C14" s="11">
        <v>11039</v>
      </c>
      <c r="D14" s="11">
        <v>-497</v>
      </c>
      <c r="E14" s="11"/>
      <c r="F14" s="25">
        <f t="shared" si="0"/>
        <v>-2297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13757</v>
      </c>
      <c r="C15" s="11">
        <v>11039</v>
      </c>
      <c r="D15" s="11">
        <v>-514</v>
      </c>
      <c r="E15" s="11"/>
      <c r="F15" s="25">
        <f t="shared" si="0"/>
        <v>-2204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13435</v>
      </c>
      <c r="C16" s="11">
        <v>10537</v>
      </c>
      <c r="D16" s="11">
        <v>-601</v>
      </c>
      <c r="E16" s="11"/>
      <c r="F16" s="25">
        <f t="shared" si="0"/>
        <v>-2297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13437</v>
      </c>
      <c r="C17" s="11">
        <v>10537</v>
      </c>
      <c r="D17" s="11">
        <v>-639</v>
      </c>
      <c r="E17" s="11"/>
      <c r="F17" s="25">
        <f t="shared" si="0"/>
        <v>-2261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13194</v>
      </c>
      <c r="C18" s="11">
        <v>11039</v>
      </c>
      <c r="D18" s="11">
        <v>-566</v>
      </c>
      <c r="E18" s="11"/>
      <c r="F18" s="25">
        <f t="shared" si="0"/>
        <v>-1589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13363</v>
      </c>
      <c r="C19" s="11">
        <v>11039</v>
      </c>
      <c r="D19" s="11">
        <v>-513</v>
      </c>
      <c r="E19" s="11"/>
      <c r="F19" s="25">
        <f t="shared" si="0"/>
        <v>-1811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13204</v>
      </c>
      <c r="C20" s="11">
        <v>11039</v>
      </c>
      <c r="D20" s="11">
        <v>-595</v>
      </c>
      <c r="E20" s="11"/>
      <c r="F20" s="25">
        <f t="shared" si="0"/>
        <v>-1570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13011</v>
      </c>
      <c r="C21" s="11">
        <v>11039</v>
      </c>
      <c r="D21" s="11">
        <v>-551</v>
      </c>
      <c r="E21" s="11"/>
      <c r="F21" s="25">
        <f t="shared" si="0"/>
        <v>-1421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13252</v>
      </c>
      <c r="C22" s="11">
        <v>10949</v>
      </c>
      <c r="D22" s="11">
        <v>-594</v>
      </c>
      <c r="E22" s="11"/>
      <c r="F22" s="25">
        <f t="shared" si="0"/>
        <v>-1709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13058</v>
      </c>
      <c r="C23" s="11">
        <v>10058</v>
      </c>
      <c r="D23" s="11">
        <v>-614</v>
      </c>
      <c r="E23" s="11"/>
      <c r="F23" s="25">
        <f t="shared" si="0"/>
        <v>-2386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13144</v>
      </c>
      <c r="C24" s="11">
        <v>10235</v>
      </c>
      <c r="D24" s="11">
        <v>-600</v>
      </c>
      <c r="E24" s="11"/>
      <c r="F24" s="25">
        <f t="shared" si="0"/>
        <v>-2309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13162</v>
      </c>
      <c r="C25" s="11">
        <v>10852</v>
      </c>
      <c r="D25" s="11">
        <v>-623</v>
      </c>
      <c r="E25" s="11"/>
      <c r="F25" s="25">
        <f t="shared" si="0"/>
        <v>-1687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11453</v>
      </c>
      <c r="C26" s="11">
        <v>11113</v>
      </c>
      <c r="D26" s="11">
        <v>-651</v>
      </c>
      <c r="E26" s="11"/>
      <c r="F26" s="25">
        <f t="shared" si="0"/>
        <v>311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11609</v>
      </c>
      <c r="C27" s="11">
        <v>11113</v>
      </c>
      <c r="D27" s="11">
        <v>-690</v>
      </c>
      <c r="E27" s="11"/>
      <c r="F27" s="25">
        <f t="shared" si="0"/>
        <v>194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11620</v>
      </c>
      <c r="C28" s="11">
        <v>11037</v>
      </c>
      <c r="D28" s="11">
        <v>-707</v>
      </c>
      <c r="E28" s="11"/>
      <c r="F28" s="25">
        <f t="shared" si="0"/>
        <v>124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>
        <v>12640</v>
      </c>
      <c r="C29" s="11">
        <v>11113</v>
      </c>
      <c r="D29" s="11">
        <v>-225</v>
      </c>
      <c r="E29" s="11"/>
      <c r="F29" s="25">
        <f t="shared" si="0"/>
        <v>-1302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>
        <v>12718</v>
      </c>
      <c r="C30" s="11">
        <v>10700</v>
      </c>
      <c r="D30" s="11">
        <v>-202</v>
      </c>
      <c r="E30" s="11"/>
      <c r="F30" s="25">
        <f t="shared" si="0"/>
        <v>-1816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>
        <v>12618</v>
      </c>
      <c r="C31" s="11">
        <v>10592</v>
      </c>
      <c r="D31" s="11">
        <v>-143</v>
      </c>
      <c r="E31" s="11"/>
      <c r="F31" s="25">
        <f t="shared" si="0"/>
        <v>-1883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>
        <v>12317</v>
      </c>
      <c r="C32" s="11">
        <v>11113</v>
      </c>
      <c r="D32" s="11">
        <v>-669</v>
      </c>
      <c r="E32" s="11"/>
      <c r="F32" s="25">
        <f t="shared" si="0"/>
        <v>-535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>
        <v>12004</v>
      </c>
      <c r="C33" s="11">
        <v>11113</v>
      </c>
      <c r="D33" s="11">
        <v>-6</v>
      </c>
      <c r="E33" s="11"/>
      <c r="F33" s="25">
        <f t="shared" si="0"/>
        <v>-885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>
        <v>12135</v>
      </c>
      <c r="C34" s="11">
        <v>10945</v>
      </c>
      <c r="D34" s="11"/>
      <c r="E34" s="11"/>
      <c r="F34" s="25">
        <f t="shared" si="0"/>
        <v>-1190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346709</v>
      </c>
      <c r="C39" s="11">
        <f>SUM(C8:C38)</f>
        <v>294549</v>
      </c>
      <c r="D39" s="11">
        <f>SUM(D8:D38)</f>
        <v>-11270</v>
      </c>
      <c r="E39" s="11">
        <f>SUM(E8:E38)</f>
        <v>0</v>
      </c>
      <c r="F39" s="11">
        <f>SUM(F8:F38)</f>
        <v>-40890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+summary!P11</f>
        <v>3.22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-131665.80000000002</v>
      </c>
      <c r="J41" s="138"/>
      <c r="N41" s="138"/>
      <c r="R41" s="138"/>
      <c r="V41" s="138"/>
      <c r="Z41" s="138"/>
    </row>
    <row r="42" spans="1:26" x14ac:dyDescent="0.2">
      <c r="A42" s="57">
        <v>37042</v>
      </c>
      <c r="C42" s="15"/>
      <c r="D42" s="15"/>
      <c r="E42" s="15"/>
      <c r="F42" s="413">
        <v>691849.47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37069</v>
      </c>
      <c r="C43" s="48"/>
      <c r="D43" s="48"/>
      <c r="E43" s="48"/>
      <c r="F43" s="110">
        <f>+F42+F41</f>
        <v>560183.66999999993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21" workbookViewId="3">
      <selection activeCell="G35" sqref="G35"/>
    </sheetView>
  </sheetViews>
  <sheetFormatPr defaultRowHeight="12.75" x14ac:dyDescent="0.2"/>
  <cols>
    <col min="1" max="1" width="22.5703125" style="297" customWidth="1"/>
    <col min="2" max="2" width="11.85546875" style="253" customWidth="1"/>
    <col min="3" max="3" width="11.28515625" style="298" customWidth="1"/>
    <col min="4" max="4" width="10.7109375" bestFit="1" customWidth="1"/>
    <col min="5" max="5" width="12" bestFit="1" customWidth="1"/>
    <col min="6" max="6" width="15.140625" customWidth="1"/>
  </cols>
  <sheetData>
    <row r="2" spans="1:20" ht="15.75" x14ac:dyDescent="0.25">
      <c r="A2" s="53" t="s">
        <v>96</v>
      </c>
    </row>
    <row r="3" spans="1:20" ht="15.75" x14ac:dyDescent="0.25">
      <c r="A3" s="53" t="s">
        <v>91</v>
      </c>
    </row>
    <row r="4" spans="1:20" ht="15" customHeight="1" x14ac:dyDescent="0.25">
      <c r="A4" s="53" t="s">
        <v>93</v>
      </c>
    </row>
    <row r="5" spans="1:20" ht="15" customHeight="1" x14ac:dyDescent="0.25">
      <c r="A5" s="53" t="s">
        <v>92</v>
      </c>
    </row>
    <row r="6" spans="1:20" ht="20.100000000000001" customHeight="1" x14ac:dyDescent="0.25">
      <c r="A6" s="392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+'[1]0601'!$K$39</f>
        <v>2.58</v>
      </c>
    </row>
    <row r="11" spans="1:20" ht="18" customHeight="1" x14ac:dyDescent="0.2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+'[1]0601'!$M$39</f>
        <v>3.22</v>
      </c>
    </row>
    <row r="12" spans="1:20" ht="18" customHeight="1" x14ac:dyDescent="0.2">
      <c r="A12" s="356" t="s">
        <v>95</v>
      </c>
      <c r="B12" s="374">
        <f>+NNG!$D$24</f>
        <v>1028251.0800000001</v>
      </c>
      <c r="C12" s="386">
        <f>+B12/$P$11</f>
        <v>319332.63354037266</v>
      </c>
      <c r="D12" s="317">
        <f>+NNG!A24</f>
        <v>37069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3.55</v>
      </c>
    </row>
    <row r="13" spans="1:20" ht="15.95" customHeight="1" x14ac:dyDescent="0.2">
      <c r="A13" s="355" t="s">
        <v>145</v>
      </c>
      <c r="B13" s="374">
        <f>+SidR!D41</f>
        <v>867711.38</v>
      </c>
      <c r="C13" s="386">
        <f>+B13/$P$11</f>
        <v>269475.58385093167</v>
      </c>
      <c r="D13" s="65">
        <f>+SidR!A41</f>
        <v>37069</v>
      </c>
      <c r="E13" t="s">
        <v>90</v>
      </c>
      <c r="F13" t="s">
        <v>112</v>
      </c>
      <c r="G13" t="s">
        <v>171</v>
      </c>
    </row>
    <row r="14" spans="1:20" ht="15.95" customHeight="1" x14ac:dyDescent="0.2">
      <c r="A14" s="356" t="s">
        <v>30</v>
      </c>
      <c r="B14" s="374">
        <f>+C14*$P$10</f>
        <v>786273.06</v>
      </c>
      <c r="C14" s="386">
        <f>+williams!J40</f>
        <v>304757</v>
      </c>
      <c r="D14" s="317">
        <f>+williams!A40</f>
        <v>37069</v>
      </c>
      <c r="E14" s="314" t="s">
        <v>89</v>
      </c>
      <c r="F14" s="314" t="s">
        <v>125</v>
      </c>
      <c r="G14" t="s">
        <v>167</v>
      </c>
    </row>
    <row r="15" spans="1:20" ht="15.95" customHeight="1" x14ac:dyDescent="0.2">
      <c r="A15" s="355" t="s">
        <v>87</v>
      </c>
      <c r="B15" s="374">
        <f>+PNM!$D$23</f>
        <v>714387.42999999993</v>
      </c>
      <c r="C15" s="386">
        <f>+B15/$P$11</f>
        <v>221859.45031055898</v>
      </c>
      <c r="D15" s="65">
        <f>+PNM!A23</f>
        <v>37069</v>
      </c>
      <c r="E15" t="s">
        <v>90</v>
      </c>
      <c r="F15" t="s">
        <v>108</v>
      </c>
      <c r="G15" t="s">
        <v>172</v>
      </c>
    </row>
    <row r="16" spans="1:20" ht="15.95" customHeight="1" x14ac:dyDescent="0.2">
      <c r="A16" s="355" t="s">
        <v>25</v>
      </c>
      <c r="B16" s="368">
        <f>+'Red C'!$F$43</f>
        <v>668641.16</v>
      </c>
      <c r="C16" s="369">
        <f>+B16/$P$10</f>
        <v>259163.24031007753</v>
      </c>
      <c r="D16" s="317">
        <f>+'Red C'!B43</f>
        <v>37069</v>
      </c>
      <c r="E16" t="s">
        <v>90</v>
      </c>
      <c r="F16" t="s">
        <v>125</v>
      </c>
      <c r="T16" s="269"/>
    </row>
    <row r="17" spans="1:20" ht="15.95" customHeight="1" x14ac:dyDescent="0.2">
      <c r="A17" s="355" t="s">
        <v>97</v>
      </c>
      <c r="B17" s="374">
        <f>+C17*$P$11</f>
        <v>577977.12</v>
      </c>
      <c r="C17" s="386">
        <f>+NGPL!F38</f>
        <v>179496</v>
      </c>
      <c r="D17" s="65">
        <f>+NGPL!A38</f>
        <v>37069</v>
      </c>
      <c r="E17" t="s">
        <v>89</v>
      </c>
      <c r="F17" t="s">
        <v>125</v>
      </c>
      <c r="T17" s="269"/>
    </row>
    <row r="18" spans="1:20" ht="15.95" customHeight="1" x14ac:dyDescent="0.2">
      <c r="A18" s="355" t="s">
        <v>3</v>
      </c>
      <c r="B18" s="374">
        <f>+'Amoco Abo'!$F$43</f>
        <v>560183.66999999993</v>
      </c>
      <c r="C18" s="386">
        <f>+B18/$P$11</f>
        <v>173970.08385093164</v>
      </c>
      <c r="D18" s="65">
        <f>+'Amoco Abo'!A43</f>
        <v>37069</v>
      </c>
      <c r="E18" t="s">
        <v>90</v>
      </c>
      <c r="F18" t="s">
        <v>109</v>
      </c>
    </row>
    <row r="19" spans="1:20" ht="15.95" customHeight="1" x14ac:dyDescent="0.2">
      <c r="A19" s="355" t="s">
        <v>84</v>
      </c>
      <c r="B19" s="374">
        <f>+Conoco!$F$41</f>
        <v>557234.25</v>
      </c>
      <c r="C19" s="386">
        <f>+B19/$P$10</f>
        <v>215982.26744186046</v>
      </c>
      <c r="D19" s="317">
        <f>+Conoco!A41</f>
        <v>37069</v>
      </c>
      <c r="E19" t="s">
        <v>90</v>
      </c>
      <c r="F19" t="s">
        <v>109</v>
      </c>
      <c r="G19" t="s">
        <v>168</v>
      </c>
    </row>
    <row r="20" spans="1:20" ht="15.95" customHeight="1" x14ac:dyDescent="0.2">
      <c r="A20" s="355" t="s">
        <v>117</v>
      </c>
      <c r="B20" s="374">
        <f>+KN_Westar!F41</f>
        <v>519682.55</v>
      </c>
      <c r="C20" s="386">
        <f>+B20/$P$11</f>
        <v>161392.09627329191</v>
      </c>
      <c r="D20" s="65">
        <f>+KN_Westar!A41</f>
        <v>37069</v>
      </c>
      <c r="E20" t="s">
        <v>90</v>
      </c>
      <c r="F20" t="s">
        <v>110</v>
      </c>
    </row>
    <row r="21" spans="1:20" ht="15.95" customHeight="1" x14ac:dyDescent="0.2">
      <c r="A21" s="355" t="s">
        <v>35</v>
      </c>
      <c r="B21" s="374">
        <f>+'El Paso'!E38*summary!P10+'El Paso'!C38*summary!P11</f>
        <v>517617.33999999997</v>
      </c>
      <c r="C21" s="386">
        <f>+'El Paso'!H38</f>
        <v>188099</v>
      </c>
      <c r="D21" s="65">
        <f>+'El Paso'!A38</f>
        <v>37069</v>
      </c>
      <c r="E21" t="s">
        <v>89</v>
      </c>
      <c r="F21" t="s">
        <v>110</v>
      </c>
      <c r="G21" t="s">
        <v>129</v>
      </c>
    </row>
    <row r="22" spans="1:20" ht="15.95" customHeight="1" x14ac:dyDescent="0.2">
      <c r="A22" s="355" t="s">
        <v>113</v>
      </c>
      <c r="B22" s="374">
        <f>+EOG!J41</f>
        <v>379090.39</v>
      </c>
      <c r="C22" s="386">
        <f>+B22/$P$11</f>
        <v>117729.93478260869</v>
      </c>
      <c r="D22" s="317">
        <f>+EOG!A41</f>
        <v>37069</v>
      </c>
      <c r="E22" t="s">
        <v>90</v>
      </c>
      <c r="F22" t="s">
        <v>112</v>
      </c>
    </row>
    <row r="23" spans="1:20" ht="15.95" customHeight="1" x14ac:dyDescent="0.2">
      <c r="A23" s="355" t="s">
        <v>2</v>
      </c>
      <c r="B23" s="374">
        <f>+mewborne!$J$43</f>
        <v>361137.73</v>
      </c>
      <c r="C23" s="386">
        <f>+B23/$P$11</f>
        <v>112154.57453416148</v>
      </c>
      <c r="D23" s="65">
        <f>+mewborne!A43</f>
        <v>37069</v>
      </c>
      <c r="E23" t="s">
        <v>90</v>
      </c>
      <c r="F23" t="s">
        <v>109</v>
      </c>
    </row>
    <row r="24" spans="1:20" ht="15.95" customHeight="1" x14ac:dyDescent="0.2">
      <c r="A24" s="355" t="s">
        <v>120</v>
      </c>
      <c r="B24" s="374">
        <f>+CIG!D43</f>
        <v>326755</v>
      </c>
      <c r="C24" s="386">
        <f>+B24/$P$11</f>
        <v>101476.70807453415</v>
      </c>
      <c r="D24" s="65">
        <f>+CIG!A43</f>
        <v>37069</v>
      </c>
      <c r="E24" t="s">
        <v>90</v>
      </c>
      <c r="F24" t="s">
        <v>123</v>
      </c>
      <c r="G24" t="s">
        <v>139</v>
      </c>
    </row>
    <row r="25" spans="1:20" ht="15.95" customHeight="1" x14ac:dyDescent="0.2">
      <c r="A25" s="355" t="s">
        <v>141</v>
      </c>
      <c r="B25" s="374">
        <f>+PGETX!$H$39</f>
        <v>296522.76</v>
      </c>
      <c r="C25" s="386">
        <f>+B25/$P$11</f>
        <v>92087.813664596266</v>
      </c>
      <c r="D25" s="65">
        <f>+PGETX!E39</f>
        <v>37069</v>
      </c>
      <c r="E25" t="s">
        <v>90</v>
      </c>
      <c r="F25" t="s">
        <v>112</v>
      </c>
    </row>
    <row r="26" spans="1:20" ht="15.95" customHeight="1" x14ac:dyDescent="0.2">
      <c r="A26" s="355" t="s">
        <v>33</v>
      </c>
      <c r="B26" s="374">
        <f>+C26*$P$11</f>
        <v>216905.64</v>
      </c>
      <c r="C26" s="386">
        <f>+Lonestar!F42</f>
        <v>67362</v>
      </c>
      <c r="D26" s="317">
        <f>+Lonestar!B42</f>
        <v>37069</v>
      </c>
      <c r="E26" t="s">
        <v>89</v>
      </c>
      <c r="F26" t="s">
        <v>112</v>
      </c>
    </row>
    <row r="27" spans="1:20" ht="15.95" customHeight="1" x14ac:dyDescent="0.2">
      <c r="A27" s="355" t="s">
        <v>159</v>
      </c>
      <c r="B27" s="368">
        <f>+C27*$P$11</f>
        <v>174127.94</v>
      </c>
      <c r="C27" s="369">
        <f>+PEPL!D41</f>
        <v>54077</v>
      </c>
      <c r="D27" s="65">
        <f>+PEPL!A41</f>
        <v>37069</v>
      </c>
      <c r="E27" t="s">
        <v>89</v>
      </c>
      <c r="F27" t="s">
        <v>112</v>
      </c>
      <c r="G27" t="s">
        <v>158</v>
      </c>
    </row>
    <row r="28" spans="1:20" ht="15.95" customHeight="1" x14ac:dyDescent="0.2">
      <c r="A28" s="355" t="s">
        <v>7</v>
      </c>
      <c r="B28" s="374">
        <f>+C28*$P$10</f>
        <v>164885.22</v>
      </c>
      <c r="C28" s="386">
        <f>+Amoco!D40</f>
        <v>63909</v>
      </c>
      <c r="D28" s="65">
        <f>+Amoco!A40</f>
        <v>37069</v>
      </c>
      <c r="E28" t="s">
        <v>89</v>
      </c>
      <c r="F28" t="s">
        <v>125</v>
      </c>
    </row>
    <row r="29" spans="1:20" ht="15.95" customHeight="1" x14ac:dyDescent="0.2">
      <c r="A29" s="356" t="s">
        <v>83</v>
      </c>
      <c r="B29" s="374">
        <f>+Agave!$D$24</f>
        <v>69869.459999999977</v>
      </c>
      <c r="C29" s="400">
        <f>+B29/$P$11</f>
        <v>21698.590062111794</v>
      </c>
      <c r="D29" s="317">
        <f>+Agave!A24</f>
        <v>37069</v>
      </c>
      <c r="E29" s="314" t="s">
        <v>90</v>
      </c>
      <c r="F29" s="314" t="s">
        <v>112</v>
      </c>
    </row>
    <row r="30" spans="1:20" ht="15.95" customHeight="1" x14ac:dyDescent="0.2">
      <c r="A30" s="355" t="s">
        <v>1</v>
      </c>
      <c r="B30" s="374">
        <f>+C30*$P$10</f>
        <v>65209.5</v>
      </c>
      <c r="C30" s="400">
        <f>+NW!$F$41</f>
        <v>25275</v>
      </c>
      <c r="D30" s="317">
        <f>+NW!B41</f>
        <v>37069</v>
      </c>
      <c r="E30" t="s">
        <v>89</v>
      </c>
      <c r="F30" t="s">
        <v>109</v>
      </c>
    </row>
    <row r="31" spans="1:20" ht="15.95" customHeight="1" x14ac:dyDescent="0.2">
      <c r="A31" s="355" t="s">
        <v>75</v>
      </c>
      <c r="B31" s="368">
        <f>+transcol!$D$43</f>
        <v>58225</v>
      </c>
      <c r="C31" s="369">
        <f>+B31/$P$11</f>
        <v>18082.298136645961</v>
      </c>
      <c r="D31" s="65">
        <f>+transcol!A43</f>
        <v>37069</v>
      </c>
      <c r="E31" t="s">
        <v>90</v>
      </c>
      <c r="F31" t="s">
        <v>125</v>
      </c>
    </row>
    <row r="32" spans="1:20" ht="15.95" customHeight="1" x14ac:dyDescent="0.2">
      <c r="A32" s="355" t="s">
        <v>8</v>
      </c>
      <c r="B32" s="374">
        <f>+C32*$P$11</f>
        <v>53400.480000000003</v>
      </c>
      <c r="C32" s="400">
        <f>+Oasis!D40</f>
        <v>16584</v>
      </c>
      <c r="D32" s="65">
        <f>+Oasis!B40</f>
        <v>37069</v>
      </c>
      <c r="E32" t="s">
        <v>89</v>
      </c>
      <c r="F32" t="s">
        <v>112</v>
      </c>
    </row>
    <row r="33" spans="1:15" ht="15.95" customHeight="1" x14ac:dyDescent="0.2">
      <c r="A33" s="355" t="s">
        <v>138</v>
      </c>
      <c r="B33" s="374">
        <f>+DEFS!F54</f>
        <v>12413.990000000224</v>
      </c>
      <c r="C33" s="400">
        <f>+B33/$P$11</f>
        <v>3855.2763975155972</v>
      </c>
      <c r="D33" s="65">
        <f>+DEFS!A40</f>
        <v>37069</v>
      </c>
      <c r="E33" t="s">
        <v>90</v>
      </c>
      <c r="F33" t="s">
        <v>110</v>
      </c>
      <c r="G33" t="s">
        <v>128</v>
      </c>
    </row>
    <row r="34" spans="1:15" ht="15.95" customHeight="1" x14ac:dyDescent="0.2">
      <c r="A34" s="355" t="s">
        <v>103</v>
      </c>
      <c r="B34" s="374">
        <f>+C34*$P$11</f>
        <v>42078.96</v>
      </c>
      <c r="C34" s="386">
        <f>+Mojave!D40</f>
        <v>13068</v>
      </c>
      <c r="D34" s="65">
        <f>+Mojave!A40</f>
        <v>37069</v>
      </c>
      <c r="E34" t="s">
        <v>89</v>
      </c>
      <c r="F34" t="s">
        <v>110</v>
      </c>
    </row>
    <row r="35" spans="1:15" ht="15.95" customHeight="1" x14ac:dyDescent="0.2">
      <c r="A35" s="356" t="s">
        <v>104</v>
      </c>
      <c r="B35" s="387">
        <f>+burlington!D42</f>
        <v>2435.52</v>
      </c>
      <c r="C35" s="402">
        <f>+B35/$P$10</f>
        <v>944</v>
      </c>
      <c r="D35" s="317">
        <f>+burlington!A42</f>
        <v>37069</v>
      </c>
      <c r="E35" s="314" t="s">
        <v>90</v>
      </c>
      <c r="F35" t="s">
        <v>109</v>
      </c>
    </row>
    <row r="36" spans="1:15" ht="18" customHeight="1" x14ac:dyDescent="0.2">
      <c r="A36" s="297" t="s">
        <v>105</v>
      </c>
      <c r="B36" s="388">
        <f>SUM(B12:B35)</f>
        <v>9021016.6300000027</v>
      </c>
      <c r="C36" s="389">
        <f>SUM(C12:C35)</f>
        <v>3001831.5512301987</v>
      </c>
    </row>
    <row r="37" spans="1:15" ht="18" customHeight="1" x14ac:dyDescent="0.2">
      <c r="F37" s="364"/>
      <c r="O37">
        <v>50</v>
      </c>
    </row>
    <row r="38" spans="1:15" ht="18" customHeight="1" x14ac:dyDescent="0.2">
      <c r="O38">
        <v>79</v>
      </c>
    </row>
    <row r="39" spans="1:15" ht="18" customHeight="1" x14ac:dyDescent="0.2">
      <c r="A39" s="301" t="s">
        <v>98</v>
      </c>
      <c r="B39" s="302" t="s">
        <v>18</v>
      </c>
      <c r="C39" s="303" t="s">
        <v>0</v>
      </c>
      <c r="D39" s="304" t="s">
        <v>85</v>
      </c>
      <c r="E39" s="301" t="s">
        <v>99</v>
      </c>
      <c r="F39" s="334" t="s">
        <v>111</v>
      </c>
      <c r="G39" s="301" t="s">
        <v>107</v>
      </c>
      <c r="O39">
        <f>+O38*O37</f>
        <v>3950</v>
      </c>
    </row>
    <row r="40" spans="1:15" ht="18" customHeight="1" x14ac:dyDescent="0.2">
      <c r="A40" s="356" t="s">
        <v>149</v>
      </c>
      <c r="B40" s="374">
        <f>+Citizens!D18</f>
        <v>-875907.96</v>
      </c>
      <c r="C40" s="400">
        <f>+B40/$P$11</f>
        <v>-272021.1055900621</v>
      </c>
      <c r="D40" s="317">
        <f>+Citizens!A18</f>
        <v>37065</v>
      </c>
      <c r="E40" s="314" t="s">
        <v>90</v>
      </c>
      <c r="F40" s="314" t="s">
        <v>108</v>
      </c>
      <c r="G40" s="301"/>
    </row>
    <row r="41" spans="1:15" ht="18" customHeight="1" x14ac:dyDescent="0.2">
      <c r="A41" s="356" t="s">
        <v>140</v>
      </c>
      <c r="B41" s="374">
        <f>+Calpine!D41</f>
        <v>-342175.37</v>
      </c>
      <c r="C41" s="400">
        <f>+B41/$P$11</f>
        <v>-106265.64285714286</v>
      </c>
      <c r="D41" s="317">
        <f>+Calpine!A41</f>
        <v>37069</v>
      </c>
      <c r="E41" s="314" t="s">
        <v>90</v>
      </c>
      <c r="F41" s="314" t="s">
        <v>109</v>
      </c>
      <c r="G41" s="301"/>
    </row>
    <row r="42" spans="1:15" ht="18" customHeight="1" x14ac:dyDescent="0.2">
      <c r="A42" s="355" t="s">
        <v>147</v>
      </c>
      <c r="B42" s="374">
        <f>+'NS Steel'!D41</f>
        <v>-343691.48</v>
      </c>
      <c r="C42" s="400">
        <f>+B42/$P$10</f>
        <v>-133213.75193798449</v>
      </c>
      <c r="D42" s="65">
        <f>+'NS Steel'!A41</f>
        <v>37069</v>
      </c>
      <c r="E42" t="s">
        <v>90</v>
      </c>
      <c r="F42" t="s">
        <v>110</v>
      </c>
      <c r="G42" s="301"/>
    </row>
    <row r="43" spans="1:15" ht="18" customHeight="1" x14ac:dyDescent="0.2">
      <c r="A43" s="355" t="s">
        <v>154</v>
      </c>
      <c r="B43" s="374">
        <f>+'Citizens-Griffith'!D41</f>
        <v>-217863.63</v>
      </c>
      <c r="C43" s="386">
        <f>+B43/$P$11</f>
        <v>-67659.512422360247</v>
      </c>
      <c r="D43" s="317">
        <f>+'Citizens-Griffith'!A41</f>
        <v>37069</v>
      </c>
      <c r="E43" t="s">
        <v>90</v>
      </c>
      <c r="F43" t="s">
        <v>109</v>
      </c>
    </row>
    <row r="44" spans="1:15" ht="18" customHeight="1" x14ac:dyDescent="0.2">
      <c r="A44" s="356" t="s">
        <v>34</v>
      </c>
      <c r="B44" s="374">
        <f>+C44*$P$11</f>
        <v>-86228.38</v>
      </c>
      <c r="C44" s="400">
        <f>+SoCal!F40</f>
        <v>-26779</v>
      </c>
      <c r="D44" s="422">
        <f>+SoCal!A40</f>
        <v>37069</v>
      </c>
      <c r="E44" s="314" t="s">
        <v>89</v>
      </c>
      <c r="F44" s="314" t="s">
        <v>108</v>
      </c>
    </row>
    <row r="45" spans="1:15" ht="18" customHeight="1" x14ac:dyDescent="0.2">
      <c r="A45" s="355" t="s">
        <v>124</v>
      </c>
      <c r="B45" s="374">
        <f>+C45*$P$11</f>
        <v>-51703.54</v>
      </c>
      <c r="C45" s="400">
        <f>+'PG&amp;E'!D40</f>
        <v>-16057</v>
      </c>
      <c r="D45" s="65">
        <f>+'PG&amp;E'!A40</f>
        <v>37069</v>
      </c>
      <c r="E45" t="s">
        <v>89</v>
      </c>
      <c r="F45" t="s">
        <v>112</v>
      </c>
    </row>
    <row r="46" spans="1:15" ht="18" customHeight="1" x14ac:dyDescent="0.2">
      <c r="A46" s="355" t="s">
        <v>143</v>
      </c>
      <c r="B46" s="374">
        <f>+EPFS!D41</f>
        <v>-58244.67</v>
      </c>
      <c r="C46" s="400">
        <f>+B46/$P$12</f>
        <v>-16406.949295774648</v>
      </c>
      <c r="D46" s="317">
        <f>+EPFS!A41</f>
        <v>37069</v>
      </c>
      <c r="E46" t="s">
        <v>90</v>
      </c>
      <c r="F46" t="s">
        <v>110</v>
      </c>
    </row>
    <row r="47" spans="1:15" ht="18" customHeight="1" x14ac:dyDescent="0.2">
      <c r="A47" s="355" t="s">
        <v>119</v>
      </c>
      <c r="B47" s="387">
        <f>+Continental!F43</f>
        <v>-19157.41</v>
      </c>
      <c r="C47" s="401">
        <f>+B47/$P$11</f>
        <v>-5949.5062111801235</v>
      </c>
      <c r="D47" s="65">
        <f>+Continental!A43</f>
        <v>37069</v>
      </c>
      <c r="E47" t="s">
        <v>90</v>
      </c>
      <c r="F47" t="s">
        <v>125</v>
      </c>
    </row>
    <row r="48" spans="1:15" ht="18" customHeight="1" x14ac:dyDescent="0.2">
      <c r="A48" s="297" t="s">
        <v>106</v>
      </c>
      <c r="B48" s="374">
        <f>SUM(B40:B47)</f>
        <v>-1994972.4399999997</v>
      </c>
      <c r="C48" s="400">
        <f>SUM(C40:C47)</f>
        <v>-644352.46831450448</v>
      </c>
      <c r="D48" s="314"/>
    </row>
    <row r="49" spans="1:5" ht="18" customHeight="1" x14ac:dyDescent="0.2">
      <c r="B49" s="398"/>
      <c r="C49" s="399"/>
    </row>
    <row r="50" spans="1:5" ht="18" customHeight="1" thickBot="1" x14ac:dyDescent="0.25">
      <c r="A50" s="34" t="s">
        <v>100</v>
      </c>
      <c r="B50" s="390">
        <f>+B48+B36</f>
        <v>7026044.1900000032</v>
      </c>
      <c r="C50" s="391">
        <f>+C48+C36</f>
        <v>2357479.0829156945</v>
      </c>
    </row>
    <row r="51" spans="1:5" ht="18" customHeight="1" thickTop="1" x14ac:dyDescent="0.2"/>
    <row r="52" spans="1:5" x14ac:dyDescent="0.2">
      <c r="A52" s="34" t="s">
        <v>101</v>
      </c>
      <c r="C52" s="342"/>
    </row>
    <row r="58" spans="1:5" x14ac:dyDescent="0.2">
      <c r="C58" s="259"/>
      <c r="E58" s="340"/>
    </row>
    <row r="65" spans="2:5" x14ac:dyDescent="0.2">
      <c r="B65" s="311"/>
      <c r="C65" s="332"/>
    </row>
    <row r="66" spans="2:5" x14ac:dyDescent="0.2">
      <c r="B66" s="259"/>
    </row>
    <row r="67" spans="2:5" x14ac:dyDescent="0.2">
      <c r="B67" s="259"/>
    </row>
    <row r="68" spans="2:5" x14ac:dyDescent="0.2">
      <c r="B68" s="259"/>
    </row>
    <row r="69" spans="2:5" x14ac:dyDescent="0.2">
      <c r="B69" s="259"/>
      <c r="D69" s="64"/>
    </row>
    <row r="70" spans="2:5" x14ac:dyDescent="0.2">
      <c r="B70" s="259"/>
      <c r="C70" s="342"/>
    </row>
    <row r="71" spans="2:5" x14ac:dyDescent="0.2">
      <c r="B71" s="259"/>
      <c r="C71" s="342"/>
      <c r="D71" s="338"/>
      <c r="E71" s="343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269"/>
    </row>
    <row r="74" spans="2:5" x14ac:dyDescent="0.2">
      <c r="B74" s="259"/>
      <c r="C74" s="342"/>
      <c r="D74" s="31"/>
    </row>
    <row r="75" spans="2:5" x14ac:dyDescent="0.2">
      <c r="B75" s="259"/>
      <c r="C75" s="342"/>
      <c r="D75" s="344"/>
    </row>
    <row r="76" spans="2:5" x14ac:dyDescent="0.2">
      <c r="B76" s="339"/>
    </row>
    <row r="77" spans="2:5" x14ac:dyDescent="0.2">
      <c r="B77" s="339"/>
      <c r="D77" s="64"/>
    </row>
    <row r="78" spans="2:5" x14ac:dyDescent="0.2">
      <c r="B78" s="338"/>
      <c r="C78" s="259"/>
    </row>
    <row r="79" spans="2:5" x14ac:dyDescent="0.2">
      <c r="B79" s="338"/>
      <c r="C79" s="259"/>
    </row>
    <row r="80" spans="2:5" x14ac:dyDescent="0.2">
      <c r="B80" s="339"/>
      <c r="C80" s="259"/>
      <c r="D80" s="64"/>
    </row>
    <row r="81" spans="2:4" x14ac:dyDescent="0.2">
      <c r="B81" s="339"/>
      <c r="D81" s="64"/>
    </row>
    <row r="82" spans="2:4" x14ac:dyDescent="0.2">
      <c r="B82" s="339"/>
    </row>
    <row r="83" spans="2:4" x14ac:dyDescent="0.2">
      <c r="B83" s="311"/>
      <c r="C83" s="31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2">
        <v>-46799</v>
      </c>
      <c r="C6" s="80"/>
      <c r="D6" s="80">
        <f t="shared" ref="D6:D14" si="0">+C6-B6</f>
        <v>46799</v>
      </c>
    </row>
    <row r="7" spans="1:8" x14ac:dyDescent="0.2">
      <c r="A7" s="32">
        <v>3531</v>
      </c>
      <c r="B7" s="337">
        <v>-274395</v>
      </c>
      <c r="C7" s="80">
        <v>-169301</v>
      </c>
      <c r="D7" s="80">
        <f t="shared" si="0"/>
        <v>105094</v>
      </c>
    </row>
    <row r="8" spans="1:8" x14ac:dyDescent="0.2">
      <c r="A8" s="32">
        <v>60667</v>
      </c>
      <c r="B8" s="337">
        <f>-987140-49907-2655-48602-20712</f>
        <v>-1109016</v>
      </c>
      <c r="C8" s="80">
        <v>-56295</v>
      </c>
      <c r="D8" s="80">
        <f t="shared" si="0"/>
        <v>1052721</v>
      </c>
      <c r="H8" s="255"/>
    </row>
    <row r="9" spans="1:8" x14ac:dyDescent="0.2">
      <c r="A9" s="32">
        <v>60749</v>
      </c>
      <c r="B9" s="337">
        <f>540168+48866+48610+19632+18583</f>
        <v>675859</v>
      </c>
      <c r="C9" s="80">
        <v>-712522</v>
      </c>
      <c r="D9" s="80">
        <f t="shared" si="0"/>
        <v>-1388381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37">
        <v>-137542</v>
      </c>
      <c r="C11" s="80"/>
      <c r="D11" s="80">
        <f t="shared" si="0"/>
        <v>137542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-46225</v>
      </c>
    </row>
    <row r="19" spans="1:5" x14ac:dyDescent="0.2">
      <c r="A19" s="32" t="s">
        <v>86</v>
      </c>
      <c r="B19" s="69"/>
      <c r="C19" s="69"/>
      <c r="D19" s="73">
        <f>+summary!P11</f>
        <v>3.22</v>
      </c>
    </row>
    <row r="20" spans="1:5" x14ac:dyDescent="0.2">
      <c r="B20" s="69"/>
      <c r="C20" s="69"/>
      <c r="D20" s="75">
        <f>+D19*D18</f>
        <v>-148844.5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11">
        <v>1177095.58</v>
      </c>
      <c r="E22" s="255"/>
    </row>
    <row r="23" spans="1:5" x14ac:dyDescent="0.2">
      <c r="B23" s="69"/>
      <c r="C23" s="80"/>
      <c r="D23" s="300"/>
      <c r="E23" s="255"/>
    </row>
    <row r="24" spans="1:5" ht="12" thickBot="1" x14ac:dyDescent="0.25">
      <c r="A24" s="49">
        <v>37069</v>
      </c>
      <c r="B24" s="69"/>
      <c r="C24" s="69"/>
      <c r="D24" s="381">
        <f>+D22+D20</f>
        <v>1028251.0800000001</v>
      </c>
      <c r="E24" s="255"/>
    </row>
    <row r="25" spans="1:5" ht="12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9236</v>
      </c>
      <c r="B5" s="427">
        <v>-55217</v>
      </c>
      <c r="C5" s="90">
        <v>-49525</v>
      </c>
      <c r="D5" s="90">
        <f t="shared" ref="D5:D13" si="0">+C5-B5</f>
        <v>5692</v>
      </c>
      <c r="E5" s="69"/>
      <c r="F5" s="70"/>
    </row>
    <row r="6" spans="1:13" x14ac:dyDescent="0.2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427">
        <v>-2753862</v>
      </c>
      <c r="C7" s="90">
        <v>-2693783</v>
      </c>
      <c r="D7" s="90">
        <f t="shared" si="0"/>
        <v>60079</v>
      </c>
      <c r="E7" s="287"/>
      <c r="F7" s="70"/>
    </row>
    <row r="8" spans="1:13" x14ac:dyDescent="0.2">
      <c r="A8" s="87">
        <v>58710</v>
      </c>
      <c r="B8" s="427">
        <v>-97487</v>
      </c>
      <c r="C8" s="90">
        <v>-56854</v>
      </c>
      <c r="D8" s="90">
        <f t="shared" si="0"/>
        <v>40633</v>
      </c>
      <c r="E8" s="287"/>
      <c r="F8" s="70"/>
    </row>
    <row r="9" spans="1:13" x14ac:dyDescent="0.2">
      <c r="A9" s="87">
        <v>60921</v>
      </c>
      <c r="B9" s="331">
        <f>1720250+90021+44878+71461+89308</f>
        <v>2015918</v>
      </c>
      <c r="C9" s="90">
        <v>1899616</v>
      </c>
      <c r="D9" s="90">
        <f t="shared" si="0"/>
        <v>-116302</v>
      </c>
      <c r="E9" s="287"/>
      <c r="F9" s="70"/>
    </row>
    <row r="10" spans="1:13" x14ac:dyDescent="0.2">
      <c r="A10" s="87">
        <v>78026</v>
      </c>
      <c r="B10" s="427">
        <f>19288+3300+3732+3710+1457</f>
        <v>31487</v>
      </c>
      <c r="C10" s="90">
        <v>84614</v>
      </c>
      <c r="D10" s="90">
        <f t="shared" si="0"/>
        <v>53127</v>
      </c>
      <c r="E10" s="287"/>
      <c r="F10" s="285"/>
    </row>
    <row r="11" spans="1:13" x14ac:dyDescent="0.2">
      <c r="A11" s="87">
        <v>500084</v>
      </c>
      <c r="B11" s="427">
        <v>-10166</v>
      </c>
      <c r="C11" s="90">
        <v>-27000</v>
      </c>
      <c r="D11" s="90">
        <f t="shared" si="0"/>
        <v>-16834</v>
      </c>
      <c r="E11" s="288"/>
      <c r="F11" s="285"/>
    </row>
    <row r="12" spans="1:13" x14ac:dyDescent="0.2">
      <c r="A12" s="357">
        <v>500085</v>
      </c>
      <c r="B12" s="427">
        <v>-9881</v>
      </c>
      <c r="C12" s="90"/>
      <c r="D12" s="90">
        <f t="shared" si="0"/>
        <v>9881</v>
      </c>
      <c r="E12" s="287"/>
      <c r="F12" s="285"/>
    </row>
    <row r="13" spans="1:13" x14ac:dyDescent="0.2">
      <c r="A13" s="87">
        <v>500097</v>
      </c>
      <c r="B13" s="360"/>
      <c r="C13" s="90"/>
      <c r="D13" s="90">
        <f t="shared" si="0"/>
        <v>0</v>
      </c>
      <c r="E13" s="287"/>
      <c r="F13" s="285"/>
    </row>
    <row r="14" spans="1:13" x14ac:dyDescent="0.2">
      <c r="A14" s="87"/>
      <c r="B14" s="90"/>
      <c r="C14" s="90"/>
      <c r="D14" s="90"/>
      <c r="E14" s="287"/>
      <c r="F14" s="285"/>
    </row>
    <row r="15" spans="1:13" x14ac:dyDescent="0.2">
      <c r="A15" s="87"/>
      <c r="B15" s="90"/>
      <c r="C15" s="90"/>
      <c r="D15" s="90"/>
      <c r="E15" s="287"/>
      <c r="F15" s="285"/>
    </row>
    <row r="16" spans="1:13" x14ac:dyDescent="0.2">
      <c r="A16" s="87"/>
      <c r="B16" s="88"/>
      <c r="C16" s="88"/>
      <c r="D16" s="94"/>
      <c r="E16" s="287"/>
      <c r="F16" s="285"/>
    </row>
    <row r="17" spans="1:7" x14ac:dyDescent="0.2">
      <c r="A17" s="87"/>
      <c r="B17" s="88"/>
      <c r="C17" s="88"/>
      <c r="D17" s="88">
        <f>SUM(D5:D16)</f>
        <v>36276</v>
      </c>
      <c r="E17" s="287"/>
      <c r="F17" s="285"/>
    </row>
    <row r="18" spans="1:7" x14ac:dyDescent="0.2">
      <c r="A18" s="87" t="s">
        <v>86</v>
      </c>
      <c r="B18" s="88"/>
      <c r="C18" s="88"/>
      <c r="D18" s="95">
        <f>+summary!P11</f>
        <v>3.22</v>
      </c>
      <c r="E18" s="289"/>
      <c r="F18" s="285"/>
    </row>
    <row r="19" spans="1:7" x14ac:dyDescent="0.2">
      <c r="A19" s="87"/>
      <c r="B19" s="88"/>
      <c r="C19" s="88"/>
      <c r="D19" s="96">
        <f>+D18*D17</f>
        <v>116808.72</v>
      </c>
      <c r="E19" s="209"/>
      <c r="F19" s="286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37042</v>
      </c>
      <c r="B21" s="88"/>
      <c r="C21" s="88"/>
      <c r="D21" s="415">
        <v>597578.71</v>
      </c>
      <c r="E21" s="209"/>
      <c r="F21" s="66"/>
    </row>
    <row r="22" spans="1:7" x14ac:dyDescent="0.2">
      <c r="A22" s="87"/>
      <c r="B22" s="88"/>
      <c r="C22" s="88"/>
      <c r="D22" s="336"/>
      <c r="E22" s="209"/>
      <c r="F22" s="66"/>
    </row>
    <row r="23" spans="1:7" ht="13.5" thickBot="1" x14ac:dyDescent="0.25">
      <c r="A23" s="99">
        <v>37069</v>
      </c>
      <c r="B23" s="88"/>
      <c r="C23" s="88"/>
      <c r="D23" s="358">
        <f>+D21+D19</f>
        <v>714387.42999999993</v>
      </c>
      <c r="E23" s="209"/>
      <c r="F23" s="66"/>
    </row>
    <row r="24" spans="1:7" ht="13.5" thickTop="1" x14ac:dyDescent="0.2">
      <c r="E24" s="290"/>
    </row>
    <row r="25" spans="1:7" x14ac:dyDescent="0.2">
      <c r="E25" s="29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5"/>
      <c r="E36" s="69"/>
      <c r="F36" s="70"/>
      <c r="G36" s="32"/>
    </row>
    <row r="37" spans="1:7" x14ac:dyDescent="0.2">
      <c r="B37" s="69"/>
      <c r="C37" s="69"/>
      <c r="D37" s="315"/>
      <c r="E37" s="69"/>
      <c r="F37" s="70"/>
      <c r="G37" s="32"/>
    </row>
    <row r="38" spans="1:7" x14ac:dyDescent="0.2">
      <c r="B38" s="69"/>
      <c r="C38" s="69"/>
      <c r="D38" s="315"/>
      <c r="E38" s="69"/>
      <c r="F38" s="70"/>
      <c r="G38" s="32"/>
    </row>
    <row r="39" spans="1:7" x14ac:dyDescent="0.2">
      <c r="B39" s="69"/>
      <c r="C39" s="69"/>
      <c r="D39" s="315"/>
      <c r="E39" s="69"/>
      <c r="F39" s="70"/>
      <c r="G39" s="32"/>
    </row>
    <row r="40" spans="1:7" x14ac:dyDescent="0.2">
      <c r="B40" s="69"/>
      <c r="C40" s="69"/>
      <c r="D40" s="315"/>
      <c r="E40" s="69"/>
      <c r="F40" s="70"/>
      <c r="G40" s="32"/>
    </row>
    <row r="41" spans="1:7" x14ac:dyDescent="0.2">
      <c r="B41" s="69"/>
      <c r="C41" s="69"/>
      <c r="D41" s="315"/>
      <c r="E41" s="69"/>
      <c r="F41" s="70"/>
      <c r="G41" s="32"/>
    </row>
    <row r="42" spans="1:7" x14ac:dyDescent="0.2">
      <c r="B42" s="69"/>
      <c r="C42" s="69"/>
      <c r="D42" s="315"/>
      <c r="E42" s="69"/>
      <c r="F42" s="70"/>
      <c r="G42" s="32"/>
    </row>
    <row r="43" spans="1:7" x14ac:dyDescent="0.2">
      <c r="B43" s="69"/>
      <c r="C43" s="69"/>
      <c r="D43" s="315"/>
      <c r="E43" s="69"/>
      <c r="F43" s="70"/>
      <c r="G43" s="32"/>
    </row>
    <row r="44" spans="1:7" x14ac:dyDescent="0.2">
      <c r="B44" s="69"/>
      <c r="C44" s="69"/>
      <c r="D44" s="316"/>
      <c r="E44" s="287"/>
      <c r="F44" s="285"/>
      <c r="G44" s="206"/>
    </row>
    <row r="45" spans="1:7" x14ac:dyDescent="0.2">
      <c r="B45" s="69"/>
      <c r="C45" s="69"/>
      <c r="D45" s="316"/>
      <c r="E45" s="287"/>
      <c r="F45" s="285"/>
      <c r="G45" s="206"/>
    </row>
    <row r="46" spans="1:7" x14ac:dyDescent="0.2">
      <c r="A46" s="32"/>
      <c r="B46" s="69"/>
      <c r="C46" s="69"/>
      <c r="D46" s="287"/>
      <c r="E46" s="287"/>
      <c r="F46" s="285"/>
      <c r="G46" s="206"/>
    </row>
    <row r="47" spans="1:7" x14ac:dyDescent="0.2">
      <c r="A47" s="32"/>
      <c r="B47" s="69"/>
      <c r="C47" s="69"/>
      <c r="D47" s="289"/>
      <c r="E47" s="289"/>
      <c r="F47" s="285"/>
      <c r="G47" s="206"/>
    </row>
    <row r="48" spans="1:7" x14ac:dyDescent="0.2">
      <c r="B48" s="69"/>
      <c r="C48" s="69"/>
      <c r="D48" s="287"/>
      <c r="E48" s="287"/>
      <c r="F48" s="286"/>
      <c r="G48" s="206"/>
    </row>
    <row r="49" spans="1:7" x14ac:dyDescent="0.2">
      <c r="B49" s="69"/>
      <c r="C49" s="69"/>
      <c r="D49" s="287"/>
      <c r="E49" s="287"/>
      <c r="F49" s="286"/>
      <c r="G49" s="206"/>
    </row>
    <row r="50" spans="1:7" x14ac:dyDescent="0.2">
      <c r="C50" s="312"/>
      <c r="D50" s="312"/>
      <c r="E50" s="312"/>
      <c r="F50" s="313"/>
      <c r="G50" s="314"/>
    </row>
    <row r="51" spans="1:7" x14ac:dyDescent="0.2">
      <c r="A51" s="32"/>
      <c r="C51" s="312"/>
      <c r="D51" s="312"/>
      <c r="E51" s="312"/>
      <c r="F51" s="313"/>
    </row>
    <row r="52" spans="1:7" x14ac:dyDescent="0.2">
      <c r="A52" s="32"/>
      <c r="C52" s="312"/>
      <c r="D52" s="312"/>
      <c r="E52" s="312"/>
      <c r="F52" s="313"/>
    </row>
    <row r="53" spans="1:7" x14ac:dyDescent="0.2">
      <c r="A53" s="32"/>
      <c r="C53" s="312"/>
      <c r="D53" s="312"/>
      <c r="E53" s="312"/>
      <c r="F53" s="313"/>
    </row>
    <row r="54" spans="1:7" x14ac:dyDescent="0.2">
      <c r="A54" s="32"/>
      <c r="C54" s="312"/>
      <c r="D54" s="312"/>
      <c r="E54" s="312"/>
      <c r="F54" s="313"/>
    </row>
    <row r="55" spans="1:7" x14ac:dyDescent="0.2">
      <c r="A55" s="32"/>
      <c r="C55" s="312"/>
      <c r="D55" s="312"/>
      <c r="E55" s="290"/>
      <c r="F55" s="290"/>
    </row>
    <row r="56" spans="1:7" x14ac:dyDescent="0.2">
      <c r="C56" s="312"/>
      <c r="D56" s="312"/>
      <c r="E56" s="290"/>
      <c r="F56" s="290"/>
    </row>
    <row r="57" spans="1:7" x14ac:dyDescent="0.2">
      <c r="C57" s="312"/>
      <c r="D57" s="312"/>
      <c r="E57" s="290"/>
      <c r="F57" s="290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0" workbookViewId="3">
      <selection activeCell="D27" sqref="D2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">
      <c r="A3">
        <v>1</v>
      </c>
      <c r="B3" s="90">
        <v>63620</v>
      </c>
      <c r="C3" s="90">
        <v>62288</v>
      </c>
      <c r="D3" s="90"/>
      <c r="E3" s="90"/>
      <c r="F3" s="90">
        <f>+E3-D3+C3-B3</f>
        <v>-1332</v>
      </c>
    </row>
    <row r="4" spans="1:6" x14ac:dyDescent="0.2">
      <c r="A4">
        <v>2</v>
      </c>
      <c r="B4" s="90">
        <v>56372</v>
      </c>
      <c r="C4" s="90">
        <v>62291</v>
      </c>
      <c r="D4" s="90">
        <v>-749</v>
      </c>
      <c r="E4" s="90"/>
      <c r="F4" s="90">
        <f>+E4-D4+C4-B4</f>
        <v>6668</v>
      </c>
    </row>
    <row r="5" spans="1:6" x14ac:dyDescent="0.2">
      <c r="A5">
        <v>3</v>
      </c>
      <c r="B5" s="90">
        <v>56757</v>
      </c>
      <c r="C5" s="90">
        <v>62291</v>
      </c>
      <c r="D5" s="90"/>
      <c r="E5" s="90"/>
      <c r="F5" s="90">
        <f>+E5-D5+C5-B5</f>
        <v>5534</v>
      </c>
    </row>
    <row r="6" spans="1:6" x14ac:dyDescent="0.2">
      <c r="A6">
        <v>4</v>
      </c>
      <c r="B6" s="90">
        <v>62916</v>
      </c>
      <c r="C6" s="90">
        <v>62291</v>
      </c>
      <c r="D6" s="90"/>
      <c r="E6" s="90"/>
      <c r="F6" s="90">
        <f t="shared" ref="F6:F33" si="0">+E6-D6+C6-B6</f>
        <v>-625</v>
      </c>
    </row>
    <row r="7" spans="1:6" x14ac:dyDescent="0.2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">
      <c r="A8">
        <v>6</v>
      </c>
      <c r="B8" s="90">
        <v>60881</v>
      </c>
      <c r="C8" s="90">
        <v>59228</v>
      </c>
      <c r="D8" s="90"/>
      <c r="E8" s="90"/>
      <c r="F8" s="90">
        <f t="shared" si="0"/>
        <v>-1653</v>
      </c>
    </row>
    <row r="9" spans="1:6" x14ac:dyDescent="0.2">
      <c r="A9">
        <v>7</v>
      </c>
      <c r="B9" s="90">
        <v>60973</v>
      </c>
      <c r="C9" s="90">
        <v>59228</v>
      </c>
      <c r="D9" s="90">
        <v>-12</v>
      </c>
      <c r="E9" s="90"/>
      <c r="F9" s="90">
        <f t="shared" si="0"/>
        <v>-1733</v>
      </c>
    </row>
    <row r="10" spans="1:6" x14ac:dyDescent="0.2">
      <c r="A10">
        <v>8</v>
      </c>
      <c r="B10" s="90">
        <v>61228</v>
      </c>
      <c r="C10" s="90">
        <v>59228</v>
      </c>
      <c r="D10" s="90"/>
      <c r="E10" s="90"/>
      <c r="F10" s="90">
        <f t="shared" si="0"/>
        <v>-2000</v>
      </c>
    </row>
    <row r="11" spans="1:6" x14ac:dyDescent="0.2">
      <c r="A11">
        <v>9</v>
      </c>
      <c r="B11" s="90">
        <v>51852</v>
      </c>
      <c r="C11" s="90">
        <v>53798</v>
      </c>
      <c r="D11" s="90">
        <v>-15295</v>
      </c>
      <c r="E11" s="90">
        <v>-29491</v>
      </c>
      <c r="F11" s="90">
        <f t="shared" si="0"/>
        <v>-12250</v>
      </c>
    </row>
    <row r="12" spans="1:6" x14ac:dyDescent="0.2">
      <c r="A12">
        <v>10</v>
      </c>
      <c r="B12" s="90">
        <v>55568</v>
      </c>
      <c r="C12" s="90">
        <v>53798</v>
      </c>
      <c r="D12" s="90">
        <v>-60555</v>
      </c>
      <c r="E12" s="90">
        <v>-29491</v>
      </c>
      <c r="F12" s="90">
        <f t="shared" si="0"/>
        <v>29294</v>
      </c>
    </row>
    <row r="13" spans="1:6" x14ac:dyDescent="0.2">
      <c r="A13">
        <v>11</v>
      </c>
      <c r="B13" s="90">
        <v>56114</v>
      </c>
      <c r="C13" s="90">
        <v>54900</v>
      </c>
      <c r="D13" s="90">
        <v>-67464</v>
      </c>
      <c r="E13" s="90">
        <v>-29491</v>
      </c>
      <c r="F13" s="90">
        <f t="shared" si="0"/>
        <v>36759</v>
      </c>
    </row>
    <row r="14" spans="1:6" x14ac:dyDescent="0.2">
      <c r="A14">
        <v>12</v>
      </c>
      <c r="B14" s="88">
        <v>53935</v>
      </c>
      <c r="C14" s="88">
        <v>52158</v>
      </c>
      <c r="D14" s="88">
        <v>-9550</v>
      </c>
      <c r="E14" s="88"/>
      <c r="F14" s="90">
        <f t="shared" si="0"/>
        <v>7773</v>
      </c>
    </row>
    <row r="15" spans="1:6" x14ac:dyDescent="0.2">
      <c r="A15">
        <v>13</v>
      </c>
      <c r="B15" s="88">
        <v>51646</v>
      </c>
      <c r="C15" s="88">
        <v>52228</v>
      </c>
      <c r="D15" s="88"/>
      <c r="E15" s="88"/>
      <c r="F15" s="90">
        <f t="shared" si="0"/>
        <v>582</v>
      </c>
    </row>
    <row r="16" spans="1:6" x14ac:dyDescent="0.2">
      <c r="A16">
        <v>14</v>
      </c>
      <c r="B16" s="88">
        <v>53995</v>
      </c>
      <c r="C16" s="88">
        <v>52228</v>
      </c>
      <c r="D16" s="88"/>
      <c r="E16" s="88"/>
      <c r="F16" s="90">
        <f t="shared" si="0"/>
        <v>-1767</v>
      </c>
    </row>
    <row r="17" spans="1:6" x14ac:dyDescent="0.2">
      <c r="A17">
        <v>15</v>
      </c>
      <c r="B17" s="88">
        <v>38248</v>
      </c>
      <c r="C17" s="88">
        <v>45095</v>
      </c>
      <c r="D17" s="14">
        <v>-14</v>
      </c>
      <c r="E17" s="14"/>
      <c r="F17" s="90">
        <f t="shared" si="0"/>
        <v>6861</v>
      </c>
    </row>
    <row r="18" spans="1:6" x14ac:dyDescent="0.2">
      <c r="A18">
        <v>16</v>
      </c>
      <c r="B18" s="88">
        <v>46431</v>
      </c>
      <c r="C18" s="88">
        <v>46669</v>
      </c>
      <c r="D18" s="14">
        <v>-3</v>
      </c>
      <c r="E18" s="14"/>
      <c r="F18" s="90">
        <f t="shared" si="0"/>
        <v>241</v>
      </c>
    </row>
    <row r="19" spans="1:6" x14ac:dyDescent="0.2">
      <c r="A19">
        <v>17</v>
      </c>
      <c r="B19" s="88">
        <v>47069</v>
      </c>
      <c r="C19" s="14">
        <v>45335</v>
      </c>
      <c r="D19" s="14"/>
      <c r="E19" s="14"/>
      <c r="F19" s="90">
        <f t="shared" si="0"/>
        <v>-1734</v>
      </c>
    </row>
    <row r="20" spans="1:6" x14ac:dyDescent="0.2">
      <c r="A20">
        <v>18</v>
      </c>
      <c r="B20" s="375">
        <v>48894</v>
      </c>
      <c r="C20" s="375">
        <v>47151</v>
      </c>
      <c r="D20" s="14"/>
      <c r="E20" s="14"/>
      <c r="F20" s="90">
        <f t="shared" si="0"/>
        <v>-1743</v>
      </c>
    </row>
    <row r="21" spans="1:6" x14ac:dyDescent="0.2">
      <c r="A21">
        <v>19</v>
      </c>
      <c r="B21" s="375">
        <v>30288</v>
      </c>
      <c r="C21" s="375">
        <v>46579</v>
      </c>
      <c r="D21" s="14">
        <v>-1</v>
      </c>
      <c r="E21" s="14"/>
      <c r="F21" s="90">
        <f t="shared" si="0"/>
        <v>16292</v>
      </c>
    </row>
    <row r="22" spans="1:6" x14ac:dyDescent="0.2">
      <c r="A22">
        <v>20</v>
      </c>
      <c r="B22" s="375">
        <v>44927</v>
      </c>
      <c r="C22" s="375">
        <v>47422</v>
      </c>
      <c r="D22" s="14">
        <v>-9</v>
      </c>
      <c r="E22" s="14"/>
      <c r="F22" s="90">
        <f t="shared" si="0"/>
        <v>2504</v>
      </c>
    </row>
    <row r="23" spans="1:6" x14ac:dyDescent="0.2">
      <c r="A23">
        <v>21</v>
      </c>
      <c r="B23" s="375">
        <v>43376</v>
      </c>
      <c r="C23" s="375">
        <v>47363</v>
      </c>
      <c r="D23" s="14"/>
      <c r="E23" s="14"/>
      <c r="F23" s="90">
        <f t="shared" si="0"/>
        <v>3987</v>
      </c>
    </row>
    <row r="24" spans="1:6" x14ac:dyDescent="0.2">
      <c r="A24">
        <v>22</v>
      </c>
      <c r="B24" s="375">
        <v>54059</v>
      </c>
      <c r="C24" s="375">
        <v>52369</v>
      </c>
      <c r="D24" s="14">
        <v>-2777</v>
      </c>
      <c r="E24" s="14"/>
      <c r="F24" s="90">
        <f t="shared" si="0"/>
        <v>1087</v>
      </c>
    </row>
    <row r="25" spans="1:6" x14ac:dyDescent="0.2">
      <c r="A25">
        <v>23</v>
      </c>
      <c r="B25" s="375">
        <v>50553</v>
      </c>
      <c r="C25" s="375">
        <v>48688</v>
      </c>
      <c r="D25" s="14">
        <v>-9</v>
      </c>
      <c r="E25" s="14"/>
      <c r="F25" s="90">
        <f t="shared" si="0"/>
        <v>-1856</v>
      </c>
    </row>
    <row r="26" spans="1:6" x14ac:dyDescent="0.2">
      <c r="A26">
        <v>24</v>
      </c>
      <c r="B26" s="375">
        <v>54209</v>
      </c>
      <c r="C26" s="375">
        <v>52443</v>
      </c>
      <c r="D26" s="14"/>
      <c r="E26" s="14"/>
      <c r="F26" s="90">
        <f t="shared" si="0"/>
        <v>-1766</v>
      </c>
    </row>
    <row r="27" spans="1:6" x14ac:dyDescent="0.2">
      <c r="A27">
        <v>25</v>
      </c>
      <c r="B27" s="375">
        <v>49013</v>
      </c>
      <c r="C27" s="375">
        <v>47225</v>
      </c>
      <c r="D27" s="14"/>
      <c r="E27" s="14"/>
      <c r="F27" s="90">
        <f t="shared" si="0"/>
        <v>-1788</v>
      </c>
    </row>
    <row r="28" spans="1:6" x14ac:dyDescent="0.2">
      <c r="A28">
        <v>26</v>
      </c>
      <c r="B28" s="375">
        <v>50651</v>
      </c>
      <c r="C28" s="375">
        <v>48913</v>
      </c>
      <c r="D28" s="14">
        <v>-10</v>
      </c>
      <c r="E28" s="14"/>
      <c r="F28" s="90">
        <f t="shared" si="0"/>
        <v>-1728</v>
      </c>
    </row>
    <row r="29" spans="1:6" x14ac:dyDescent="0.2">
      <c r="A29">
        <v>27</v>
      </c>
      <c r="B29" s="375">
        <v>67164</v>
      </c>
      <c r="C29" s="375">
        <v>65449</v>
      </c>
      <c r="D29" s="14">
        <v>-1</v>
      </c>
      <c r="E29" s="14"/>
      <c r="F29" s="90">
        <f t="shared" si="0"/>
        <v>-1714</v>
      </c>
    </row>
    <row r="30" spans="1:6" x14ac:dyDescent="0.2">
      <c r="A30">
        <v>28</v>
      </c>
      <c r="B30" s="375"/>
      <c r="C30" s="375"/>
      <c r="D30" s="14"/>
      <c r="E30" s="14"/>
      <c r="F30" s="90">
        <f t="shared" si="0"/>
        <v>0</v>
      </c>
    </row>
    <row r="31" spans="1:6" x14ac:dyDescent="0.2">
      <c r="A31">
        <v>29</v>
      </c>
      <c r="B31" s="375"/>
      <c r="C31" s="375"/>
      <c r="D31" s="14"/>
      <c r="E31" s="14"/>
      <c r="F31" s="90">
        <f t="shared" si="0"/>
        <v>0</v>
      </c>
    </row>
    <row r="32" spans="1:6" x14ac:dyDescent="0.2">
      <c r="A32">
        <v>30</v>
      </c>
      <c r="B32" s="375"/>
      <c r="C32" s="375"/>
      <c r="D32" s="14"/>
      <c r="E32" s="14"/>
      <c r="F32" s="90">
        <f t="shared" si="0"/>
        <v>0</v>
      </c>
    </row>
    <row r="33" spans="1:6" x14ac:dyDescent="0.2">
      <c r="A33">
        <v>31</v>
      </c>
      <c r="B33" s="375"/>
      <c r="C33" s="375"/>
      <c r="D33" s="14"/>
      <c r="E33" s="14"/>
      <c r="F33" s="90">
        <f t="shared" si="0"/>
        <v>0</v>
      </c>
    </row>
    <row r="34" spans="1:6" x14ac:dyDescent="0.2">
      <c r="B34" s="299">
        <f>SUM(B3:B33)</f>
        <v>1437266</v>
      </c>
      <c r="C34" s="299">
        <f>SUM(C3:C33)</f>
        <v>1456259</v>
      </c>
      <c r="D34" s="14">
        <f>SUM(D3:D33)</f>
        <v>-156449</v>
      </c>
      <c r="E34" s="14">
        <f>SUM(E3:E33)</f>
        <v>-88473</v>
      </c>
      <c r="F34" s="14">
        <f>SUM(F3:F33)</f>
        <v>86969</v>
      </c>
    </row>
    <row r="35" spans="1:6" x14ac:dyDescent="0.2">
      <c r="D35" s="14"/>
      <c r="E35" s="14"/>
      <c r="F35" s="14"/>
    </row>
    <row r="36" spans="1:6" x14ac:dyDescent="0.2">
      <c r="F36" s="380"/>
    </row>
    <row r="37" spans="1:6" x14ac:dyDescent="0.2">
      <c r="A37" s="264">
        <v>37042</v>
      </c>
      <c r="B37" s="14"/>
      <c r="C37" s="14"/>
      <c r="D37" s="14"/>
      <c r="E37" s="14"/>
      <c r="F37" s="404">
        <f>37616+54911</f>
        <v>92527</v>
      </c>
    </row>
    <row r="38" spans="1:6" x14ac:dyDescent="0.2">
      <c r="A38" s="264">
        <v>37069</v>
      </c>
      <c r="B38" s="14"/>
      <c r="C38" s="14"/>
      <c r="D38" s="14"/>
      <c r="E38" s="14"/>
      <c r="F38" s="150">
        <f>+F37+F34</f>
        <v>179496</v>
      </c>
    </row>
    <row r="39" spans="1:6" x14ac:dyDescent="0.2">
      <c r="F39" s="314"/>
    </row>
    <row r="40" spans="1:6" x14ac:dyDescent="0.2">
      <c r="F40" s="314"/>
    </row>
    <row r="41" spans="1:6" x14ac:dyDescent="0.2">
      <c r="F41" s="314"/>
    </row>
    <row r="42" spans="1:6" x14ac:dyDescent="0.2">
      <c r="F42" s="314"/>
    </row>
    <row r="43" spans="1:6" x14ac:dyDescent="0.2">
      <c r="F43" s="314"/>
    </row>
    <row r="44" spans="1:6" x14ac:dyDescent="0.2">
      <c r="F44" s="314"/>
    </row>
    <row r="45" spans="1:6" x14ac:dyDescent="0.2">
      <c r="F45" s="314"/>
    </row>
    <row r="46" spans="1:6" x14ac:dyDescent="0.2">
      <c r="F46" s="314"/>
    </row>
    <row r="47" spans="1:6" x14ac:dyDescent="0.2">
      <c r="F47" s="314"/>
    </row>
    <row r="48" spans="1:6" x14ac:dyDescent="0.2">
      <c r="F48" s="3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1" workbookViewId="3">
      <selection activeCell="C31" sqref="C31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">
      <c r="A9" s="10">
        <v>6</v>
      </c>
      <c r="B9" s="11">
        <v>25000</v>
      </c>
      <c r="C9" s="11">
        <v>25810</v>
      </c>
      <c r="D9" s="25">
        <f t="shared" si="0"/>
        <v>810</v>
      </c>
    </row>
    <row r="10" spans="1:4" x14ac:dyDescent="0.2">
      <c r="A10" s="10">
        <v>7</v>
      </c>
      <c r="B10" s="11">
        <v>25000</v>
      </c>
      <c r="C10" s="11">
        <v>25494</v>
      </c>
      <c r="D10" s="25">
        <f t="shared" si="0"/>
        <v>494</v>
      </c>
    </row>
    <row r="11" spans="1:4" x14ac:dyDescent="0.2">
      <c r="A11" s="10">
        <v>8</v>
      </c>
      <c r="B11" s="11">
        <v>25000</v>
      </c>
      <c r="C11" s="11">
        <v>25010</v>
      </c>
      <c r="D11" s="25">
        <f t="shared" si="0"/>
        <v>10</v>
      </c>
    </row>
    <row r="12" spans="1:4" x14ac:dyDescent="0.2">
      <c r="A12" s="10">
        <v>9</v>
      </c>
      <c r="B12" s="11">
        <v>42000</v>
      </c>
      <c r="C12" s="11">
        <v>41806</v>
      </c>
      <c r="D12" s="25">
        <f t="shared" si="0"/>
        <v>-194</v>
      </c>
    </row>
    <row r="13" spans="1:4" x14ac:dyDescent="0.2">
      <c r="A13" s="10">
        <v>10</v>
      </c>
      <c r="B13" s="11">
        <v>42000</v>
      </c>
      <c r="C13" s="11">
        <v>42075</v>
      </c>
      <c r="D13" s="25">
        <f t="shared" si="0"/>
        <v>75</v>
      </c>
    </row>
    <row r="14" spans="1:4" x14ac:dyDescent="0.2">
      <c r="A14" s="10">
        <v>11</v>
      </c>
      <c r="B14" s="11">
        <v>42000</v>
      </c>
      <c r="C14" s="11">
        <v>40489</v>
      </c>
      <c r="D14" s="25">
        <f t="shared" si="0"/>
        <v>-1511</v>
      </c>
    </row>
    <row r="15" spans="1:4" x14ac:dyDescent="0.2">
      <c r="A15" s="10">
        <v>12</v>
      </c>
      <c r="B15" s="11">
        <v>30667</v>
      </c>
      <c r="C15" s="11">
        <v>30969</v>
      </c>
      <c r="D15" s="25">
        <f t="shared" si="0"/>
        <v>302</v>
      </c>
    </row>
    <row r="16" spans="1:4" x14ac:dyDescent="0.2">
      <c r="A16" s="10">
        <v>13</v>
      </c>
      <c r="B16" s="11">
        <v>40424</v>
      </c>
      <c r="C16" s="11">
        <v>40901</v>
      </c>
      <c r="D16" s="25">
        <f t="shared" si="0"/>
        <v>477</v>
      </c>
    </row>
    <row r="17" spans="1:4" x14ac:dyDescent="0.2">
      <c r="A17" s="10">
        <v>14</v>
      </c>
      <c r="B17" s="11">
        <v>40440</v>
      </c>
      <c r="C17" s="11">
        <v>41705</v>
      </c>
      <c r="D17" s="25">
        <f t="shared" si="0"/>
        <v>1265</v>
      </c>
    </row>
    <row r="18" spans="1:4" x14ac:dyDescent="0.2">
      <c r="A18" s="10">
        <v>15</v>
      </c>
      <c r="B18" s="11">
        <v>42000</v>
      </c>
      <c r="C18" s="11">
        <v>42661</v>
      </c>
      <c r="D18" s="25">
        <f t="shared" si="0"/>
        <v>661</v>
      </c>
    </row>
    <row r="19" spans="1:4" x14ac:dyDescent="0.2">
      <c r="A19" s="10">
        <v>16</v>
      </c>
      <c r="B19" s="11">
        <v>34464</v>
      </c>
      <c r="C19" s="11">
        <v>35004</v>
      </c>
      <c r="D19" s="25">
        <f t="shared" si="0"/>
        <v>540</v>
      </c>
    </row>
    <row r="20" spans="1:4" x14ac:dyDescent="0.2">
      <c r="A20" s="10">
        <v>17</v>
      </c>
      <c r="B20" s="11">
        <v>35005</v>
      </c>
      <c r="C20" s="11">
        <v>35869</v>
      </c>
      <c r="D20" s="25">
        <f t="shared" si="0"/>
        <v>864</v>
      </c>
    </row>
    <row r="21" spans="1:4" x14ac:dyDescent="0.2">
      <c r="A21" s="10">
        <v>18</v>
      </c>
      <c r="B21" s="11">
        <v>30667</v>
      </c>
      <c r="C21" s="11">
        <v>25984</v>
      </c>
      <c r="D21" s="25">
        <f t="shared" si="0"/>
        <v>-4683</v>
      </c>
    </row>
    <row r="22" spans="1:4" x14ac:dyDescent="0.2">
      <c r="A22" s="10">
        <v>19</v>
      </c>
      <c r="B22" s="11">
        <v>42000</v>
      </c>
      <c r="C22" s="11">
        <v>40913</v>
      </c>
      <c r="D22" s="25">
        <f t="shared" si="0"/>
        <v>-1087</v>
      </c>
    </row>
    <row r="23" spans="1:4" x14ac:dyDescent="0.2">
      <c r="A23" s="10">
        <v>20</v>
      </c>
      <c r="B23" s="11">
        <v>30768</v>
      </c>
      <c r="C23" s="11">
        <v>30691</v>
      </c>
      <c r="D23" s="25">
        <f t="shared" si="0"/>
        <v>-77</v>
      </c>
    </row>
    <row r="24" spans="1:4" x14ac:dyDescent="0.2">
      <c r="A24" s="10">
        <v>21</v>
      </c>
      <c r="B24" s="11">
        <v>30667</v>
      </c>
      <c r="C24" s="11">
        <v>31540</v>
      </c>
      <c r="D24" s="25">
        <f t="shared" si="0"/>
        <v>873</v>
      </c>
    </row>
    <row r="25" spans="1:4" x14ac:dyDescent="0.2">
      <c r="A25" s="10">
        <v>22</v>
      </c>
      <c r="B25" s="11">
        <v>32491</v>
      </c>
      <c r="C25" s="11">
        <v>37564</v>
      </c>
      <c r="D25" s="25">
        <f t="shared" si="0"/>
        <v>5073</v>
      </c>
    </row>
    <row r="26" spans="1:4" x14ac:dyDescent="0.2">
      <c r="A26" s="10">
        <v>23</v>
      </c>
      <c r="B26" s="11">
        <v>30667</v>
      </c>
      <c r="C26" s="11">
        <v>31168</v>
      </c>
      <c r="D26" s="25">
        <f t="shared" si="0"/>
        <v>501</v>
      </c>
    </row>
    <row r="27" spans="1:4" x14ac:dyDescent="0.2">
      <c r="A27" s="10">
        <v>24</v>
      </c>
      <c r="B27" s="11">
        <v>30523</v>
      </c>
      <c r="C27" s="11">
        <v>31256</v>
      </c>
      <c r="D27" s="25">
        <f t="shared" si="0"/>
        <v>733</v>
      </c>
    </row>
    <row r="28" spans="1:4" x14ac:dyDescent="0.2">
      <c r="A28" s="10">
        <v>25</v>
      </c>
      <c r="B28" s="11">
        <v>50382</v>
      </c>
      <c r="C28" s="11">
        <v>51173</v>
      </c>
      <c r="D28" s="25">
        <f t="shared" si="0"/>
        <v>791</v>
      </c>
    </row>
    <row r="29" spans="1:4" x14ac:dyDescent="0.2">
      <c r="A29" s="10">
        <v>26</v>
      </c>
      <c r="B29" s="11">
        <v>44191</v>
      </c>
      <c r="C29" s="11">
        <v>45241</v>
      </c>
      <c r="D29" s="25">
        <f t="shared" si="0"/>
        <v>1050</v>
      </c>
    </row>
    <row r="30" spans="1:4" x14ac:dyDescent="0.2">
      <c r="A30" s="10">
        <v>27</v>
      </c>
      <c r="B30" s="11">
        <v>45649</v>
      </c>
      <c r="C30" s="11">
        <v>46501</v>
      </c>
      <c r="D30" s="25">
        <f t="shared" si="0"/>
        <v>852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917005</v>
      </c>
      <c r="C35" s="11">
        <f>SUM(C4:C34)</f>
        <v>926123</v>
      </c>
      <c r="D35" s="11">
        <f>SUM(D4:D34)</f>
        <v>9118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37042</v>
      </c>
      <c r="D38" s="51">
        <v>3950</v>
      </c>
    </row>
    <row r="39" spans="1:4" x14ac:dyDescent="0.2">
      <c r="A39" s="2"/>
      <c r="D39" s="24"/>
    </row>
    <row r="40" spans="1:4" x14ac:dyDescent="0.2">
      <c r="A40" s="57">
        <v>37069</v>
      </c>
      <c r="D40" s="51">
        <f>+D38+D35</f>
        <v>13068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2" workbookViewId="3">
      <selection activeCell="G31" sqref="G3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24314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-1278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24238</v>
      </c>
      <c r="C7" s="11">
        <v>24500</v>
      </c>
      <c r="D7" s="11">
        <v>8984</v>
      </c>
      <c r="E7" s="11">
        <v>8606</v>
      </c>
      <c r="F7" s="11"/>
      <c r="G7" s="11"/>
      <c r="H7" s="11">
        <v>539</v>
      </c>
      <c r="I7" s="11"/>
      <c r="J7" s="11">
        <f t="shared" si="0"/>
        <v>-655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24304</v>
      </c>
      <c r="C8" s="11">
        <v>24500</v>
      </c>
      <c r="D8" s="11">
        <v>9439</v>
      </c>
      <c r="E8" s="11">
        <v>8606</v>
      </c>
      <c r="F8" s="11"/>
      <c r="G8" s="11"/>
      <c r="H8" s="11"/>
      <c r="I8" s="11"/>
      <c r="J8" s="11">
        <f t="shared" si="0"/>
        <v>-637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24060</v>
      </c>
      <c r="C9" s="11">
        <v>24500</v>
      </c>
      <c r="D9" s="11">
        <v>8672</v>
      </c>
      <c r="E9" s="11">
        <v>8606</v>
      </c>
      <c r="F9" s="11"/>
      <c r="G9" s="11"/>
      <c r="H9" s="11"/>
      <c r="I9" s="11"/>
      <c r="J9" s="11">
        <f t="shared" si="0"/>
        <v>374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23641</v>
      </c>
      <c r="C10" s="11">
        <v>24500</v>
      </c>
      <c r="D10" s="11">
        <v>9313</v>
      </c>
      <c r="E10" s="11">
        <v>8606</v>
      </c>
      <c r="F10" s="11"/>
      <c r="G10" s="11"/>
      <c r="H10" s="11"/>
      <c r="I10" s="11"/>
      <c r="J10" s="11">
        <f t="shared" si="0"/>
        <v>152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23501</v>
      </c>
      <c r="C11" s="11">
        <v>22921</v>
      </c>
      <c r="D11" s="11">
        <v>9459</v>
      </c>
      <c r="E11" s="11">
        <v>8606</v>
      </c>
      <c r="F11" s="11">
        <v>16257</v>
      </c>
      <c r="G11" s="11">
        <v>17000</v>
      </c>
      <c r="H11" s="11"/>
      <c r="I11" s="11"/>
      <c r="J11" s="11">
        <f t="shared" si="0"/>
        <v>-690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23049</v>
      </c>
      <c r="C12" s="11">
        <v>23122</v>
      </c>
      <c r="D12" s="11">
        <v>9277</v>
      </c>
      <c r="E12" s="11">
        <v>8765</v>
      </c>
      <c r="F12" s="11">
        <v>18781</v>
      </c>
      <c r="G12" s="11">
        <v>17000</v>
      </c>
      <c r="H12" s="11"/>
      <c r="I12" s="11"/>
      <c r="J12" s="11">
        <f t="shared" si="0"/>
        <v>-2220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23638</v>
      </c>
      <c r="C13" s="11">
        <v>23122</v>
      </c>
      <c r="D13" s="11">
        <v>9494</v>
      </c>
      <c r="E13" s="11">
        <v>8765</v>
      </c>
      <c r="F13" s="11">
        <v>20416</v>
      </c>
      <c r="G13" s="11">
        <v>17000</v>
      </c>
      <c r="H13" s="11"/>
      <c r="I13" s="11"/>
      <c r="J13" s="11">
        <f t="shared" si="0"/>
        <v>-4661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23508</v>
      </c>
      <c r="C14" s="11">
        <v>24500</v>
      </c>
      <c r="D14" s="11">
        <v>9327</v>
      </c>
      <c r="E14" s="11">
        <v>8765</v>
      </c>
      <c r="F14" s="11">
        <v>20334</v>
      </c>
      <c r="G14" s="11">
        <v>17000</v>
      </c>
      <c r="H14" s="11"/>
      <c r="I14" s="11"/>
      <c r="J14" s="11">
        <f t="shared" si="0"/>
        <v>-2904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23361</v>
      </c>
      <c r="C15" s="11">
        <v>22983</v>
      </c>
      <c r="D15" s="11">
        <v>9233</v>
      </c>
      <c r="E15" s="11">
        <v>9000</v>
      </c>
      <c r="F15" s="11">
        <v>20050</v>
      </c>
      <c r="G15" s="11">
        <v>18000</v>
      </c>
      <c r="H15" s="11"/>
      <c r="I15" s="11"/>
      <c r="J15" s="11">
        <f t="shared" si="0"/>
        <v>-2661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23189</v>
      </c>
      <c r="C16" s="11">
        <v>17587</v>
      </c>
      <c r="D16" s="11">
        <v>8413</v>
      </c>
      <c r="E16" s="11">
        <v>9500</v>
      </c>
      <c r="F16" s="11">
        <v>10414</v>
      </c>
      <c r="G16" s="11">
        <v>20000</v>
      </c>
      <c r="H16" s="11"/>
      <c r="I16" s="11"/>
      <c r="J16" s="11">
        <f t="shared" si="0"/>
        <v>5071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23003</v>
      </c>
      <c r="C17" s="11">
        <v>21628</v>
      </c>
      <c r="D17" s="11">
        <v>9709</v>
      </c>
      <c r="E17" s="11">
        <v>9500</v>
      </c>
      <c r="F17" s="11">
        <v>8617</v>
      </c>
      <c r="G17" s="11">
        <v>20000</v>
      </c>
      <c r="H17" s="11">
        <v>0</v>
      </c>
      <c r="I17" s="11"/>
      <c r="J17" s="11">
        <f t="shared" si="0"/>
        <v>9799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22498</v>
      </c>
      <c r="C18" s="11">
        <v>19367</v>
      </c>
      <c r="D18" s="11">
        <v>9344</v>
      </c>
      <c r="E18" s="11">
        <v>9500</v>
      </c>
      <c r="F18" s="11">
        <v>8674</v>
      </c>
      <c r="G18" s="11">
        <v>20000</v>
      </c>
      <c r="H18" s="11">
        <v>649</v>
      </c>
      <c r="I18" s="11"/>
      <c r="J18" s="11">
        <f t="shared" si="0"/>
        <v>7702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22743</v>
      </c>
      <c r="C19" s="11">
        <v>16905</v>
      </c>
      <c r="D19" s="11">
        <v>9112</v>
      </c>
      <c r="E19" s="11">
        <v>9500</v>
      </c>
      <c r="F19" s="11">
        <v>9402</v>
      </c>
      <c r="G19" s="11">
        <v>9000</v>
      </c>
      <c r="H19" s="11"/>
      <c r="I19" s="11"/>
      <c r="J19" s="11">
        <f t="shared" si="0"/>
        <v>-5852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22644</v>
      </c>
      <c r="C20" s="11">
        <v>10973</v>
      </c>
      <c r="D20" s="11">
        <v>9801</v>
      </c>
      <c r="E20" s="11">
        <v>9500</v>
      </c>
      <c r="F20" s="11">
        <v>9775</v>
      </c>
      <c r="G20" s="11">
        <v>9000</v>
      </c>
      <c r="H20" s="11"/>
      <c r="I20" s="11"/>
      <c r="J20" s="11">
        <f t="shared" si="0"/>
        <v>-12747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22708</v>
      </c>
      <c r="C21" s="11">
        <v>23500</v>
      </c>
      <c r="D21" s="11">
        <v>9629</v>
      </c>
      <c r="E21" s="11">
        <v>9500</v>
      </c>
      <c r="F21" s="11">
        <v>9927</v>
      </c>
      <c r="G21" s="11">
        <v>9000</v>
      </c>
      <c r="H21" s="11"/>
      <c r="I21" s="11"/>
      <c r="J21" s="11">
        <f t="shared" si="0"/>
        <v>-264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22600</v>
      </c>
      <c r="C22" s="11">
        <v>22000</v>
      </c>
      <c r="D22" s="11">
        <v>10013</v>
      </c>
      <c r="E22" s="11">
        <v>9000</v>
      </c>
      <c r="F22" s="11">
        <v>9851</v>
      </c>
      <c r="G22" s="11">
        <v>10000</v>
      </c>
      <c r="H22" s="11"/>
      <c r="I22" s="11"/>
      <c r="J22" s="11">
        <f t="shared" si="0"/>
        <v>-1464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22362</v>
      </c>
      <c r="C23" s="11">
        <v>22000</v>
      </c>
      <c r="D23" s="11">
        <v>9664</v>
      </c>
      <c r="E23" s="11">
        <v>9000</v>
      </c>
      <c r="F23" s="11">
        <v>9739</v>
      </c>
      <c r="G23" s="11">
        <v>6286</v>
      </c>
      <c r="H23" s="11"/>
      <c r="I23" s="11"/>
      <c r="J23" s="11">
        <f t="shared" si="0"/>
        <v>-4479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22414</v>
      </c>
      <c r="C24" s="11">
        <v>22000</v>
      </c>
      <c r="D24" s="11">
        <v>9342</v>
      </c>
      <c r="E24" s="11">
        <v>9000</v>
      </c>
      <c r="F24" s="11">
        <v>9736</v>
      </c>
      <c r="G24" s="11">
        <v>9032</v>
      </c>
      <c r="H24" s="11">
        <v>20</v>
      </c>
      <c r="I24" s="11"/>
      <c r="J24" s="11">
        <f t="shared" si="0"/>
        <v>-1480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22190</v>
      </c>
      <c r="C25" s="11">
        <v>22000</v>
      </c>
      <c r="D25" s="11">
        <v>9243</v>
      </c>
      <c r="E25" s="11">
        <v>9000</v>
      </c>
      <c r="F25" s="11">
        <v>9753</v>
      </c>
      <c r="G25" s="11">
        <v>9147</v>
      </c>
      <c r="H25" s="11"/>
      <c r="I25" s="11"/>
      <c r="J25" s="11">
        <f t="shared" si="0"/>
        <v>-1039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21979</v>
      </c>
      <c r="C26" s="11">
        <v>22000</v>
      </c>
      <c r="D26" s="11">
        <v>9350</v>
      </c>
      <c r="E26" s="11">
        <v>9000</v>
      </c>
      <c r="F26" s="11">
        <v>9540</v>
      </c>
      <c r="G26" s="11">
        <v>9308</v>
      </c>
      <c r="H26" s="11"/>
      <c r="I26" s="11"/>
      <c r="J26" s="11">
        <f t="shared" si="0"/>
        <v>-561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21898</v>
      </c>
      <c r="C27" s="11">
        <v>22000</v>
      </c>
      <c r="D27" s="11">
        <v>8946</v>
      </c>
      <c r="E27" s="11">
        <v>9000</v>
      </c>
      <c r="F27" s="11">
        <v>9665</v>
      </c>
      <c r="G27" s="11">
        <v>8218</v>
      </c>
      <c r="H27" s="11"/>
      <c r="I27" s="11"/>
      <c r="J27" s="11">
        <f t="shared" si="0"/>
        <v>-1291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21817</v>
      </c>
      <c r="C28" s="11">
        <v>22000</v>
      </c>
      <c r="D28" s="11">
        <v>9592</v>
      </c>
      <c r="E28" s="11">
        <v>9000</v>
      </c>
      <c r="F28" s="11">
        <v>10029</v>
      </c>
      <c r="G28" s="11">
        <v>10000</v>
      </c>
      <c r="H28" s="11"/>
      <c r="I28" s="11"/>
      <c r="J28" s="11">
        <f t="shared" si="0"/>
        <v>-438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21300</v>
      </c>
      <c r="C29" s="11">
        <v>22000</v>
      </c>
      <c r="D29" s="11">
        <v>9337</v>
      </c>
      <c r="E29" s="11">
        <v>9000</v>
      </c>
      <c r="F29" s="11">
        <v>12290</v>
      </c>
      <c r="G29" s="11">
        <v>15633</v>
      </c>
      <c r="H29" s="11"/>
      <c r="I29" s="11"/>
      <c r="J29" s="11">
        <f t="shared" si="0"/>
        <v>3706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21023</v>
      </c>
      <c r="C30" s="11">
        <v>22000</v>
      </c>
      <c r="D30" s="11">
        <v>9181</v>
      </c>
      <c r="E30" s="11">
        <v>9000</v>
      </c>
      <c r="F30" s="11">
        <v>13362</v>
      </c>
      <c r="G30" s="11">
        <v>19737</v>
      </c>
      <c r="H30" s="11"/>
      <c r="I30" s="11"/>
      <c r="J30" s="11">
        <f t="shared" si="0"/>
        <v>7171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621336</v>
      </c>
      <c r="C35" s="11">
        <f t="shared" ref="C35:I35" si="1">SUM(C4:C34)</f>
        <v>596854</v>
      </c>
      <c r="D35" s="11">
        <f t="shared" si="1"/>
        <v>251428</v>
      </c>
      <c r="E35" s="11">
        <f t="shared" si="1"/>
        <v>244537</v>
      </c>
      <c r="F35" s="11">
        <f t="shared" si="1"/>
        <v>247082</v>
      </c>
      <c r="G35" s="11">
        <f t="shared" si="1"/>
        <v>270361</v>
      </c>
      <c r="H35" s="11">
        <f t="shared" si="1"/>
        <v>1336</v>
      </c>
      <c r="I35" s="11">
        <f t="shared" si="1"/>
        <v>0</v>
      </c>
      <c r="J35" s="11">
        <f>SUM(J4:J34)</f>
        <v>-9430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3.22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-30364.600000000002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37042</v>
      </c>
      <c r="C39" s="25"/>
      <c r="E39" s="25"/>
      <c r="G39" s="25"/>
      <c r="I39" s="25"/>
      <c r="J39" s="412">
        <v>409454.99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61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37069</v>
      </c>
      <c r="J41" s="361">
        <f>+J39+J37</f>
        <v>379090.39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6" workbookViewId="3">
      <selection activeCell="E33" sqref="E3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35902</v>
      </c>
      <c r="F9" s="24">
        <f t="shared" si="0"/>
        <v>2121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43017</v>
      </c>
      <c r="F10" s="24">
        <f t="shared" si="0"/>
        <v>-183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72748</v>
      </c>
      <c r="E11" s="24">
        <v>72064</v>
      </c>
      <c r="F11" s="24">
        <f t="shared" si="0"/>
        <v>-684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39748</v>
      </c>
      <c r="E12" s="24">
        <v>42722</v>
      </c>
      <c r="F12" s="24">
        <f t="shared" si="0"/>
        <v>2974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97083</v>
      </c>
      <c r="E13" s="24">
        <v>82378</v>
      </c>
      <c r="F13" s="24">
        <f t="shared" si="0"/>
        <v>-14705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90041</v>
      </c>
      <c r="E14" s="24">
        <v>103739</v>
      </c>
      <c r="F14" s="24">
        <f t="shared" si="0"/>
        <v>13698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75041</v>
      </c>
      <c r="E15" s="24">
        <v>75942</v>
      </c>
      <c r="F15" s="24">
        <f t="shared" si="0"/>
        <v>901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56886</v>
      </c>
      <c r="E16" s="24">
        <v>57625</v>
      </c>
      <c r="F16" s="24">
        <f t="shared" si="0"/>
        <v>739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29748</v>
      </c>
      <c r="E17" s="24">
        <v>31461</v>
      </c>
      <c r="F17" s="24">
        <f t="shared" si="0"/>
        <v>1713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88919</v>
      </c>
      <c r="E18" s="24">
        <v>90366</v>
      </c>
      <c r="F18" s="24">
        <f t="shared" si="0"/>
        <v>1447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79148</v>
      </c>
      <c r="E19" s="24">
        <v>78922</v>
      </c>
      <c r="F19" s="24">
        <f t="shared" si="0"/>
        <v>-226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81301</v>
      </c>
      <c r="E20" s="24">
        <v>80189</v>
      </c>
      <c r="F20" s="24">
        <f t="shared" si="0"/>
        <v>-1112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82227</v>
      </c>
      <c r="E21" s="24">
        <v>85181</v>
      </c>
      <c r="F21" s="24">
        <f t="shared" si="0"/>
        <v>2954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95132</v>
      </c>
      <c r="E22" s="24">
        <v>101901</v>
      </c>
      <c r="F22" s="24">
        <f t="shared" si="0"/>
        <v>6769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60108</v>
      </c>
      <c r="E23" s="24">
        <v>61461</v>
      </c>
      <c r="F23" s="24">
        <f t="shared" si="0"/>
        <v>1353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64251</v>
      </c>
      <c r="E24" s="24">
        <v>65434</v>
      </c>
      <c r="F24" s="24">
        <f t="shared" si="0"/>
        <v>1183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67619</v>
      </c>
      <c r="E25" s="24">
        <v>68771</v>
      </c>
      <c r="F25" s="24">
        <f t="shared" si="0"/>
        <v>1152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61516</v>
      </c>
      <c r="E26" s="24">
        <v>71394</v>
      </c>
      <c r="F26" s="24">
        <f t="shared" si="0"/>
        <v>9878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44940</v>
      </c>
      <c r="E27" s="24">
        <v>55339</v>
      </c>
      <c r="F27" s="24">
        <f t="shared" si="0"/>
        <v>10399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53548</v>
      </c>
      <c r="E28" s="24">
        <v>58992</v>
      </c>
      <c r="F28" s="24">
        <f t="shared" si="0"/>
        <v>5444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59038</v>
      </c>
      <c r="E29" s="24">
        <v>64711</v>
      </c>
      <c r="F29" s="24">
        <f t="shared" si="0"/>
        <v>5673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v>51181</v>
      </c>
      <c r="E30" s="24">
        <v>54039</v>
      </c>
      <c r="F30" s="24">
        <f t="shared" si="0"/>
        <v>2858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v>46122</v>
      </c>
      <c r="E31" s="24">
        <v>53864</v>
      </c>
      <c r="F31" s="24">
        <f t="shared" si="0"/>
        <v>7742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v>62496</v>
      </c>
      <c r="E32" s="24">
        <v>53842</v>
      </c>
      <c r="F32" s="24">
        <f t="shared" si="0"/>
        <v>-8654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1594579</v>
      </c>
      <c r="E37" s="24">
        <f>SUM(E6:E36)</f>
        <v>1654212</v>
      </c>
      <c r="F37" s="24">
        <f>SUM(F6:F36)</f>
        <v>59633</v>
      </c>
      <c r="G37" s="365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3.22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192018.26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07">
        <v>327664.28999999998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37069</v>
      </c>
      <c r="E41" s="14"/>
      <c r="F41" s="104">
        <f>+F40+F39</f>
        <v>519682.55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3" workbookViewId="3">
      <selection activeCell="D31" sqref="D3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">
      <c r="A11" s="10">
        <v>4</v>
      </c>
      <c r="B11" s="11"/>
      <c r="C11" s="11"/>
      <c r="D11" s="11">
        <v>5</v>
      </c>
      <c r="E11" s="11"/>
      <c r="F11" s="25">
        <f t="shared" si="0"/>
        <v>-5</v>
      </c>
    </row>
    <row r="12" spans="1:6" x14ac:dyDescent="0.2">
      <c r="A12" s="10">
        <v>5</v>
      </c>
      <c r="B12" s="11"/>
      <c r="C12" s="11"/>
      <c r="D12" s="11">
        <v>9</v>
      </c>
      <c r="E12" s="11"/>
      <c r="F12" s="25">
        <f t="shared" si="0"/>
        <v>-9</v>
      </c>
    </row>
    <row r="13" spans="1:6" x14ac:dyDescent="0.2">
      <c r="A13" s="10">
        <v>6</v>
      </c>
      <c r="B13" s="11"/>
      <c r="C13" s="11"/>
      <c r="D13" s="11">
        <v>1</v>
      </c>
      <c r="E13" s="11"/>
      <c r="F13" s="25">
        <f t="shared" si="0"/>
        <v>-1</v>
      </c>
    </row>
    <row r="14" spans="1:6" x14ac:dyDescent="0.2">
      <c r="A14" s="10">
        <v>7</v>
      </c>
      <c r="B14" s="11"/>
      <c r="C14" s="11"/>
      <c r="D14" s="11">
        <v>8</v>
      </c>
      <c r="E14" s="11"/>
      <c r="F14" s="25">
        <f t="shared" si="0"/>
        <v>-8</v>
      </c>
    </row>
    <row r="15" spans="1:6" x14ac:dyDescent="0.2">
      <c r="A15" s="10">
        <v>8</v>
      </c>
      <c r="B15" s="11"/>
      <c r="C15" s="11"/>
      <c r="D15" s="11">
        <v>3</v>
      </c>
      <c r="E15" s="11"/>
      <c r="F15" s="25">
        <f t="shared" si="0"/>
        <v>-3</v>
      </c>
    </row>
    <row r="16" spans="1:6" x14ac:dyDescent="0.2">
      <c r="A16" s="10">
        <v>9</v>
      </c>
      <c r="B16" s="11"/>
      <c r="C16" s="11"/>
      <c r="D16" s="11">
        <v>8</v>
      </c>
      <c r="E16" s="11"/>
      <c r="F16" s="25">
        <f t="shared" si="0"/>
        <v>-8</v>
      </c>
    </row>
    <row r="17" spans="1:10" x14ac:dyDescent="0.2">
      <c r="A17" s="10">
        <v>10</v>
      </c>
      <c r="B17" s="11"/>
      <c r="C17" s="11"/>
      <c r="D17" s="11">
        <v>17</v>
      </c>
      <c r="E17" s="11"/>
      <c r="F17" s="25">
        <f t="shared" si="0"/>
        <v>-17</v>
      </c>
      <c r="J17" s="366"/>
    </row>
    <row r="18" spans="1:10" x14ac:dyDescent="0.2">
      <c r="A18" s="10">
        <v>11</v>
      </c>
      <c r="B18" s="11"/>
      <c r="C18" s="11"/>
      <c r="D18" s="11">
        <v>15</v>
      </c>
      <c r="E18" s="11"/>
      <c r="F18" s="25">
        <f t="shared" si="0"/>
        <v>-15</v>
      </c>
      <c r="J18" s="32"/>
    </row>
    <row r="19" spans="1:10" x14ac:dyDescent="0.2">
      <c r="A19" s="10">
        <v>12</v>
      </c>
      <c r="B19" s="11"/>
      <c r="C19" s="11"/>
      <c r="D19" s="11">
        <v>10</v>
      </c>
      <c r="E19" s="11"/>
      <c r="F19" s="25">
        <f t="shared" si="0"/>
        <v>-10</v>
      </c>
      <c r="J19" s="136"/>
    </row>
    <row r="20" spans="1:10" x14ac:dyDescent="0.2">
      <c r="A20" s="10">
        <v>13</v>
      </c>
      <c r="B20" s="11"/>
      <c r="C20" s="11"/>
      <c r="D20" s="11">
        <v>12</v>
      </c>
      <c r="E20" s="11"/>
      <c r="F20" s="25">
        <f t="shared" si="0"/>
        <v>-12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>
        <v>16</v>
      </c>
      <c r="E23" s="11"/>
      <c r="F23" s="25">
        <f t="shared" si="0"/>
        <v>-16</v>
      </c>
    </row>
    <row r="24" spans="1:10" x14ac:dyDescent="0.2">
      <c r="A24" s="10">
        <v>17</v>
      </c>
      <c r="B24" s="11"/>
      <c r="C24" s="11"/>
      <c r="D24" s="11">
        <v>15</v>
      </c>
      <c r="E24" s="11"/>
      <c r="F24" s="25">
        <f t="shared" si="0"/>
        <v>-15</v>
      </c>
    </row>
    <row r="25" spans="1:10" x14ac:dyDescent="0.2">
      <c r="A25" s="10">
        <v>18</v>
      </c>
      <c r="B25" s="11"/>
      <c r="C25" s="11"/>
      <c r="D25" s="11">
        <v>13</v>
      </c>
      <c r="E25" s="11"/>
      <c r="F25" s="25">
        <f t="shared" si="0"/>
        <v>-13</v>
      </c>
    </row>
    <row r="26" spans="1:10" x14ac:dyDescent="0.2">
      <c r="A26" s="10">
        <v>19</v>
      </c>
      <c r="B26" s="11"/>
      <c r="C26" s="11"/>
      <c r="D26" s="11">
        <v>14</v>
      </c>
      <c r="E26" s="11"/>
      <c r="F26" s="25">
        <f t="shared" si="0"/>
        <v>-14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>
        <v>8</v>
      </c>
      <c r="E32" s="11"/>
      <c r="F32" s="25">
        <f t="shared" si="0"/>
        <v>-8</v>
      </c>
    </row>
    <row r="33" spans="1:6" x14ac:dyDescent="0.2">
      <c r="A33" s="10">
        <v>26</v>
      </c>
      <c r="B33" s="11"/>
      <c r="C33" s="11"/>
      <c r="D33" s="11">
        <v>12</v>
      </c>
      <c r="E33" s="11"/>
      <c r="F33" s="25">
        <f t="shared" si="0"/>
        <v>-12</v>
      </c>
    </row>
    <row r="34" spans="1:6" x14ac:dyDescent="0.2">
      <c r="A34" s="10">
        <v>27</v>
      </c>
      <c r="B34" s="11"/>
      <c r="C34" s="11"/>
      <c r="D34" s="11">
        <v>15</v>
      </c>
      <c r="E34" s="11"/>
      <c r="F34" s="25">
        <f t="shared" si="0"/>
        <v>-15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222</v>
      </c>
      <c r="E39" s="11">
        <f>SUM(E8:E38)</f>
        <v>40</v>
      </c>
      <c r="F39" s="25">
        <f>SUM(F8:F38)</f>
        <v>-182</v>
      </c>
    </row>
    <row r="40" spans="1:6" x14ac:dyDescent="0.2">
      <c r="A40" s="26"/>
      <c r="C40" s="14"/>
      <c r="F40" s="261">
        <f>+summary!P11</f>
        <v>3.22</v>
      </c>
    </row>
    <row r="41" spans="1:6" x14ac:dyDescent="0.2">
      <c r="F41" s="138">
        <f>+F40*F39</f>
        <v>-586.04000000000008</v>
      </c>
    </row>
    <row r="42" spans="1:6" x14ac:dyDescent="0.2">
      <c r="A42" s="57">
        <v>37042</v>
      </c>
      <c r="C42" s="15"/>
      <c r="F42" s="405">
        <v>-18571.37</v>
      </c>
    </row>
    <row r="43" spans="1:6" x14ac:dyDescent="0.2">
      <c r="A43" s="57">
        <v>37069</v>
      </c>
      <c r="C43" s="48"/>
      <c r="F43" s="138">
        <f>+F42+F41</f>
        <v>-19157.41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+summary!P11</f>
        <v>3.22</v>
      </c>
    </row>
    <row r="41" spans="1:4" x14ac:dyDescent="0.2">
      <c r="D41" s="138">
        <f>+D40*D39</f>
        <v>0</v>
      </c>
    </row>
    <row r="42" spans="1:4" x14ac:dyDescent="0.2">
      <c r="A42" s="57">
        <v>37042</v>
      </c>
      <c r="C42" s="15"/>
      <c r="D42" s="405">
        <v>326755</v>
      </c>
    </row>
    <row r="43" spans="1:4" x14ac:dyDescent="0.2">
      <c r="A43" s="57">
        <v>37069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1" workbookViewId="3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">
      <c r="A10" s="10">
        <v>5</v>
      </c>
      <c r="B10" s="11">
        <v>-41682</v>
      </c>
      <c r="C10" s="11">
        <v>-45983</v>
      </c>
      <c r="D10" s="25">
        <f t="shared" si="0"/>
        <v>-4301</v>
      </c>
    </row>
    <row r="11" spans="1:4" x14ac:dyDescent="0.2">
      <c r="A11" s="10">
        <v>6</v>
      </c>
      <c r="B11" s="11">
        <v>-60431</v>
      </c>
      <c r="C11" s="11">
        <v>-68633</v>
      </c>
      <c r="D11" s="25">
        <f t="shared" si="0"/>
        <v>-8202</v>
      </c>
    </row>
    <row r="12" spans="1:4" x14ac:dyDescent="0.2">
      <c r="A12" s="10">
        <v>7</v>
      </c>
      <c r="B12" s="11">
        <v>-62347</v>
      </c>
      <c r="C12" s="11">
        <v>-50000</v>
      </c>
      <c r="D12" s="25">
        <f t="shared" si="0"/>
        <v>12347</v>
      </c>
    </row>
    <row r="13" spans="1:4" x14ac:dyDescent="0.2">
      <c r="A13" s="10">
        <v>8</v>
      </c>
      <c r="B13" s="11">
        <v>-65929</v>
      </c>
      <c r="C13" s="11">
        <v>-79625</v>
      </c>
      <c r="D13" s="25">
        <f t="shared" si="0"/>
        <v>-13696</v>
      </c>
    </row>
    <row r="14" spans="1:4" x14ac:dyDescent="0.2">
      <c r="A14" s="10">
        <v>9</v>
      </c>
      <c r="B14" s="11">
        <v>-52330</v>
      </c>
      <c r="C14" s="11">
        <v>-64819</v>
      </c>
      <c r="D14" s="25">
        <f t="shared" si="0"/>
        <v>-12489</v>
      </c>
    </row>
    <row r="15" spans="1:4" x14ac:dyDescent="0.2">
      <c r="A15" s="10">
        <v>10</v>
      </c>
      <c r="B15" s="11">
        <v>-42397</v>
      </c>
      <c r="C15" s="11">
        <v>-50000</v>
      </c>
      <c r="D15" s="25">
        <f t="shared" si="0"/>
        <v>-7603</v>
      </c>
    </row>
    <row r="16" spans="1:4" x14ac:dyDescent="0.2">
      <c r="A16" s="10">
        <v>11</v>
      </c>
      <c r="B16" s="11">
        <v>-61555</v>
      </c>
      <c r="C16" s="11">
        <v>-49841</v>
      </c>
      <c r="D16" s="25">
        <f t="shared" si="0"/>
        <v>11714</v>
      </c>
    </row>
    <row r="17" spans="1:4" x14ac:dyDescent="0.2">
      <c r="A17" s="10">
        <v>12</v>
      </c>
      <c r="B17" s="11">
        <v>-55007</v>
      </c>
      <c r="C17" s="11">
        <v>-65300</v>
      </c>
      <c r="D17" s="25">
        <f t="shared" si="0"/>
        <v>-10293</v>
      </c>
    </row>
    <row r="18" spans="1:4" x14ac:dyDescent="0.2">
      <c r="A18" s="10">
        <v>13</v>
      </c>
      <c r="B18" s="11">
        <v>-63094</v>
      </c>
      <c r="C18" s="11">
        <v>-65300</v>
      </c>
      <c r="D18" s="25">
        <f t="shared" si="0"/>
        <v>-2206</v>
      </c>
    </row>
    <row r="19" spans="1:4" x14ac:dyDescent="0.2">
      <c r="A19" s="10">
        <v>14</v>
      </c>
      <c r="B19" s="11">
        <v>-61350</v>
      </c>
      <c r="C19" s="11">
        <v>-65241</v>
      </c>
      <c r="D19" s="25">
        <f t="shared" si="0"/>
        <v>-3891</v>
      </c>
    </row>
    <row r="20" spans="1:4" x14ac:dyDescent="0.2">
      <c r="A20" s="10">
        <v>15</v>
      </c>
      <c r="B20" s="11">
        <v>-43564</v>
      </c>
      <c r="C20" s="11">
        <v>-40000</v>
      </c>
      <c r="D20" s="25">
        <f t="shared" si="0"/>
        <v>3564</v>
      </c>
    </row>
    <row r="21" spans="1:4" x14ac:dyDescent="0.2">
      <c r="A21" s="10">
        <v>16</v>
      </c>
      <c r="B21" s="11">
        <v>-41480</v>
      </c>
      <c r="C21" s="11">
        <v>-40000</v>
      </c>
      <c r="D21" s="25">
        <f t="shared" si="0"/>
        <v>1480</v>
      </c>
    </row>
    <row r="22" spans="1:4" x14ac:dyDescent="0.2">
      <c r="A22" s="10">
        <v>17</v>
      </c>
      <c r="B22" s="11">
        <v>-41244</v>
      </c>
      <c r="C22" s="11">
        <v>-40001</v>
      </c>
      <c r="D22" s="25">
        <f t="shared" si="0"/>
        <v>1243</v>
      </c>
    </row>
    <row r="23" spans="1:4" x14ac:dyDescent="0.2">
      <c r="A23" s="10">
        <v>18</v>
      </c>
      <c r="B23" s="11">
        <v>-53603</v>
      </c>
      <c r="C23" s="11">
        <v>-50000</v>
      </c>
      <c r="D23" s="25">
        <f t="shared" si="0"/>
        <v>3603</v>
      </c>
    </row>
    <row r="24" spans="1:4" x14ac:dyDescent="0.2">
      <c r="A24" s="10">
        <v>19</v>
      </c>
      <c r="B24" s="11">
        <v>-70811</v>
      </c>
      <c r="C24" s="11">
        <v>-65199</v>
      </c>
      <c r="D24" s="25">
        <f t="shared" si="0"/>
        <v>5612</v>
      </c>
    </row>
    <row r="25" spans="1:4" x14ac:dyDescent="0.2">
      <c r="A25" s="10">
        <v>20</v>
      </c>
      <c r="B25" s="11">
        <v>-68739</v>
      </c>
      <c r="C25" s="11">
        <v>-65286</v>
      </c>
      <c r="D25" s="25">
        <f t="shared" si="0"/>
        <v>3453</v>
      </c>
    </row>
    <row r="26" spans="1:4" x14ac:dyDescent="0.2">
      <c r="A26" s="10">
        <v>21</v>
      </c>
      <c r="B26" s="11">
        <v>-66650</v>
      </c>
      <c r="C26" s="11">
        <v>-65300</v>
      </c>
      <c r="D26" s="25">
        <f t="shared" si="0"/>
        <v>1350</v>
      </c>
    </row>
    <row r="27" spans="1:4" x14ac:dyDescent="0.2">
      <c r="A27" s="10">
        <v>22</v>
      </c>
      <c r="B27" s="11">
        <v>-67968</v>
      </c>
      <c r="C27" s="11">
        <v>-65300</v>
      </c>
      <c r="D27" s="25">
        <f t="shared" si="0"/>
        <v>2668</v>
      </c>
    </row>
    <row r="28" spans="1:4" x14ac:dyDescent="0.2">
      <c r="A28" s="10">
        <v>23</v>
      </c>
      <c r="B28" s="11">
        <v>-60475</v>
      </c>
      <c r="C28" s="11">
        <v>-50000</v>
      </c>
      <c r="D28" s="25">
        <f t="shared" si="0"/>
        <v>10475</v>
      </c>
    </row>
    <row r="29" spans="1:4" x14ac:dyDescent="0.2">
      <c r="A29" s="10">
        <v>24</v>
      </c>
      <c r="B29" s="11">
        <v>-40827</v>
      </c>
      <c r="C29" s="11">
        <v>-50000</v>
      </c>
      <c r="D29" s="25">
        <f t="shared" si="0"/>
        <v>-9173</v>
      </c>
    </row>
    <row r="30" spans="1:4" x14ac:dyDescent="0.2">
      <c r="A30" s="10">
        <v>25</v>
      </c>
      <c r="B30" s="11">
        <v>-40877</v>
      </c>
      <c r="C30" s="11">
        <v>-50000</v>
      </c>
      <c r="D30" s="25">
        <f t="shared" si="0"/>
        <v>-9123</v>
      </c>
    </row>
    <row r="31" spans="1:4" x14ac:dyDescent="0.2">
      <c r="A31" s="10">
        <v>26</v>
      </c>
      <c r="B31" s="11">
        <v>-41651</v>
      </c>
      <c r="C31" s="11">
        <v>-40000</v>
      </c>
      <c r="D31" s="25">
        <f t="shared" si="0"/>
        <v>1651</v>
      </c>
    </row>
    <row r="32" spans="1:4" x14ac:dyDescent="0.2">
      <c r="A32" s="10">
        <v>27</v>
      </c>
      <c r="B32" s="11">
        <v>-42968</v>
      </c>
      <c r="C32" s="11">
        <v>-40000</v>
      </c>
      <c r="D32" s="25">
        <f t="shared" si="0"/>
        <v>2968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-1417512</v>
      </c>
      <c r="C37" s="11">
        <f>SUM(C6:C36)</f>
        <v>-1412878</v>
      </c>
      <c r="D37" s="25">
        <f>SUM(D6:D36)</f>
        <v>4634</v>
      </c>
    </row>
    <row r="38" spans="1:4" x14ac:dyDescent="0.2">
      <c r="A38" s="26"/>
      <c r="C38" s="14"/>
      <c r="D38" s="373">
        <f>+summary!P11</f>
        <v>3.22</v>
      </c>
    </row>
    <row r="39" spans="1:4" x14ac:dyDescent="0.2">
      <c r="D39" s="138">
        <f>+D38*D37</f>
        <v>14921.480000000001</v>
      </c>
    </row>
    <row r="40" spans="1:4" x14ac:dyDescent="0.2">
      <c r="A40" s="57">
        <v>37042</v>
      </c>
      <c r="C40" s="15"/>
      <c r="D40" s="405">
        <v>-357096.85</v>
      </c>
    </row>
    <row r="41" spans="1:4" x14ac:dyDescent="0.2">
      <c r="A41" s="57">
        <v>37069</v>
      </c>
      <c r="C41" s="48"/>
      <c r="D41" s="138">
        <f>+D40+D39</f>
        <v>-342175.37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142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">
      <c r="A9" s="10">
        <v>4</v>
      </c>
      <c r="B9" s="11">
        <v>32489</v>
      </c>
      <c r="C9" s="11">
        <v>40000</v>
      </c>
      <c r="D9" s="25">
        <f t="shared" si="0"/>
        <v>7511</v>
      </c>
    </row>
    <row r="10" spans="1:4" x14ac:dyDescent="0.2">
      <c r="A10" s="10">
        <v>5</v>
      </c>
      <c r="B10" s="11">
        <v>39177</v>
      </c>
      <c r="C10" s="11">
        <v>38000</v>
      </c>
      <c r="D10" s="25">
        <f t="shared" si="0"/>
        <v>-1177</v>
      </c>
    </row>
    <row r="11" spans="1:4" x14ac:dyDescent="0.2">
      <c r="A11" s="10">
        <v>6</v>
      </c>
      <c r="B11" s="11">
        <v>39137</v>
      </c>
      <c r="C11" s="11">
        <v>38000</v>
      </c>
      <c r="D11" s="25">
        <f t="shared" si="0"/>
        <v>-1137</v>
      </c>
    </row>
    <row r="12" spans="1:4" x14ac:dyDescent="0.2">
      <c r="A12" s="10">
        <v>7</v>
      </c>
      <c r="B12" s="11">
        <v>29194</v>
      </c>
      <c r="C12" s="11">
        <v>38000</v>
      </c>
      <c r="D12" s="25">
        <f t="shared" si="0"/>
        <v>8806</v>
      </c>
    </row>
    <row r="13" spans="1:4" x14ac:dyDescent="0.2">
      <c r="A13" s="10">
        <v>8</v>
      </c>
      <c r="B13" s="11">
        <v>34268</v>
      </c>
      <c r="C13" s="11">
        <v>38000</v>
      </c>
      <c r="D13" s="25">
        <f t="shared" si="0"/>
        <v>3732</v>
      </c>
    </row>
    <row r="14" spans="1:4" x14ac:dyDescent="0.2">
      <c r="A14" s="10">
        <v>9</v>
      </c>
      <c r="B14" s="11">
        <v>33780</v>
      </c>
      <c r="C14" s="11">
        <v>37999</v>
      </c>
      <c r="D14" s="25">
        <f t="shared" si="0"/>
        <v>4219</v>
      </c>
    </row>
    <row r="15" spans="1:4" x14ac:dyDescent="0.2">
      <c r="A15" s="10">
        <v>10</v>
      </c>
      <c r="B15" s="11">
        <v>33193</v>
      </c>
      <c r="C15" s="11">
        <v>37999</v>
      </c>
      <c r="D15" s="25">
        <f t="shared" si="0"/>
        <v>4806</v>
      </c>
    </row>
    <row r="16" spans="1:4" x14ac:dyDescent="0.2">
      <c r="A16" s="10">
        <v>11</v>
      </c>
      <c r="B16" s="11">
        <v>2357</v>
      </c>
      <c r="C16" s="11">
        <v>23999</v>
      </c>
      <c r="D16" s="25">
        <f t="shared" si="0"/>
        <v>21642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>
        <v>31271</v>
      </c>
      <c r="C28" s="11">
        <v>30000</v>
      </c>
      <c r="D28" s="25">
        <f t="shared" si="0"/>
        <v>-1271</v>
      </c>
    </row>
    <row r="29" spans="1:4" x14ac:dyDescent="0.2">
      <c r="A29" s="10">
        <v>24</v>
      </c>
      <c r="B29" s="11">
        <v>36296</v>
      </c>
      <c r="C29" s="11">
        <v>30000</v>
      </c>
      <c r="D29" s="25">
        <f t="shared" si="0"/>
        <v>-6296</v>
      </c>
    </row>
    <row r="30" spans="1:4" x14ac:dyDescent="0.2">
      <c r="A30" s="10">
        <v>25</v>
      </c>
      <c r="B30" s="11">
        <v>39015</v>
      </c>
      <c r="C30" s="11">
        <v>30000</v>
      </c>
      <c r="D30" s="25">
        <f t="shared" si="0"/>
        <v>-9015</v>
      </c>
    </row>
    <row r="31" spans="1:4" x14ac:dyDescent="0.2">
      <c r="A31" s="10">
        <v>26</v>
      </c>
      <c r="B31" s="11">
        <v>34862</v>
      </c>
      <c r="C31" s="11">
        <v>34999</v>
      </c>
      <c r="D31" s="25">
        <f t="shared" si="0"/>
        <v>137</v>
      </c>
    </row>
    <row r="32" spans="1:4" x14ac:dyDescent="0.2">
      <c r="A32" s="10">
        <v>27</v>
      </c>
      <c r="B32" s="11">
        <v>43713</v>
      </c>
      <c r="C32" s="11">
        <v>39999</v>
      </c>
      <c r="D32" s="25">
        <f t="shared" si="0"/>
        <v>-3714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531816</v>
      </c>
      <c r="C37" s="11">
        <f>SUM(C6:C36)</f>
        <v>546995</v>
      </c>
      <c r="D37" s="25">
        <f>SUM(D6:D36)</f>
        <v>15179</v>
      </c>
    </row>
    <row r="38" spans="1:4" x14ac:dyDescent="0.2">
      <c r="A38" s="26"/>
      <c r="C38" s="14"/>
      <c r="D38" s="373">
        <f>+summary!P12</f>
        <v>3.55</v>
      </c>
    </row>
    <row r="39" spans="1:4" x14ac:dyDescent="0.2">
      <c r="D39" s="138">
        <f>+D38*D37</f>
        <v>53885.45</v>
      </c>
    </row>
    <row r="40" spans="1:4" x14ac:dyDescent="0.2">
      <c r="A40" s="57">
        <v>37042</v>
      </c>
      <c r="C40" s="15"/>
      <c r="D40" s="405">
        <v>-112130.12</v>
      </c>
    </row>
    <row r="41" spans="1:4" x14ac:dyDescent="0.2">
      <c r="A41" s="57">
        <v>37069</v>
      </c>
      <c r="C41" s="48"/>
      <c r="D41" s="138">
        <f>+D40+D39</f>
        <v>-58244.67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6" workbookViewId="3">
      <selection activeCell="F30" sqref="F30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383957</v>
      </c>
      <c r="C8" s="11">
        <v>398502</v>
      </c>
      <c r="D8" s="11">
        <v>56653</v>
      </c>
      <c r="E8" s="11">
        <v>51016</v>
      </c>
      <c r="F8" s="11">
        <v>75484</v>
      </c>
      <c r="G8" s="11">
        <v>70290</v>
      </c>
      <c r="H8" s="11">
        <v>93011</v>
      </c>
      <c r="I8" s="11">
        <v>84699</v>
      </c>
      <c r="J8" s="11">
        <f t="shared" si="0"/>
        <v>-4598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359161</v>
      </c>
      <c r="C9" s="11">
        <v>377237</v>
      </c>
      <c r="D9" s="11">
        <v>37186</v>
      </c>
      <c r="E9" s="11">
        <v>32959</v>
      </c>
      <c r="F9" s="11">
        <v>76331</v>
      </c>
      <c r="G9" s="11">
        <v>75340</v>
      </c>
      <c r="H9" s="11">
        <v>67920</v>
      </c>
      <c r="I9" s="11">
        <v>61227</v>
      </c>
      <c r="J9" s="11">
        <f t="shared" si="0"/>
        <v>6165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356082</v>
      </c>
      <c r="C10" s="11">
        <v>400000</v>
      </c>
      <c r="D10" s="11">
        <v>72481</v>
      </c>
      <c r="E10" s="11">
        <v>70868</v>
      </c>
      <c r="F10" s="11">
        <v>80602</v>
      </c>
      <c r="G10" s="11">
        <v>85687</v>
      </c>
      <c r="H10" s="11">
        <v>73891</v>
      </c>
      <c r="I10" s="11">
        <v>74915</v>
      </c>
      <c r="J10" s="11">
        <f t="shared" si="0"/>
        <v>48414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347490</v>
      </c>
      <c r="C11" s="11">
        <v>341205</v>
      </c>
      <c r="D11" s="11">
        <v>80045</v>
      </c>
      <c r="E11" s="11">
        <v>69316</v>
      </c>
      <c r="F11" s="11">
        <v>80506</v>
      </c>
      <c r="G11" s="11">
        <v>77451</v>
      </c>
      <c r="H11" s="11">
        <v>95309</v>
      </c>
      <c r="I11" s="11">
        <v>96346</v>
      </c>
      <c r="J11" s="11">
        <f t="shared" si="0"/>
        <v>-19032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227021</v>
      </c>
      <c r="C12" s="11">
        <v>218582</v>
      </c>
      <c r="D12" s="11">
        <v>41724</v>
      </c>
      <c r="E12" s="11">
        <v>47018</v>
      </c>
      <c r="F12" s="11">
        <v>69337</v>
      </c>
      <c r="G12" s="11">
        <v>58706</v>
      </c>
      <c r="H12" s="11">
        <v>55471</v>
      </c>
      <c r="I12" s="11">
        <v>57915</v>
      </c>
      <c r="J12" s="11">
        <f t="shared" si="0"/>
        <v>-11332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206977</v>
      </c>
      <c r="C13" s="11">
        <v>218582</v>
      </c>
      <c r="D13" s="11">
        <v>57075</v>
      </c>
      <c r="E13" s="11">
        <v>47018</v>
      </c>
      <c r="F13" s="11">
        <v>62471</v>
      </c>
      <c r="G13" s="11">
        <v>58706</v>
      </c>
      <c r="H13" s="11">
        <v>60760</v>
      </c>
      <c r="I13" s="11">
        <v>57915</v>
      </c>
      <c r="J13" s="11">
        <f t="shared" si="0"/>
        <v>-5062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247615</v>
      </c>
      <c r="C14" s="11">
        <v>260374</v>
      </c>
      <c r="D14" s="11">
        <v>44330</v>
      </c>
      <c r="E14" s="11">
        <v>39034</v>
      </c>
      <c r="F14" s="11">
        <v>72487</v>
      </c>
      <c r="G14" s="11">
        <v>79683</v>
      </c>
      <c r="H14" s="11">
        <v>53273</v>
      </c>
      <c r="I14" s="11">
        <v>47378</v>
      </c>
      <c r="J14" s="11">
        <f t="shared" si="0"/>
        <v>8764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314990</v>
      </c>
      <c r="C15" s="11">
        <v>315860</v>
      </c>
      <c r="D15" s="11">
        <v>55833</v>
      </c>
      <c r="E15" s="11">
        <v>54940</v>
      </c>
      <c r="F15" s="11">
        <v>75985</v>
      </c>
      <c r="G15" s="11">
        <v>74409</v>
      </c>
      <c r="H15" s="11">
        <v>97302</v>
      </c>
      <c r="I15" s="11">
        <v>96007</v>
      </c>
      <c r="J15" s="11">
        <f t="shared" si="0"/>
        <v>-2894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324658</v>
      </c>
      <c r="C16" s="11">
        <v>318495</v>
      </c>
      <c r="D16" s="11">
        <v>39927</v>
      </c>
      <c r="E16" s="11">
        <v>48780</v>
      </c>
      <c r="F16" s="11">
        <v>69879</v>
      </c>
      <c r="G16" s="11">
        <v>66897</v>
      </c>
      <c r="H16" s="11">
        <v>82453</v>
      </c>
      <c r="I16" s="11">
        <v>76080</v>
      </c>
      <c r="J16" s="11">
        <f t="shared" si="0"/>
        <v>-6665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297028</v>
      </c>
      <c r="C17" s="11">
        <v>295559</v>
      </c>
      <c r="D17" s="11">
        <v>46805</v>
      </c>
      <c r="E17" s="11">
        <v>52236</v>
      </c>
      <c r="F17" s="11">
        <v>74314</v>
      </c>
      <c r="G17" s="11">
        <v>65706</v>
      </c>
      <c r="H17" s="11">
        <v>82731</v>
      </c>
      <c r="I17" s="11">
        <v>82045</v>
      </c>
      <c r="J17" s="11">
        <f t="shared" si="0"/>
        <v>-5332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314898</v>
      </c>
      <c r="C18" s="11">
        <v>332451</v>
      </c>
      <c r="D18" s="11">
        <v>54801</v>
      </c>
      <c r="E18" s="11">
        <v>46979</v>
      </c>
      <c r="F18" s="11">
        <v>66415</v>
      </c>
      <c r="G18" s="11">
        <v>62129</v>
      </c>
      <c r="H18" s="11">
        <v>97837</v>
      </c>
      <c r="I18" s="11">
        <v>88364</v>
      </c>
      <c r="J18" s="11">
        <f t="shared" si="0"/>
        <v>-4028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304910</v>
      </c>
      <c r="C19" s="11">
        <v>333503</v>
      </c>
      <c r="D19" s="11">
        <v>64885</v>
      </c>
      <c r="E19" s="11">
        <v>47967</v>
      </c>
      <c r="F19" s="11">
        <v>63434</v>
      </c>
      <c r="G19" s="11">
        <v>60662</v>
      </c>
      <c r="H19" s="11">
        <v>79061</v>
      </c>
      <c r="I19" s="11">
        <v>68700</v>
      </c>
      <c r="J19" s="11">
        <f t="shared" si="0"/>
        <v>-1458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302926</v>
      </c>
      <c r="C20" s="11">
        <v>334832</v>
      </c>
      <c r="D20" s="11">
        <v>69533</v>
      </c>
      <c r="E20" s="11">
        <v>44264</v>
      </c>
      <c r="F20" s="11">
        <v>66099</v>
      </c>
      <c r="G20" s="11">
        <v>61813</v>
      </c>
      <c r="H20" s="11">
        <v>77275</v>
      </c>
      <c r="I20" s="11">
        <v>66857</v>
      </c>
      <c r="J20" s="11">
        <f t="shared" si="0"/>
        <v>-8067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317995</v>
      </c>
      <c r="C21" s="11">
        <v>331948</v>
      </c>
      <c r="D21" s="11">
        <v>54897</v>
      </c>
      <c r="E21" s="11">
        <v>54895</v>
      </c>
      <c r="F21" s="11">
        <v>63349</v>
      </c>
      <c r="G21" s="11">
        <v>62127</v>
      </c>
      <c r="H21" s="11">
        <v>77264</v>
      </c>
      <c r="I21" s="11">
        <v>66556</v>
      </c>
      <c r="J21" s="11">
        <f t="shared" si="0"/>
        <v>2021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332220</v>
      </c>
      <c r="C22" s="11">
        <v>323242</v>
      </c>
      <c r="D22" s="11">
        <v>55852</v>
      </c>
      <c r="E22" s="11">
        <v>51857</v>
      </c>
      <c r="F22" s="11">
        <v>59277</v>
      </c>
      <c r="G22" s="11">
        <v>62085</v>
      </c>
      <c r="H22" s="11">
        <v>71415</v>
      </c>
      <c r="I22" s="11">
        <v>75600</v>
      </c>
      <c r="J22" s="11">
        <f t="shared" si="0"/>
        <v>-5980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328464</v>
      </c>
      <c r="C23" s="11">
        <v>326015</v>
      </c>
      <c r="D23" s="11">
        <v>60985</v>
      </c>
      <c r="E23" s="11">
        <v>56770</v>
      </c>
      <c r="F23" s="11">
        <v>70350</v>
      </c>
      <c r="G23" s="11">
        <v>64335</v>
      </c>
      <c r="H23" s="11">
        <v>68535</v>
      </c>
      <c r="I23" s="11">
        <v>72168</v>
      </c>
      <c r="J23" s="11">
        <f t="shared" si="0"/>
        <v>-9046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328240</v>
      </c>
      <c r="C24" s="11">
        <v>347088</v>
      </c>
      <c r="D24" s="11">
        <v>59353</v>
      </c>
      <c r="E24" s="11">
        <v>56837</v>
      </c>
      <c r="F24" s="11">
        <v>64398</v>
      </c>
      <c r="G24" s="11">
        <v>62337</v>
      </c>
      <c r="H24" s="11">
        <v>70003</v>
      </c>
      <c r="I24" s="11">
        <v>69622</v>
      </c>
      <c r="J24" s="11">
        <f t="shared" si="0"/>
        <v>13890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321628</v>
      </c>
      <c r="C25" s="11">
        <v>325658</v>
      </c>
      <c r="D25" s="11">
        <v>63913</v>
      </c>
      <c r="E25" s="11">
        <v>56580</v>
      </c>
      <c r="F25" s="11">
        <v>68501</v>
      </c>
      <c r="G25" s="11">
        <v>66758</v>
      </c>
      <c r="H25" s="11">
        <v>77524</v>
      </c>
      <c r="I25" s="11">
        <v>70276</v>
      </c>
      <c r="J25" s="11">
        <f t="shared" si="0"/>
        <v>-12294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311325</v>
      </c>
      <c r="C26" s="11">
        <v>330095</v>
      </c>
      <c r="D26" s="11">
        <v>62152</v>
      </c>
      <c r="E26" s="11">
        <v>56415</v>
      </c>
      <c r="F26" s="11">
        <v>63936</v>
      </c>
      <c r="G26" s="11">
        <v>57421</v>
      </c>
      <c r="H26" s="11">
        <v>90398</v>
      </c>
      <c r="I26" s="11">
        <v>81717</v>
      </c>
      <c r="J26" s="11">
        <f t="shared" si="0"/>
        <v>-2163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281427</v>
      </c>
      <c r="C27" s="11">
        <v>300369</v>
      </c>
      <c r="D27" s="11">
        <v>53794</v>
      </c>
      <c r="E27" s="11">
        <v>56387</v>
      </c>
      <c r="F27" s="11">
        <v>56075</v>
      </c>
      <c r="G27" s="11">
        <v>50201</v>
      </c>
      <c r="H27" s="11">
        <v>92973</v>
      </c>
      <c r="I27" s="11">
        <v>76969</v>
      </c>
      <c r="J27" s="11">
        <f t="shared" si="0"/>
        <v>-343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288639</v>
      </c>
      <c r="C28" s="11">
        <v>360300</v>
      </c>
      <c r="D28" s="11">
        <v>82732</v>
      </c>
      <c r="E28" s="11">
        <v>56480</v>
      </c>
      <c r="F28" s="11">
        <v>60050</v>
      </c>
      <c r="G28" s="11">
        <v>50492</v>
      </c>
      <c r="H28" s="11">
        <v>81099</v>
      </c>
      <c r="I28" s="11">
        <v>75834</v>
      </c>
      <c r="J28" s="11">
        <f t="shared" si="0"/>
        <v>30586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323099</v>
      </c>
      <c r="C29" s="11">
        <v>346684</v>
      </c>
      <c r="D29" s="11">
        <v>86422</v>
      </c>
      <c r="E29" s="11">
        <v>56020</v>
      </c>
      <c r="F29" s="11">
        <v>59270</v>
      </c>
      <c r="G29" s="11">
        <v>53451</v>
      </c>
      <c r="H29" s="11">
        <v>77206</v>
      </c>
      <c r="I29" s="11">
        <v>82016</v>
      </c>
      <c r="J29" s="11">
        <f t="shared" si="0"/>
        <v>-7826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335843</v>
      </c>
      <c r="C30" s="11">
        <v>367190</v>
      </c>
      <c r="D30" s="11">
        <v>76256</v>
      </c>
      <c r="E30" s="11">
        <v>56166</v>
      </c>
      <c r="F30" s="11">
        <v>70600</v>
      </c>
      <c r="G30" s="11">
        <v>60188</v>
      </c>
      <c r="H30" s="11">
        <v>81096</v>
      </c>
      <c r="I30" s="11">
        <v>76536</v>
      </c>
      <c r="J30" s="11">
        <f t="shared" si="0"/>
        <v>-3715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8666268</v>
      </c>
      <c r="C35" s="11">
        <f t="shared" ref="C35:I35" si="1">SUM(C4:C34)</f>
        <v>9076324</v>
      </c>
      <c r="D35" s="11">
        <f t="shared" si="1"/>
        <v>1604908</v>
      </c>
      <c r="E35" s="11">
        <f t="shared" si="1"/>
        <v>1438888</v>
      </c>
      <c r="F35" s="11">
        <f t="shared" si="1"/>
        <v>1882438</v>
      </c>
      <c r="G35" s="11">
        <f t="shared" si="1"/>
        <v>1752239</v>
      </c>
      <c r="H35" s="11">
        <f t="shared" si="1"/>
        <v>2127520</v>
      </c>
      <c r="I35" s="11">
        <f t="shared" si="1"/>
        <v>2039661</v>
      </c>
      <c r="J35" s="11">
        <f>SUM(J4:J34)</f>
        <v>25978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37042</v>
      </c>
      <c r="C38" s="25"/>
      <c r="E38" s="25"/>
      <c r="G38" s="25"/>
      <c r="I38" s="25"/>
      <c r="J38" s="403">
        <v>278779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37069</v>
      </c>
      <c r="J40" s="51">
        <f>+J38+J35</f>
        <v>304757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C33" sqref="C33"/>
    </sheetView>
  </sheetViews>
  <sheetFormatPr defaultRowHeight="12.75" x14ac:dyDescent="0.2"/>
  <sheetData>
    <row r="3" spans="1:4" ht="15" x14ac:dyDescent="0.25">
      <c r="A3" s="134"/>
      <c r="B3" s="34" t="s">
        <v>145</v>
      </c>
    </row>
    <row r="4" spans="1:4" x14ac:dyDescent="0.2">
      <c r="A4" s="3"/>
      <c r="B4" s="59" t="s">
        <v>146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">
      <c r="A11" s="10">
        <v>6</v>
      </c>
      <c r="B11" s="11">
        <v>59879</v>
      </c>
      <c r="C11" s="11">
        <v>59675</v>
      </c>
      <c r="D11" s="25">
        <f t="shared" si="0"/>
        <v>-204</v>
      </c>
    </row>
    <row r="12" spans="1:4" x14ac:dyDescent="0.2">
      <c r="A12" s="10">
        <v>7</v>
      </c>
      <c r="B12" s="11">
        <v>54025</v>
      </c>
      <c r="C12" s="11">
        <v>54498</v>
      </c>
      <c r="D12" s="25">
        <f t="shared" si="0"/>
        <v>473</v>
      </c>
    </row>
    <row r="13" spans="1:4" x14ac:dyDescent="0.2">
      <c r="A13" s="10">
        <v>8</v>
      </c>
      <c r="B13" s="11">
        <v>52716</v>
      </c>
      <c r="C13" s="11">
        <v>54046</v>
      </c>
      <c r="D13" s="25">
        <f t="shared" si="0"/>
        <v>1330</v>
      </c>
    </row>
    <row r="14" spans="1:4" x14ac:dyDescent="0.2">
      <c r="A14" s="10">
        <v>9</v>
      </c>
      <c r="B14" s="11">
        <v>41062</v>
      </c>
      <c r="C14" s="11">
        <v>40500</v>
      </c>
      <c r="D14" s="25">
        <f t="shared" si="0"/>
        <v>-562</v>
      </c>
    </row>
    <row r="15" spans="1:4" x14ac:dyDescent="0.2">
      <c r="A15" s="10">
        <v>10</v>
      </c>
      <c r="B15" s="11">
        <v>41041</v>
      </c>
      <c r="C15" s="11">
        <v>39057</v>
      </c>
      <c r="D15" s="25">
        <f t="shared" si="0"/>
        <v>-1984</v>
      </c>
    </row>
    <row r="16" spans="1:4" x14ac:dyDescent="0.2">
      <c r="A16" s="10">
        <v>11</v>
      </c>
      <c r="B16" s="11">
        <v>46428</v>
      </c>
      <c r="C16" s="11">
        <v>46600</v>
      </c>
      <c r="D16" s="25">
        <f t="shared" si="0"/>
        <v>172</v>
      </c>
    </row>
    <row r="17" spans="1:4" x14ac:dyDescent="0.2">
      <c r="A17" s="10">
        <v>12</v>
      </c>
      <c r="B17" s="11">
        <v>60865</v>
      </c>
      <c r="C17" s="11">
        <v>62094</v>
      </c>
      <c r="D17" s="25">
        <f t="shared" si="0"/>
        <v>1229</v>
      </c>
    </row>
    <row r="18" spans="1:4" x14ac:dyDescent="0.2">
      <c r="A18" s="10">
        <v>13</v>
      </c>
      <c r="B18" s="11">
        <v>67308</v>
      </c>
      <c r="C18" s="11">
        <v>68120</v>
      </c>
      <c r="D18" s="25">
        <f t="shared" si="0"/>
        <v>812</v>
      </c>
    </row>
    <row r="19" spans="1:4" x14ac:dyDescent="0.2">
      <c r="A19" s="10">
        <v>14</v>
      </c>
      <c r="B19" s="11">
        <v>58840</v>
      </c>
      <c r="C19" s="11">
        <v>58055</v>
      </c>
      <c r="D19" s="25">
        <f t="shared" si="0"/>
        <v>-785</v>
      </c>
    </row>
    <row r="20" spans="1:4" x14ac:dyDescent="0.2">
      <c r="A20" s="10">
        <v>15</v>
      </c>
      <c r="B20" s="11">
        <v>62475</v>
      </c>
      <c r="C20" s="11">
        <v>60592</v>
      </c>
      <c r="D20" s="25">
        <f t="shared" si="0"/>
        <v>-1883</v>
      </c>
    </row>
    <row r="21" spans="1:4" x14ac:dyDescent="0.2">
      <c r="A21" s="10">
        <v>16</v>
      </c>
      <c r="B21" s="11">
        <v>63508</v>
      </c>
      <c r="C21" s="11">
        <v>64128</v>
      </c>
      <c r="D21" s="25">
        <f t="shared" si="0"/>
        <v>620</v>
      </c>
    </row>
    <row r="22" spans="1:4" x14ac:dyDescent="0.2">
      <c r="A22" s="10">
        <v>17</v>
      </c>
      <c r="B22" s="11">
        <v>58596</v>
      </c>
      <c r="C22" s="11">
        <v>61513</v>
      </c>
      <c r="D22" s="25">
        <f t="shared" si="0"/>
        <v>2917</v>
      </c>
    </row>
    <row r="23" spans="1:4" x14ac:dyDescent="0.2">
      <c r="A23" s="10">
        <v>18</v>
      </c>
      <c r="B23" s="11">
        <v>71871</v>
      </c>
      <c r="C23" s="11">
        <v>72615</v>
      </c>
      <c r="D23" s="25">
        <f t="shared" si="0"/>
        <v>744</v>
      </c>
    </row>
    <row r="24" spans="1:4" x14ac:dyDescent="0.2">
      <c r="A24" s="10">
        <v>19</v>
      </c>
      <c r="B24" s="11">
        <v>48147</v>
      </c>
      <c r="C24" s="11">
        <v>48683</v>
      </c>
      <c r="D24" s="25">
        <f t="shared" si="0"/>
        <v>536</v>
      </c>
    </row>
    <row r="25" spans="1:4" x14ac:dyDescent="0.2">
      <c r="A25" s="10">
        <v>20</v>
      </c>
      <c r="B25" s="11">
        <v>42100</v>
      </c>
      <c r="C25" s="11">
        <v>50253</v>
      </c>
      <c r="D25" s="25">
        <f t="shared" si="0"/>
        <v>8153</v>
      </c>
    </row>
    <row r="26" spans="1:4" x14ac:dyDescent="0.2">
      <c r="A26" s="10">
        <v>21</v>
      </c>
      <c r="B26" s="11">
        <v>42960</v>
      </c>
      <c r="C26" s="11">
        <v>40867</v>
      </c>
      <c r="D26" s="25">
        <f t="shared" si="0"/>
        <v>-2093</v>
      </c>
    </row>
    <row r="27" spans="1:4" x14ac:dyDescent="0.2">
      <c r="A27" s="10">
        <v>22</v>
      </c>
      <c r="B27" s="11">
        <v>53191</v>
      </c>
      <c r="C27" s="11">
        <v>52563</v>
      </c>
      <c r="D27" s="25">
        <f t="shared" si="0"/>
        <v>-628</v>
      </c>
    </row>
    <row r="28" spans="1:4" x14ac:dyDescent="0.2">
      <c r="A28" s="10">
        <v>23</v>
      </c>
      <c r="B28" s="11">
        <v>54652</v>
      </c>
      <c r="C28" s="11">
        <v>68370</v>
      </c>
      <c r="D28" s="25">
        <f t="shared" si="0"/>
        <v>13718</v>
      </c>
    </row>
    <row r="29" spans="1:4" x14ac:dyDescent="0.2">
      <c r="A29" s="10">
        <v>24</v>
      </c>
      <c r="B29" s="11">
        <v>52249</v>
      </c>
      <c r="C29" s="11">
        <v>64632</v>
      </c>
      <c r="D29" s="25">
        <f t="shared" si="0"/>
        <v>12383</v>
      </c>
    </row>
    <row r="30" spans="1:4" x14ac:dyDescent="0.2">
      <c r="A30" s="10">
        <v>25</v>
      </c>
      <c r="B30" s="11">
        <v>67423</v>
      </c>
      <c r="C30" s="11">
        <v>68865</v>
      </c>
      <c r="D30" s="25">
        <f t="shared" si="0"/>
        <v>1442</v>
      </c>
    </row>
    <row r="31" spans="1:4" x14ac:dyDescent="0.2">
      <c r="A31" s="10">
        <v>26</v>
      </c>
      <c r="B31" s="11">
        <v>67360</v>
      </c>
      <c r="C31" s="11">
        <v>57000</v>
      </c>
      <c r="D31" s="25">
        <f t="shared" si="0"/>
        <v>-10360</v>
      </c>
    </row>
    <row r="32" spans="1:4" x14ac:dyDescent="0.2">
      <c r="A32" s="10">
        <v>27</v>
      </c>
      <c r="B32" s="11">
        <v>62962</v>
      </c>
      <c r="C32" s="11">
        <v>59125</v>
      </c>
      <c r="D32" s="25">
        <f t="shared" si="0"/>
        <v>-3837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1496416</v>
      </c>
      <c r="C37" s="11">
        <f>SUM(C6:C36)</f>
        <v>1511865</v>
      </c>
      <c r="D37" s="25">
        <f>SUM(D6:D36)</f>
        <v>15449</v>
      </c>
    </row>
    <row r="38" spans="1:4" x14ac:dyDescent="0.2">
      <c r="A38" s="26"/>
      <c r="C38" s="14"/>
      <c r="D38" s="373">
        <f>+summary!P11</f>
        <v>3.22</v>
      </c>
    </row>
    <row r="39" spans="1:4" x14ac:dyDescent="0.2">
      <c r="D39" s="138">
        <f>+D38*D37</f>
        <v>49745.780000000006</v>
      </c>
    </row>
    <row r="40" spans="1:4" x14ac:dyDescent="0.2">
      <c r="A40" s="57">
        <v>37042</v>
      </c>
      <c r="C40" s="15"/>
      <c r="D40" s="405">
        <v>817965.6</v>
      </c>
    </row>
    <row r="41" spans="1:4" x14ac:dyDescent="0.2">
      <c r="A41" s="57">
        <v>37069</v>
      </c>
      <c r="C41" s="48"/>
      <c r="D41" s="138">
        <f>+D40+D39</f>
        <v>867711.38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4" workbookViewId="3">
      <selection activeCell="C33" sqref="C33"/>
    </sheetView>
  </sheetViews>
  <sheetFormatPr defaultRowHeight="12.75" x14ac:dyDescent="0.2"/>
  <sheetData>
    <row r="3" spans="1:5" ht="15" x14ac:dyDescent="0.25">
      <c r="A3" s="134"/>
      <c r="B3" s="3" t="s">
        <v>147</v>
      </c>
      <c r="C3" s="87"/>
      <c r="D3" s="87"/>
      <c r="E3" s="87"/>
    </row>
    <row r="4" spans="1:5" x14ac:dyDescent="0.2">
      <c r="A4" s="3"/>
      <c r="B4" s="376" t="s">
        <v>148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">
      <c r="A11" s="10">
        <v>6</v>
      </c>
      <c r="B11" s="11">
        <v>-2079</v>
      </c>
      <c r="C11" s="11">
        <v>-2139</v>
      </c>
      <c r="D11" s="25">
        <f t="shared" si="0"/>
        <v>-60</v>
      </c>
    </row>
    <row r="12" spans="1:5" x14ac:dyDescent="0.2">
      <c r="A12" s="10">
        <v>7</v>
      </c>
      <c r="B12" s="11">
        <v>-1523</v>
      </c>
      <c r="C12" s="11">
        <v>-2139</v>
      </c>
      <c r="D12" s="25">
        <f t="shared" si="0"/>
        <v>-616</v>
      </c>
    </row>
    <row r="13" spans="1:5" x14ac:dyDescent="0.2">
      <c r="A13" s="10">
        <v>8</v>
      </c>
      <c r="B13" s="11">
        <v>-2085</v>
      </c>
      <c r="C13" s="11">
        <v>-2139</v>
      </c>
      <c r="D13" s="25">
        <f t="shared" si="0"/>
        <v>-54</v>
      </c>
    </row>
    <row r="14" spans="1:5" x14ac:dyDescent="0.2">
      <c r="A14" s="10">
        <v>9</v>
      </c>
      <c r="B14" s="11">
        <v>-1910</v>
      </c>
      <c r="C14" s="11">
        <v>-3500</v>
      </c>
      <c r="D14" s="25">
        <f t="shared" si="0"/>
        <v>-1590</v>
      </c>
    </row>
    <row r="15" spans="1:5" x14ac:dyDescent="0.2">
      <c r="A15" s="10">
        <v>10</v>
      </c>
      <c r="B15" s="11">
        <v>-2018</v>
      </c>
      <c r="C15" s="11">
        <v>-3500</v>
      </c>
      <c r="D15" s="25">
        <f t="shared" si="0"/>
        <v>-1482</v>
      </c>
    </row>
    <row r="16" spans="1:5" x14ac:dyDescent="0.2">
      <c r="A16" s="10">
        <v>11</v>
      </c>
      <c r="B16" s="11">
        <v>-2065</v>
      </c>
      <c r="C16" s="11">
        <v>-3500</v>
      </c>
      <c r="D16" s="25">
        <f t="shared" si="0"/>
        <v>-1435</v>
      </c>
    </row>
    <row r="17" spans="1:4" x14ac:dyDescent="0.2">
      <c r="A17" s="10">
        <v>12</v>
      </c>
      <c r="B17" s="11">
        <v>-2122</v>
      </c>
      <c r="C17" s="11">
        <v>-2139</v>
      </c>
      <c r="D17" s="25">
        <f t="shared" si="0"/>
        <v>-17</v>
      </c>
    </row>
    <row r="18" spans="1:4" x14ac:dyDescent="0.2">
      <c r="A18" s="10">
        <v>13</v>
      </c>
      <c r="B18" s="11">
        <v>-1863</v>
      </c>
      <c r="C18" s="11">
        <v>-2139</v>
      </c>
      <c r="D18" s="25">
        <f t="shared" si="0"/>
        <v>-276</v>
      </c>
    </row>
    <row r="19" spans="1:4" x14ac:dyDescent="0.2">
      <c r="A19" s="10">
        <v>14</v>
      </c>
      <c r="B19" s="11">
        <v>-762</v>
      </c>
      <c r="C19" s="11">
        <v>4</v>
      </c>
      <c r="D19" s="25">
        <f t="shared" si="0"/>
        <v>766</v>
      </c>
    </row>
    <row r="20" spans="1:4" x14ac:dyDescent="0.2">
      <c r="A20" s="10">
        <v>15</v>
      </c>
      <c r="B20" s="11">
        <v>-848</v>
      </c>
      <c r="C20" s="11">
        <v>-2139</v>
      </c>
      <c r="D20" s="25">
        <f t="shared" si="0"/>
        <v>-1291</v>
      </c>
    </row>
    <row r="21" spans="1:4" x14ac:dyDescent="0.2">
      <c r="A21" s="10">
        <v>16</v>
      </c>
      <c r="B21" s="11">
        <v>-1259</v>
      </c>
      <c r="C21" s="11">
        <v>-2453</v>
      </c>
      <c r="D21" s="25">
        <f t="shared" si="0"/>
        <v>-1194</v>
      </c>
    </row>
    <row r="22" spans="1:4" x14ac:dyDescent="0.2">
      <c r="A22" s="10">
        <v>17</v>
      </c>
      <c r="B22" s="11">
        <v>-1932</v>
      </c>
      <c r="C22" s="11">
        <v>-2453</v>
      </c>
      <c r="D22" s="25">
        <f t="shared" si="0"/>
        <v>-521</v>
      </c>
    </row>
    <row r="23" spans="1:4" x14ac:dyDescent="0.2">
      <c r="A23" s="10">
        <v>18</v>
      </c>
      <c r="B23" s="11">
        <v>-1963</v>
      </c>
      <c r="C23" s="11">
        <v>-2453</v>
      </c>
      <c r="D23" s="25">
        <f t="shared" si="0"/>
        <v>-490</v>
      </c>
    </row>
    <row r="24" spans="1:4" x14ac:dyDescent="0.2">
      <c r="A24" s="10">
        <v>19</v>
      </c>
      <c r="B24" s="11">
        <v>-2042</v>
      </c>
      <c r="C24" s="11">
        <v>7</v>
      </c>
      <c r="D24" s="25">
        <f t="shared" si="0"/>
        <v>2049</v>
      </c>
    </row>
    <row r="25" spans="1:4" x14ac:dyDescent="0.2">
      <c r="A25" s="10">
        <v>20</v>
      </c>
      <c r="B25" s="11">
        <v>-2043</v>
      </c>
      <c r="C25" s="11">
        <v>-591</v>
      </c>
      <c r="D25" s="25">
        <f t="shared" si="0"/>
        <v>1452</v>
      </c>
    </row>
    <row r="26" spans="1:4" x14ac:dyDescent="0.2">
      <c r="A26" s="10">
        <v>21</v>
      </c>
      <c r="B26" s="11">
        <v>-931</v>
      </c>
      <c r="C26" s="11">
        <v>-2139</v>
      </c>
      <c r="D26" s="25">
        <f t="shared" si="0"/>
        <v>-1208</v>
      </c>
    </row>
    <row r="27" spans="1:4" x14ac:dyDescent="0.2">
      <c r="A27" s="10">
        <v>22</v>
      </c>
      <c r="B27" s="11">
        <v>-927</v>
      </c>
      <c r="C27" s="11">
        <v>-2139</v>
      </c>
      <c r="D27" s="25">
        <f t="shared" si="0"/>
        <v>-1212</v>
      </c>
    </row>
    <row r="28" spans="1:4" x14ac:dyDescent="0.2">
      <c r="A28" s="10">
        <v>23</v>
      </c>
      <c r="B28" s="11">
        <v>-1430</v>
      </c>
      <c r="C28" s="11">
        <v>-2453</v>
      </c>
      <c r="D28" s="25">
        <f t="shared" si="0"/>
        <v>-1023</v>
      </c>
    </row>
    <row r="29" spans="1:4" x14ac:dyDescent="0.2">
      <c r="A29" s="10">
        <v>24</v>
      </c>
      <c r="B29" s="11">
        <v>-1996</v>
      </c>
      <c r="C29" s="11">
        <v>-2453</v>
      </c>
      <c r="D29" s="25">
        <f t="shared" si="0"/>
        <v>-457</v>
      </c>
    </row>
    <row r="30" spans="1:4" x14ac:dyDescent="0.2">
      <c r="A30" s="10">
        <v>25</v>
      </c>
      <c r="B30" s="11">
        <v>-2059</v>
      </c>
      <c r="C30" s="11">
        <v>-2453</v>
      </c>
      <c r="D30" s="25">
        <f t="shared" si="0"/>
        <v>-394</v>
      </c>
    </row>
    <row r="31" spans="1:4" x14ac:dyDescent="0.2">
      <c r="A31" s="10">
        <v>26</v>
      </c>
      <c r="B31" s="11">
        <v>-2024</v>
      </c>
      <c r="C31" s="11">
        <v>-2453</v>
      </c>
      <c r="D31" s="25">
        <f t="shared" si="0"/>
        <v>-429</v>
      </c>
    </row>
    <row r="32" spans="1:4" x14ac:dyDescent="0.2">
      <c r="A32" s="10">
        <v>27</v>
      </c>
      <c r="B32" s="11">
        <v>-2087</v>
      </c>
      <c r="C32" s="11">
        <v>-1501</v>
      </c>
      <c r="D32" s="25">
        <f t="shared" si="0"/>
        <v>586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-47997</v>
      </c>
      <c r="C37" s="11">
        <f>SUM(C6:C36)</f>
        <v>-60181</v>
      </c>
      <c r="D37" s="25">
        <f>SUM(D6:D36)</f>
        <v>-12184</v>
      </c>
    </row>
    <row r="38" spans="1:4" x14ac:dyDescent="0.2">
      <c r="A38" s="26"/>
      <c r="C38" s="14"/>
      <c r="D38" s="373">
        <f>+summary!P11</f>
        <v>3.22</v>
      </c>
    </row>
    <row r="39" spans="1:4" x14ac:dyDescent="0.2">
      <c r="D39" s="138">
        <f>+D38*D37</f>
        <v>-39232.480000000003</v>
      </c>
    </row>
    <row r="40" spans="1:4" x14ac:dyDescent="0.2">
      <c r="A40" s="57">
        <v>37042</v>
      </c>
      <c r="C40" s="15"/>
      <c r="D40" s="405">
        <v>-304459</v>
      </c>
    </row>
    <row r="41" spans="1:4" x14ac:dyDescent="0.2">
      <c r="A41" s="57">
        <v>37069</v>
      </c>
      <c r="C41" s="48"/>
      <c r="D41" s="138">
        <f>+D40+D39</f>
        <v>-343691.48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C33" sqref="C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154</v>
      </c>
      <c r="C3" s="87"/>
      <c r="D3" s="87"/>
    </row>
    <row r="4" spans="1:4" x14ac:dyDescent="0.2">
      <c r="A4" s="3"/>
      <c r="B4" s="376" t="s">
        <v>150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">
      <c r="A11" s="10">
        <v>6</v>
      </c>
      <c r="B11" s="11">
        <v>-20791</v>
      </c>
      <c r="C11" s="11">
        <v>-25000</v>
      </c>
      <c r="D11" s="25">
        <f t="shared" si="0"/>
        <v>-4209</v>
      </c>
    </row>
    <row r="12" spans="1:4" x14ac:dyDescent="0.2">
      <c r="A12" s="10">
        <v>7</v>
      </c>
      <c r="B12" s="11">
        <v>-20037</v>
      </c>
      <c r="C12" s="11">
        <v>-10000</v>
      </c>
      <c r="D12" s="25">
        <f t="shared" si="0"/>
        <v>10037</v>
      </c>
    </row>
    <row r="13" spans="1:4" x14ac:dyDescent="0.2">
      <c r="A13" s="10">
        <v>8</v>
      </c>
      <c r="B13" s="11">
        <v>-26317</v>
      </c>
      <c r="C13" s="11">
        <v>-25000</v>
      </c>
      <c r="D13" s="25">
        <f t="shared" si="0"/>
        <v>1317</v>
      </c>
    </row>
    <row r="14" spans="1:4" x14ac:dyDescent="0.2">
      <c r="A14" s="10">
        <v>9</v>
      </c>
      <c r="B14" s="11">
        <v>-65319</v>
      </c>
      <c r="C14" s="11">
        <v>-19998</v>
      </c>
      <c r="D14" s="25">
        <f t="shared" si="0"/>
        <v>45321</v>
      </c>
    </row>
    <row r="15" spans="1:4" x14ac:dyDescent="0.2">
      <c r="A15" s="10">
        <v>10</v>
      </c>
      <c r="B15" s="11">
        <v>-17199</v>
      </c>
      <c r="C15" s="11">
        <v>-19998</v>
      </c>
      <c r="D15" s="25">
        <f t="shared" si="0"/>
        <v>-2799</v>
      </c>
    </row>
    <row r="16" spans="1:4" x14ac:dyDescent="0.2">
      <c r="A16" s="10">
        <v>11</v>
      </c>
      <c r="B16" s="11"/>
      <c r="C16" s="11">
        <v>-19998</v>
      </c>
      <c r="D16" s="25">
        <f t="shared" si="0"/>
        <v>-19998</v>
      </c>
    </row>
    <row r="17" spans="1:4" x14ac:dyDescent="0.2">
      <c r="A17" s="10">
        <v>12</v>
      </c>
      <c r="B17" s="11">
        <v>-10287</v>
      </c>
      <c r="C17" s="11">
        <v>-35000</v>
      </c>
      <c r="D17" s="25">
        <f t="shared" si="0"/>
        <v>-24713</v>
      </c>
    </row>
    <row r="18" spans="1:4" x14ac:dyDescent="0.2">
      <c r="A18" s="10">
        <v>13</v>
      </c>
      <c r="B18" s="11">
        <v>-45272</v>
      </c>
      <c r="C18" s="11">
        <v>-60000</v>
      </c>
      <c r="D18" s="25">
        <f t="shared" si="0"/>
        <v>-14728</v>
      </c>
    </row>
    <row r="19" spans="1:4" x14ac:dyDescent="0.2">
      <c r="A19" s="10">
        <v>14</v>
      </c>
      <c r="B19" s="11">
        <v>-54959</v>
      </c>
      <c r="C19" s="11">
        <v>-64930</v>
      </c>
      <c r="D19" s="25">
        <f t="shared" si="0"/>
        <v>-9971</v>
      </c>
    </row>
    <row r="20" spans="1:4" x14ac:dyDescent="0.2">
      <c r="A20" s="10">
        <v>15</v>
      </c>
      <c r="B20" s="11">
        <v>-79416</v>
      </c>
      <c r="C20" s="11">
        <v>-80465</v>
      </c>
      <c r="D20" s="25">
        <f t="shared" si="0"/>
        <v>-1049</v>
      </c>
    </row>
    <row r="21" spans="1:4" x14ac:dyDescent="0.2">
      <c r="A21" s="10">
        <v>16</v>
      </c>
      <c r="B21" s="11">
        <v>-17950</v>
      </c>
      <c r="C21" s="11">
        <v>-30000</v>
      </c>
      <c r="D21" s="25">
        <f t="shared" si="0"/>
        <v>-12050</v>
      </c>
    </row>
    <row r="22" spans="1:4" x14ac:dyDescent="0.2">
      <c r="A22" s="10">
        <v>17</v>
      </c>
      <c r="B22" s="11">
        <v>-38641</v>
      </c>
      <c r="C22" s="11">
        <v>-25000</v>
      </c>
      <c r="D22" s="25">
        <f t="shared" si="0"/>
        <v>13641</v>
      </c>
    </row>
    <row r="23" spans="1:4" x14ac:dyDescent="0.2">
      <c r="A23" s="10">
        <v>18</v>
      </c>
      <c r="B23" s="11">
        <v>-50070</v>
      </c>
      <c r="C23" s="11">
        <v>-56274</v>
      </c>
      <c r="D23" s="25">
        <f t="shared" si="0"/>
        <v>-6204</v>
      </c>
    </row>
    <row r="24" spans="1:4" x14ac:dyDescent="0.2">
      <c r="A24" s="10">
        <v>19</v>
      </c>
      <c r="B24" s="11">
        <v>-76948</v>
      </c>
      <c r="C24" s="11">
        <v>-44811</v>
      </c>
      <c r="D24" s="25">
        <f t="shared" si="0"/>
        <v>32137</v>
      </c>
    </row>
    <row r="25" spans="1:4" x14ac:dyDescent="0.2">
      <c r="A25" s="10">
        <v>20</v>
      </c>
      <c r="B25" s="11">
        <v>-47875</v>
      </c>
      <c r="C25" s="11">
        <v>-96850</v>
      </c>
      <c r="D25" s="25">
        <f t="shared" si="0"/>
        <v>-48975</v>
      </c>
    </row>
    <row r="26" spans="1:4" x14ac:dyDescent="0.2">
      <c r="A26" s="10">
        <v>21</v>
      </c>
      <c r="B26" s="11">
        <v>-23254</v>
      </c>
      <c r="C26" s="11">
        <v>-68789</v>
      </c>
      <c r="D26" s="25">
        <f t="shared" si="0"/>
        <v>-45535</v>
      </c>
    </row>
    <row r="27" spans="1:4" x14ac:dyDescent="0.2">
      <c r="A27" s="10">
        <v>22</v>
      </c>
      <c r="B27" s="11">
        <v>-82339</v>
      </c>
      <c r="C27" s="11">
        <v>-81531</v>
      </c>
      <c r="D27" s="25">
        <f t="shared" si="0"/>
        <v>808</v>
      </c>
    </row>
    <row r="28" spans="1:4" x14ac:dyDescent="0.2">
      <c r="A28" s="10">
        <v>23</v>
      </c>
      <c r="B28" s="11">
        <v>-81376</v>
      </c>
      <c r="C28" s="11">
        <v>-36434</v>
      </c>
      <c r="D28" s="25">
        <f t="shared" si="0"/>
        <v>44942</v>
      </c>
    </row>
    <row r="29" spans="1:4" x14ac:dyDescent="0.2">
      <c r="A29" s="10">
        <v>24</v>
      </c>
      <c r="B29" s="11">
        <v>-77092</v>
      </c>
      <c r="C29" s="11">
        <v>-97989</v>
      </c>
      <c r="D29" s="25">
        <f t="shared" si="0"/>
        <v>-20897</v>
      </c>
    </row>
    <row r="30" spans="1:4" x14ac:dyDescent="0.2">
      <c r="A30" s="10">
        <v>25</v>
      </c>
      <c r="B30" s="11">
        <v>-74020</v>
      </c>
      <c r="C30" s="11">
        <v>-80000</v>
      </c>
      <c r="D30" s="25">
        <f t="shared" si="0"/>
        <v>-5980</v>
      </c>
    </row>
    <row r="31" spans="1:4" x14ac:dyDescent="0.2">
      <c r="A31" s="10">
        <v>26</v>
      </c>
      <c r="B31" s="11">
        <v>-45007</v>
      </c>
      <c r="C31" s="11">
        <v>-73246</v>
      </c>
      <c r="D31" s="25">
        <f t="shared" si="0"/>
        <v>-28239</v>
      </c>
    </row>
    <row r="32" spans="1:4" x14ac:dyDescent="0.2">
      <c r="A32" s="10">
        <v>27</v>
      </c>
      <c r="B32" s="11">
        <v>-10779</v>
      </c>
      <c r="C32" s="11">
        <v>-22412</v>
      </c>
      <c r="D32" s="25">
        <f t="shared" si="0"/>
        <v>-11633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-1031740</v>
      </c>
      <c r="C37" s="11">
        <f>SUM(C6:C36)</f>
        <v>-1117225</v>
      </c>
      <c r="D37" s="25">
        <f>SUM(D6:D36)</f>
        <v>-85485</v>
      </c>
    </row>
    <row r="38" spans="1:4" x14ac:dyDescent="0.2">
      <c r="A38" s="26"/>
      <c r="C38" s="14"/>
      <c r="D38" s="373">
        <f>+summary!P11</f>
        <v>3.22</v>
      </c>
    </row>
    <row r="39" spans="1:4" x14ac:dyDescent="0.2">
      <c r="D39" s="138">
        <f>+D38*D37</f>
        <v>-275261.7</v>
      </c>
    </row>
    <row r="40" spans="1:4" x14ac:dyDescent="0.2">
      <c r="A40" s="57">
        <v>37042</v>
      </c>
      <c r="C40" s="15"/>
      <c r="D40" s="405">
        <v>57398.07</v>
      </c>
    </row>
    <row r="41" spans="1:4" x14ac:dyDescent="0.2">
      <c r="A41" s="57">
        <v>37069</v>
      </c>
      <c r="C41" s="48"/>
      <c r="D41" s="138">
        <f>+D40+D39</f>
        <v>-217863.63</v>
      </c>
    </row>
    <row r="42" spans="1:4" x14ac:dyDescent="0.2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B8" sqref="B8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149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56659</v>
      </c>
      <c r="B5" s="370">
        <v>-1</v>
      </c>
      <c r="C5" s="90">
        <v>-10450</v>
      </c>
      <c r="D5" s="90">
        <f>+C5-B5</f>
        <v>-10449</v>
      </c>
      <c r="E5" s="287"/>
      <c r="F5" s="285"/>
    </row>
    <row r="6" spans="1:13" x14ac:dyDescent="0.2">
      <c r="A6" s="87">
        <v>500046</v>
      </c>
      <c r="B6" s="90">
        <v>-650</v>
      </c>
      <c r="C6" s="90"/>
      <c r="D6" s="90">
        <f t="shared" ref="D6:D11" si="0">+C6-B6</f>
        <v>650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">
      <c r="A8" s="87">
        <v>500134</v>
      </c>
      <c r="B8" s="92">
        <v>-252</v>
      </c>
      <c r="C8" s="90">
        <v>-380</v>
      </c>
      <c r="D8" s="90">
        <f t="shared" si="0"/>
        <v>-128</v>
      </c>
      <c r="E8" s="287"/>
      <c r="F8" s="285"/>
    </row>
    <row r="9" spans="1:13" x14ac:dyDescent="0.2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">
      <c r="A11" s="87">
        <v>500619</v>
      </c>
      <c r="B11" s="331"/>
      <c r="C11" s="90"/>
      <c r="D11" s="384">
        <f t="shared" si="0"/>
        <v>0</v>
      </c>
      <c r="E11" s="287"/>
      <c r="F11" s="285"/>
    </row>
    <row r="12" spans="1:13" x14ac:dyDescent="0.2">
      <c r="A12" s="87"/>
      <c r="B12" s="88"/>
      <c r="C12" s="88"/>
      <c r="D12" s="88">
        <f>SUM(D5:D11)</f>
        <v>-9927</v>
      </c>
      <c r="E12" s="287"/>
      <c r="F12" s="285"/>
    </row>
    <row r="13" spans="1:13" x14ac:dyDescent="0.2">
      <c r="A13" s="87" t="s">
        <v>86</v>
      </c>
      <c r="B13" s="88"/>
      <c r="C13" s="88"/>
      <c r="D13" s="95">
        <f>+summary!P11</f>
        <v>3.22</v>
      </c>
      <c r="E13" s="289"/>
      <c r="F13" s="285"/>
    </row>
    <row r="14" spans="1:13" x14ac:dyDescent="0.2">
      <c r="A14" s="87"/>
      <c r="B14" s="88"/>
      <c r="C14" s="88"/>
      <c r="D14" s="96">
        <f>+D13*D12</f>
        <v>-31964.940000000002</v>
      </c>
      <c r="E14" s="209"/>
      <c r="F14" s="286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37042</v>
      </c>
      <c r="B16" s="88"/>
      <c r="C16" s="88"/>
      <c r="D16" s="415">
        <v>-843943.02</v>
      </c>
      <c r="E16" s="209"/>
      <c r="F16" s="66"/>
    </row>
    <row r="17" spans="1:7" x14ac:dyDescent="0.2">
      <c r="A17" s="87"/>
      <c r="B17" s="88"/>
      <c r="C17" s="88"/>
      <c r="D17" s="336"/>
      <c r="E17" s="209"/>
      <c r="F17" s="66"/>
    </row>
    <row r="18" spans="1:7" ht="13.5" thickBot="1" x14ac:dyDescent="0.25">
      <c r="A18" s="99">
        <v>37065</v>
      </c>
      <c r="B18" s="88"/>
      <c r="C18" s="88"/>
      <c r="D18" s="358">
        <f>+D16+D14</f>
        <v>-875907.96</v>
      </c>
      <c r="E18" s="209"/>
      <c r="F18" s="66"/>
    </row>
    <row r="19" spans="1:7" ht="13.5" thickTop="1" x14ac:dyDescent="0.2">
      <c r="E19" s="29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158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-1145</v>
      </c>
      <c r="C6" s="11">
        <v>-1060</v>
      </c>
      <c r="D6" s="25">
        <f>+C6-B6</f>
        <v>85</v>
      </c>
    </row>
    <row r="7" spans="1:4" x14ac:dyDescent="0.2">
      <c r="A7" s="10">
        <v>2</v>
      </c>
      <c r="B7" s="11">
        <v>-20348</v>
      </c>
      <c r="C7" s="11">
        <v>-20060</v>
      </c>
      <c r="D7" s="25">
        <f t="shared" ref="D7:D36" si="0">+C7-B7</f>
        <v>288</v>
      </c>
    </row>
    <row r="8" spans="1:4" x14ac:dyDescent="0.2">
      <c r="A8" s="10">
        <v>3</v>
      </c>
      <c r="B8" s="11">
        <v>-20561</v>
      </c>
      <c r="C8" s="11">
        <v>-20060</v>
      </c>
      <c r="D8" s="25">
        <f t="shared" si="0"/>
        <v>501</v>
      </c>
    </row>
    <row r="9" spans="1:4" x14ac:dyDescent="0.2">
      <c r="A9" s="10">
        <v>4</v>
      </c>
      <c r="B9" s="11">
        <v>-203</v>
      </c>
      <c r="C9" s="11">
        <v>-1060</v>
      </c>
      <c r="D9" s="25">
        <f t="shared" si="0"/>
        <v>-857</v>
      </c>
    </row>
    <row r="10" spans="1:4" x14ac:dyDescent="0.2">
      <c r="A10" s="10">
        <v>5</v>
      </c>
      <c r="B10" s="11">
        <v>0</v>
      </c>
      <c r="C10" s="11">
        <v>-1060</v>
      </c>
      <c r="D10" s="25">
        <f t="shared" si="0"/>
        <v>-1060</v>
      </c>
    </row>
    <row r="11" spans="1:4" x14ac:dyDescent="0.2">
      <c r="A11" s="10">
        <v>6</v>
      </c>
      <c r="B11" s="11">
        <v>0</v>
      </c>
      <c r="C11" s="11">
        <v>-1060</v>
      </c>
      <c r="D11" s="25">
        <f t="shared" si="0"/>
        <v>-1060</v>
      </c>
    </row>
    <row r="12" spans="1:4" x14ac:dyDescent="0.2">
      <c r="A12" s="10">
        <v>7</v>
      </c>
      <c r="B12" s="11">
        <v>-8274</v>
      </c>
      <c r="C12" s="11">
        <v>-11060</v>
      </c>
      <c r="D12" s="25">
        <f t="shared" si="0"/>
        <v>-2786</v>
      </c>
    </row>
    <row r="13" spans="1:4" x14ac:dyDescent="0.2">
      <c r="A13" s="10">
        <v>8</v>
      </c>
      <c r="B13" s="11">
        <v>0</v>
      </c>
      <c r="C13" s="11">
        <v>-41060</v>
      </c>
      <c r="D13" s="25">
        <f t="shared" si="0"/>
        <v>-41060</v>
      </c>
    </row>
    <row r="14" spans="1:4" x14ac:dyDescent="0.2">
      <c r="A14" s="10">
        <v>9</v>
      </c>
      <c r="B14" s="11">
        <v>-35251</v>
      </c>
      <c r="C14" s="11">
        <v>-63560</v>
      </c>
      <c r="D14" s="25">
        <f t="shared" si="0"/>
        <v>-28309</v>
      </c>
    </row>
    <row r="15" spans="1:4" x14ac:dyDescent="0.2">
      <c r="A15" s="10">
        <v>10</v>
      </c>
      <c r="B15" s="11">
        <v>-43868</v>
      </c>
      <c r="C15" s="11">
        <v>-63560</v>
      </c>
      <c r="D15" s="25">
        <f t="shared" si="0"/>
        <v>-19692</v>
      </c>
    </row>
    <row r="16" spans="1:4" x14ac:dyDescent="0.2">
      <c r="A16" s="10">
        <v>11</v>
      </c>
      <c r="B16" s="11">
        <v>-59279</v>
      </c>
      <c r="C16" s="11">
        <v>-63560</v>
      </c>
      <c r="D16" s="25">
        <f t="shared" si="0"/>
        <v>-4281</v>
      </c>
    </row>
    <row r="17" spans="1:4" x14ac:dyDescent="0.2">
      <c r="A17" s="10">
        <v>12</v>
      </c>
      <c r="B17" s="11">
        <v>-534</v>
      </c>
      <c r="C17" s="11">
        <v>-137</v>
      </c>
      <c r="D17" s="25">
        <f t="shared" si="0"/>
        <v>397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>
        <v>-3105</v>
      </c>
      <c r="C20" s="11"/>
      <c r="D20" s="25">
        <f t="shared" si="0"/>
        <v>3105</v>
      </c>
    </row>
    <row r="21" spans="1:4" x14ac:dyDescent="0.2">
      <c r="A21" s="10">
        <v>16</v>
      </c>
      <c r="B21" s="11">
        <v>-26691</v>
      </c>
      <c r="C21" s="11"/>
      <c r="D21" s="25">
        <f t="shared" si="0"/>
        <v>26691</v>
      </c>
    </row>
    <row r="22" spans="1:4" x14ac:dyDescent="0.2">
      <c r="A22" s="10">
        <v>17</v>
      </c>
      <c r="B22" s="11">
        <v>-26641</v>
      </c>
      <c r="C22" s="11"/>
      <c r="D22" s="25">
        <f t="shared" si="0"/>
        <v>26641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>
        <v>-3114</v>
      </c>
      <c r="C25" s="11"/>
      <c r="D25" s="25">
        <f t="shared" si="0"/>
        <v>3114</v>
      </c>
    </row>
    <row r="26" spans="1:4" x14ac:dyDescent="0.2">
      <c r="A26" s="10">
        <v>21</v>
      </c>
      <c r="B26" s="11">
        <v>-61365</v>
      </c>
      <c r="C26" s="11"/>
      <c r="D26" s="25">
        <f t="shared" si="0"/>
        <v>61365</v>
      </c>
    </row>
    <row r="27" spans="1:4" x14ac:dyDescent="0.2">
      <c r="A27" s="10">
        <v>22</v>
      </c>
      <c r="B27" s="11">
        <v>-3069</v>
      </c>
      <c r="C27" s="11"/>
      <c r="D27" s="25">
        <f t="shared" si="0"/>
        <v>3069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-313448</v>
      </c>
      <c r="C37" s="11">
        <f>SUM(C6:C36)</f>
        <v>-287297</v>
      </c>
      <c r="D37" s="25">
        <f>SUM(D6:D36)</f>
        <v>26151</v>
      </c>
    </row>
    <row r="38" spans="1:4" x14ac:dyDescent="0.2">
      <c r="A38" s="26"/>
      <c r="C38" s="14"/>
      <c r="D38" s="421"/>
    </row>
    <row r="39" spans="1:4" x14ac:dyDescent="0.2">
      <c r="D39" s="138"/>
    </row>
    <row r="40" spans="1:4" x14ac:dyDescent="0.2">
      <c r="A40" s="57">
        <v>37042</v>
      </c>
      <c r="C40" s="15"/>
      <c r="D40" s="403">
        <v>27926</v>
      </c>
    </row>
    <row r="41" spans="1:4" x14ac:dyDescent="0.2">
      <c r="A41" s="57">
        <v>37069</v>
      </c>
      <c r="C41" s="48"/>
      <c r="D41" s="25">
        <f>+D40+D37</f>
        <v>54077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tabSelected="1" workbookViewId="2">
      <selection activeCell="D41" sqref="D41"/>
    </sheetView>
    <sheetView topLeftCell="A23" workbookViewId="3">
      <selection activeCell="C34" sqref="C34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">
      <c r="A12" s="10">
        <v>6</v>
      </c>
      <c r="B12" s="11">
        <v>157812</v>
      </c>
      <c r="C12" s="11">
        <v>157813</v>
      </c>
      <c r="D12" s="25">
        <f t="shared" si="0"/>
        <v>1</v>
      </c>
    </row>
    <row r="13" spans="1:4" x14ac:dyDescent="0.2">
      <c r="A13" s="10">
        <v>7</v>
      </c>
      <c r="B13" s="11">
        <v>140854</v>
      </c>
      <c r="C13" s="11">
        <v>142812</v>
      </c>
      <c r="D13" s="25">
        <f t="shared" si="0"/>
        <v>1958</v>
      </c>
    </row>
    <row r="14" spans="1:4" x14ac:dyDescent="0.2">
      <c r="A14" s="10">
        <v>8</v>
      </c>
      <c r="B14" s="11">
        <v>158725</v>
      </c>
      <c r="C14" s="11">
        <v>158568</v>
      </c>
      <c r="D14" s="25">
        <f t="shared" si="0"/>
        <v>-157</v>
      </c>
    </row>
    <row r="15" spans="1:4" x14ac:dyDescent="0.2">
      <c r="A15" s="10">
        <v>9</v>
      </c>
      <c r="B15" s="11">
        <v>152333</v>
      </c>
      <c r="C15" s="11">
        <v>147466</v>
      </c>
      <c r="D15" s="25">
        <f t="shared" si="0"/>
        <v>-4867</v>
      </c>
    </row>
    <row r="16" spans="1:4" x14ac:dyDescent="0.2">
      <c r="A16" s="10">
        <v>10</v>
      </c>
      <c r="B16" s="11">
        <v>150573</v>
      </c>
      <c r="C16" s="11">
        <v>147466</v>
      </c>
      <c r="D16" s="25">
        <f t="shared" si="0"/>
        <v>-3107</v>
      </c>
    </row>
    <row r="17" spans="1:4" x14ac:dyDescent="0.2">
      <c r="A17" s="10">
        <v>11</v>
      </c>
      <c r="B17" s="11">
        <v>148999</v>
      </c>
      <c r="C17" s="11">
        <v>147884</v>
      </c>
      <c r="D17" s="25">
        <f t="shared" si="0"/>
        <v>-1115</v>
      </c>
    </row>
    <row r="18" spans="1:4" x14ac:dyDescent="0.2">
      <c r="A18" s="10">
        <v>12</v>
      </c>
      <c r="B18" s="11">
        <v>140891</v>
      </c>
      <c r="C18" s="11">
        <v>135919</v>
      </c>
      <c r="D18" s="25">
        <f t="shared" si="0"/>
        <v>-4972</v>
      </c>
    </row>
    <row r="19" spans="1:4" x14ac:dyDescent="0.2">
      <c r="A19" s="10">
        <v>13</v>
      </c>
      <c r="B19" s="11">
        <v>152551</v>
      </c>
      <c r="C19" s="11">
        <v>150884</v>
      </c>
      <c r="D19" s="25">
        <f t="shared" si="0"/>
        <v>-1667</v>
      </c>
    </row>
    <row r="20" spans="1:4" x14ac:dyDescent="0.2">
      <c r="A20" s="10">
        <v>14</v>
      </c>
      <c r="B20" s="11">
        <v>181781</v>
      </c>
      <c r="C20" s="11">
        <v>181066</v>
      </c>
      <c r="D20" s="25">
        <f t="shared" si="0"/>
        <v>-715</v>
      </c>
    </row>
    <row r="21" spans="1:4" x14ac:dyDescent="0.2">
      <c r="A21" s="10">
        <v>15</v>
      </c>
      <c r="B21" s="11">
        <v>162214</v>
      </c>
      <c r="C21" s="11">
        <v>160830</v>
      </c>
      <c r="D21" s="25">
        <f t="shared" si="0"/>
        <v>-1384</v>
      </c>
    </row>
    <row r="22" spans="1:4" x14ac:dyDescent="0.2">
      <c r="A22" s="10">
        <v>16</v>
      </c>
      <c r="B22" s="11">
        <v>160106</v>
      </c>
      <c r="C22" s="11">
        <v>158439</v>
      </c>
      <c r="D22" s="25">
        <f t="shared" si="0"/>
        <v>-1667</v>
      </c>
    </row>
    <row r="23" spans="1:4" x14ac:dyDescent="0.2">
      <c r="A23" s="10">
        <v>17</v>
      </c>
      <c r="B23" s="11">
        <v>165133</v>
      </c>
      <c r="C23" s="11">
        <v>163829</v>
      </c>
      <c r="D23" s="25">
        <f t="shared" si="0"/>
        <v>-1304</v>
      </c>
    </row>
    <row r="24" spans="1:4" x14ac:dyDescent="0.2">
      <c r="A24" s="10">
        <v>18</v>
      </c>
      <c r="B24" s="11">
        <v>159445</v>
      </c>
      <c r="C24" s="11">
        <v>162307</v>
      </c>
      <c r="D24" s="25">
        <f t="shared" si="0"/>
        <v>2862</v>
      </c>
    </row>
    <row r="25" spans="1:4" x14ac:dyDescent="0.2">
      <c r="A25" s="10">
        <v>19</v>
      </c>
      <c r="B25" s="11">
        <v>143790</v>
      </c>
      <c r="C25" s="11">
        <v>142715</v>
      </c>
      <c r="D25" s="25">
        <f t="shared" si="0"/>
        <v>-1075</v>
      </c>
    </row>
    <row r="26" spans="1:4" x14ac:dyDescent="0.2">
      <c r="A26" s="10">
        <v>20</v>
      </c>
      <c r="B26" s="11">
        <v>183046</v>
      </c>
      <c r="C26" s="11">
        <v>184553</v>
      </c>
      <c r="D26" s="25">
        <f t="shared" si="0"/>
        <v>1507</v>
      </c>
    </row>
    <row r="27" spans="1:4" x14ac:dyDescent="0.2">
      <c r="A27" s="10">
        <v>21</v>
      </c>
      <c r="B27" s="11">
        <v>171857</v>
      </c>
      <c r="C27" s="11">
        <v>172926</v>
      </c>
      <c r="D27" s="25">
        <f t="shared" si="0"/>
        <v>1069</v>
      </c>
    </row>
    <row r="28" spans="1:4" x14ac:dyDescent="0.2">
      <c r="A28" s="10">
        <v>22</v>
      </c>
      <c r="B28" s="11">
        <v>188778</v>
      </c>
      <c r="C28" s="11">
        <v>187488</v>
      </c>
      <c r="D28" s="25">
        <f t="shared" si="0"/>
        <v>-1290</v>
      </c>
    </row>
    <row r="29" spans="1:4" x14ac:dyDescent="0.2">
      <c r="A29" s="10">
        <v>23</v>
      </c>
      <c r="B29" s="11">
        <v>187559</v>
      </c>
      <c r="C29" s="11">
        <v>187358</v>
      </c>
      <c r="D29" s="25">
        <f t="shared" si="0"/>
        <v>-201</v>
      </c>
    </row>
    <row r="30" spans="1:4" x14ac:dyDescent="0.2">
      <c r="A30" s="10">
        <v>24</v>
      </c>
      <c r="B30" s="11">
        <v>171977</v>
      </c>
      <c r="C30" s="11">
        <v>171801</v>
      </c>
      <c r="D30" s="25">
        <f t="shared" si="0"/>
        <v>-176</v>
      </c>
    </row>
    <row r="31" spans="1:4" x14ac:dyDescent="0.2">
      <c r="A31" s="10">
        <v>25</v>
      </c>
      <c r="B31" s="11">
        <v>168650</v>
      </c>
      <c r="C31" s="11">
        <v>168247</v>
      </c>
      <c r="D31" s="25">
        <f t="shared" si="0"/>
        <v>-403</v>
      </c>
    </row>
    <row r="32" spans="1:4" x14ac:dyDescent="0.2">
      <c r="A32" s="10">
        <v>26</v>
      </c>
      <c r="B32" s="11">
        <v>167177</v>
      </c>
      <c r="C32" s="11">
        <v>163658</v>
      </c>
      <c r="D32" s="25">
        <f t="shared" si="0"/>
        <v>-3519</v>
      </c>
    </row>
    <row r="33" spans="1:4" x14ac:dyDescent="0.2">
      <c r="A33" s="10">
        <v>27</v>
      </c>
      <c r="B33" s="11">
        <v>158244</v>
      </c>
      <c r="C33" s="11">
        <v>160240</v>
      </c>
      <c r="D33" s="25">
        <f t="shared" si="0"/>
        <v>1996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4197172</v>
      </c>
      <c r="C38" s="11">
        <f>SUM(C7:C37)</f>
        <v>4198116</v>
      </c>
      <c r="D38" s="11">
        <f>SUM(D7:D37)</f>
        <v>944</v>
      </c>
    </row>
    <row r="39" spans="1:4" x14ac:dyDescent="0.2">
      <c r="A39" s="26"/>
      <c r="C39" s="14"/>
      <c r="D39" s="106">
        <f>+summary!P10</f>
        <v>2.58</v>
      </c>
    </row>
    <row r="40" spans="1:4" x14ac:dyDescent="0.2">
      <c r="D40" s="138">
        <f>+D39*D38</f>
        <v>2435.52</v>
      </c>
    </row>
    <row r="41" spans="1:4" x14ac:dyDescent="0.2">
      <c r="A41" s="57">
        <v>37042</v>
      </c>
      <c r="C41" s="15"/>
      <c r="D41" s="416">
        <v>0</v>
      </c>
    </row>
    <row r="42" spans="1:4" x14ac:dyDescent="0.2">
      <c r="A42" s="57">
        <v>37069</v>
      </c>
      <c r="D42" s="361">
        <f>+D41+D40</f>
        <v>2435.52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29" workbookViewId="3">
      <selection activeCell="B43" sqref="B43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26699</v>
      </c>
      <c r="C10" s="11"/>
      <c r="D10" s="11"/>
      <c r="E10" s="11">
        <v>26000</v>
      </c>
      <c r="F10" s="11">
        <f t="shared" si="0"/>
        <v>699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>
        <v>56421</v>
      </c>
      <c r="C11" s="11"/>
      <c r="D11" s="11"/>
      <c r="E11" s="11">
        <v>55000</v>
      </c>
      <c r="F11" s="11">
        <f t="shared" si="0"/>
        <v>1421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23123</v>
      </c>
      <c r="C12" s="11"/>
      <c r="D12" s="11"/>
      <c r="E12" s="11">
        <v>22806</v>
      </c>
      <c r="F12" s="11">
        <f t="shared" si="0"/>
        <v>317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>
        <v>301</v>
      </c>
      <c r="C13" s="11"/>
      <c r="D13" s="11"/>
      <c r="E13" s="11">
        <v>2577</v>
      </c>
      <c r="F13" s="11">
        <f t="shared" si="0"/>
        <v>-2276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>
        <v>2577</v>
      </c>
      <c r="F14" s="11">
        <f t="shared" si="0"/>
        <v>-2577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1242</v>
      </c>
      <c r="C15" s="11"/>
      <c r="D15" s="11"/>
      <c r="E15" s="11">
        <v>2577</v>
      </c>
      <c r="F15" s="11">
        <f t="shared" si="0"/>
        <v>-1335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19627</v>
      </c>
      <c r="C16" s="11"/>
      <c r="D16" s="11"/>
      <c r="E16" s="11">
        <v>20408</v>
      </c>
      <c r="F16" s="11">
        <f t="shared" si="0"/>
        <v>-781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3631</v>
      </c>
      <c r="C17" s="11"/>
      <c r="D17" s="11"/>
      <c r="E17" s="11">
        <v>5000</v>
      </c>
      <c r="F17" s="11">
        <f t="shared" si="0"/>
        <v>-1369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17373</v>
      </c>
      <c r="C18" s="11"/>
      <c r="D18" s="11"/>
      <c r="E18" s="11">
        <v>16000</v>
      </c>
      <c r="F18" s="11">
        <f t="shared" si="0"/>
        <v>1373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63088</v>
      </c>
      <c r="C19" s="11"/>
      <c r="D19" s="11"/>
      <c r="E19" s="11">
        <v>61408</v>
      </c>
      <c r="F19" s="11">
        <f t="shared" si="0"/>
        <v>1680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15643</v>
      </c>
      <c r="C20" s="11">
        <v>11182</v>
      </c>
      <c r="D20" s="11">
        <v>77567</v>
      </c>
      <c r="E20" s="11">
        <v>80510</v>
      </c>
      <c r="F20" s="11">
        <f t="shared" si="0"/>
        <v>1518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>
        <v>11182</v>
      </c>
      <c r="D21" s="11">
        <v>92407</v>
      </c>
      <c r="E21" s="11">
        <v>80510</v>
      </c>
      <c r="F21" s="11">
        <f t="shared" si="0"/>
        <v>715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37058</v>
      </c>
      <c r="C22" s="11">
        <v>922</v>
      </c>
      <c r="D22" s="11">
        <v>45734</v>
      </c>
      <c r="E22" s="11">
        <v>80510</v>
      </c>
      <c r="F22" s="11">
        <f t="shared" si="0"/>
        <v>1360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>
        <v>158</v>
      </c>
      <c r="E23" s="11">
        <v>6000</v>
      </c>
      <c r="F23" s="11">
        <f t="shared" si="0"/>
        <v>-5842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6044</v>
      </c>
      <c r="C24" s="11"/>
      <c r="D24" s="11"/>
      <c r="E24" s="11">
        <v>5000</v>
      </c>
      <c r="F24" s="11">
        <f t="shared" si="0"/>
        <v>1044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12320</v>
      </c>
      <c r="C25" s="11"/>
      <c r="D25" s="11"/>
      <c r="E25" s="11">
        <v>12191</v>
      </c>
      <c r="F25" s="11">
        <f t="shared" si="0"/>
        <v>129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23789</v>
      </c>
      <c r="C26" s="11"/>
      <c r="D26" s="11"/>
      <c r="E26" s="11">
        <v>22000</v>
      </c>
      <c r="F26" s="11">
        <f t="shared" si="0"/>
        <v>1789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45408</v>
      </c>
      <c r="C27" s="11"/>
      <c r="D27" s="11">
        <v>36242</v>
      </c>
      <c r="E27" s="11">
        <v>81399</v>
      </c>
      <c r="F27" s="11">
        <f t="shared" si="0"/>
        <v>251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44990</v>
      </c>
      <c r="C28" s="11"/>
      <c r="D28" s="11">
        <v>40011</v>
      </c>
      <c r="E28" s="11">
        <v>81399</v>
      </c>
      <c r="F28" s="11">
        <f t="shared" si="0"/>
        <v>3602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>
        <v>42149</v>
      </c>
      <c r="C29" s="11"/>
      <c r="D29" s="11">
        <v>39987</v>
      </c>
      <c r="E29" s="11">
        <v>81408</v>
      </c>
      <c r="F29" s="11">
        <f t="shared" si="0"/>
        <v>728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>
        <v>23163</v>
      </c>
      <c r="C30" s="11"/>
      <c r="D30" s="11"/>
      <c r="E30" s="11">
        <v>23000</v>
      </c>
      <c r="F30" s="11">
        <f t="shared" si="0"/>
        <v>163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>
        <v>38858</v>
      </c>
      <c r="C31" s="11"/>
      <c r="D31" s="11"/>
      <c r="E31" s="11">
        <v>38000</v>
      </c>
      <c r="F31" s="11">
        <f t="shared" si="0"/>
        <v>858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523844</v>
      </c>
      <c r="C36" s="44">
        <f>SUM(C5:C35)</f>
        <v>23286</v>
      </c>
      <c r="D36" s="43">
        <f>SUM(D5:D35)</f>
        <v>332106</v>
      </c>
      <c r="E36" s="44">
        <f>SUM(E5:E35)</f>
        <v>827197</v>
      </c>
      <c r="F36" s="11">
        <f>SUM(F5:F35)</f>
        <v>5467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500558</v>
      </c>
      <c r="D37" s="24"/>
      <c r="E37" s="24">
        <f>+D36-E36</f>
        <v>-495091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37069</v>
      </c>
      <c r="C42" s="14"/>
      <c r="D42" s="50"/>
      <c r="E42" s="50"/>
      <c r="F42" s="51">
        <f>+F41+F36</f>
        <v>67362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4" workbookViewId="3">
      <selection activeCell="A41" sqref="A41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">
      <c r="A9" s="10">
        <v>6</v>
      </c>
      <c r="B9" s="11">
        <v>114940</v>
      </c>
      <c r="C9" s="11">
        <v>116973</v>
      </c>
      <c r="D9" s="25">
        <f t="shared" si="0"/>
        <v>2033</v>
      </c>
    </row>
    <row r="10" spans="1:4" x14ac:dyDescent="0.2">
      <c r="A10" s="10">
        <v>7</v>
      </c>
      <c r="B10" s="11">
        <v>160759</v>
      </c>
      <c r="C10" s="11">
        <v>162355</v>
      </c>
      <c r="D10" s="25">
        <f t="shared" si="0"/>
        <v>1596</v>
      </c>
    </row>
    <row r="11" spans="1:4" x14ac:dyDescent="0.2">
      <c r="A11" s="10">
        <v>8</v>
      </c>
      <c r="B11" s="11">
        <v>98370</v>
      </c>
      <c r="C11" s="11">
        <v>98207</v>
      </c>
      <c r="D11" s="25">
        <f t="shared" si="0"/>
        <v>-163</v>
      </c>
    </row>
    <row r="12" spans="1:4" x14ac:dyDescent="0.2">
      <c r="A12" s="10">
        <v>9</v>
      </c>
      <c r="B12" s="11">
        <v>62643</v>
      </c>
      <c r="C12" s="11">
        <v>63670</v>
      </c>
      <c r="D12" s="25">
        <f t="shared" si="0"/>
        <v>1027</v>
      </c>
    </row>
    <row r="13" spans="1:4" x14ac:dyDescent="0.2">
      <c r="A13" s="10">
        <v>10</v>
      </c>
      <c r="B13" s="11">
        <v>91985</v>
      </c>
      <c r="C13" s="11">
        <v>93377</v>
      </c>
      <c r="D13" s="25">
        <f t="shared" si="0"/>
        <v>1392</v>
      </c>
    </row>
    <row r="14" spans="1:4" x14ac:dyDescent="0.2">
      <c r="A14" s="10">
        <v>11</v>
      </c>
      <c r="B14" s="11">
        <v>102048</v>
      </c>
      <c r="C14" s="11">
        <v>103020</v>
      </c>
      <c r="D14" s="25">
        <f t="shared" si="0"/>
        <v>972</v>
      </c>
    </row>
    <row r="15" spans="1:4" x14ac:dyDescent="0.2">
      <c r="A15" s="10">
        <v>12</v>
      </c>
      <c r="B15" s="11">
        <v>66395</v>
      </c>
      <c r="C15" s="11">
        <v>66527</v>
      </c>
      <c r="D15" s="25">
        <f t="shared" si="0"/>
        <v>132</v>
      </c>
    </row>
    <row r="16" spans="1:4" x14ac:dyDescent="0.2">
      <c r="A16" s="10">
        <v>13</v>
      </c>
      <c r="B16" s="11">
        <v>82203</v>
      </c>
      <c r="C16" s="11">
        <v>82687</v>
      </c>
      <c r="D16" s="25">
        <f t="shared" si="0"/>
        <v>484</v>
      </c>
    </row>
    <row r="17" spans="1:4" x14ac:dyDescent="0.2">
      <c r="A17" s="10">
        <v>14</v>
      </c>
      <c r="B17" s="11">
        <v>24040</v>
      </c>
      <c r="C17" s="11">
        <v>26899</v>
      </c>
      <c r="D17" s="25">
        <f t="shared" si="0"/>
        <v>2859</v>
      </c>
    </row>
    <row r="18" spans="1:4" x14ac:dyDescent="0.2">
      <c r="A18" s="10">
        <v>15</v>
      </c>
      <c r="B18" s="11">
        <v>89433</v>
      </c>
      <c r="C18" s="11">
        <v>90967</v>
      </c>
      <c r="D18" s="25">
        <f t="shared" si="0"/>
        <v>1534</v>
      </c>
    </row>
    <row r="19" spans="1:4" x14ac:dyDescent="0.2">
      <c r="A19" s="10">
        <v>16</v>
      </c>
      <c r="B19" s="11">
        <v>74986</v>
      </c>
      <c r="C19" s="11">
        <v>75328</v>
      </c>
      <c r="D19" s="25">
        <f t="shared" si="0"/>
        <v>342</v>
      </c>
    </row>
    <row r="20" spans="1:4" x14ac:dyDescent="0.2">
      <c r="A20" s="10">
        <v>17</v>
      </c>
      <c r="B20" s="11">
        <v>55046</v>
      </c>
      <c r="C20" s="11">
        <v>56156</v>
      </c>
      <c r="D20" s="25">
        <f t="shared" si="0"/>
        <v>1110</v>
      </c>
    </row>
    <row r="21" spans="1:4" x14ac:dyDescent="0.2">
      <c r="A21" s="10">
        <v>18</v>
      </c>
      <c r="B21" s="11">
        <v>58054</v>
      </c>
      <c r="C21" s="11">
        <v>58951</v>
      </c>
      <c r="D21" s="25">
        <f t="shared" si="0"/>
        <v>897</v>
      </c>
    </row>
    <row r="22" spans="1:4" x14ac:dyDescent="0.2">
      <c r="A22" s="10">
        <v>19</v>
      </c>
      <c r="B22" s="11">
        <v>141458</v>
      </c>
      <c r="C22" s="11">
        <v>117983</v>
      </c>
      <c r="D22" s="25">
        <f t="shared" si="0"/>
        <v>-23475</v>
      </c>
    </row>
    <row r="23" spans="1:4" x14ac:dyDescent="0.2">
      <c r="A23" s="10">
        <v>20</v>
      </c>
      <c r="B23" s="11">
        <v>67088</v>
      </c>
      <c r="C23" s="11">
        <v>71618</v>
      </c>
      <c r="D23" s="25">
        <f t="shared" si="0"/>
        <v>4530</v>
      </c>
    </row>
    <row r="24" spans="1:4" x14ac:dyDescent="0.2">
      <c r="A24" s="10">
        <v>21</v>
      </c>
      <c r="B24" s="11">
        <v>89187</v>
      </c>
      <c r="C24" s="11">
        <v>89692</v>
      </c>
      <c r="D24" s="25">
        <f t="shared" si="0"/>
        <v>505</v>
      </c>
    </row>
    <row r="25" spans="1:4" x14ac:dyDescent="0.2">
      <c r="A25" s="10">
        <v>22</v>
      </c>
      <c r="B25" s="11">
        <v>109277</v>
      </c>
      <c r="C25" s="11">
        <v>110124</v>
      </c>
      <c r="D25" s="25">
        <f t="shared" si="0"/>
        <v>847</v>
      </c>
    </row>
    <row r="26" spans="1:4" x14ac:dyDescent="0.2">
      <c r="A26" s="10">
        <v>23</v>
      </c>
      <c r="B26" s="11">
        <v>125238</v>
      </c>
      <c r="C26" s="11">
        <v>117326</v>
      </c>
      <c r="D26" s="25">
        <f t="shared" si="0"/>
        <v>-7912</v>
      </c>
    </row>
    <row r="27" spans="1:4" x14ac:dyDescent="0.2">
      <c r="A27" s="10">
        <v>24</v>
      </c>
      <c r="B27" s="11">
        <v>72075</v>
      </c>
      <c r="C27" s="11">
        <v>74353</v>
      </c>
      <c r="D27" s="25">
        <f t="shared" si="0"/>
        <v>2278</v>
      </c>
    </row>
    <row r="28" spans="1:4" x14ac:dyDescent="0.2">
      <c r="A28" s="10">
        <v>25</v>
      </c>
      <c r="B28" s="11">
        <v>77339</v>
      </c>
      <c r="C28" s="11">
        <v>77870</v>
      </c>
      <c r="D28" s="25">
        <f t="shared" si="0"/>
        <v>531</v>
      </c>
    </row>
    <row r="29" spans="1:4" x14ac:dyDescent="0.2">
      <c r="A29" s="10">
        <v>26</v>
      </c>
      <c r="B29" s="11">
        <v>103220</v>
      </c>
      <c r="C29" s="11">
        <v>103694</v>
      </c>
      <c r="D29" s="25">
        <f t="shared" si="0"/>
        <v>474</v>
      </c>
    </row>
    <row r="30" spans="1:4" x14ac:dyDescent="0.2">
      <c r="A30" s="10">
        <v>27</v>
      </c>
      <c r="B30" s="11">
        <v>145252</v>
      </c>
      <c r="C30" s="11">
        <v>145564</v>
      </c>
      <c r="D30" s="25">
        <f t="shared" si="0"/>
        <v>312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2912460</v>
      </c>
      <c r="C35" s="11">
        <f>SUM(C4:C34)</f>
        <v>2906448</v>
      </c>
      <c r="D35" s="11">
        <f>SUM(D4:D34)</f>
        <v>-6012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37042</v>
      </c>
      <c r="D38" s="248">
        <v>-10045</v>
      </c>
    </row>
    <row r="39" spans="1:30" x14ac:dyDescent="0.2">
      <c r="A39" s="12"/>
      <c r="D39" s="24"/>
    </row>
    <row r="40" spans="1:30" x14ac:dyDescent="0.2">
      <c r="A40" s="250">
        <v>37069</v>
      </c>
      <c r="D40" s="24">
        <f>+D38+D35</f>
        <v>-16057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6" workbookViewId="3">
      <selection activeCell="B40" sqref="B40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">
      <c r="A9" s="10">
        <v>6</v>
      </c>
      <c r="B9" s="11">
        <v>813600</v>
      </c>
      <c r="C9" s="11">
        <v>791590</v>
      </c>
      <c r="D9" s="11">
        <v>20000</v>
      </c>
      <c r="E9" s="11">
        <v>21853</v>
      </c>
      <c r="F9" s="25">
        <f t="shared" si="0"/>
        <v>-20157</v>
      </c>
      <c r="H9" s="10"/>
      <c r="I9" s="11"/>
    </row>
    <row r="10" spans="1:11" x14ac:dyDescent="0.2">
      <c r="A10" s="10">
        <v>7</v>
      </c>
      <c r="B10" s="11">
        <v>813594</v>
      </c>
      <c r="C10" s="11">
        <v>805336</v>
      </c>
      <c r="D10" s="11"/>
      <c r="E10" s="11">
        <v>388</v>
      </c>
      <c r="F10" s="25">
        <f t="shared" si="0"/>
        <v>-7870</v>
      </c>
      <c r="H10" s="10"/>
      <c r="I10" s="11"/>
    </row>
    <row r="11" spans="1:11" x14ac:dyDescent="0.2">
      <c r="A11" s="10">
        <v>8</v>
      </c>
      <c r="B11" s="11">
        <v>767678</v>
      </c>
      <c r="C11" s="11">
        <v>779447</v>
      </c>
      <c r="D11" s="11">
        <v>20000</v>
      </c>
      <c r="E11" s="11">
        <v>20777</v>
      </c>
      <c r="F11" s="25">
        <f t="shared" si="0"/>
        <v>12546</v>
      </c>
      <c r="H11" s="10"/>
      <c r="I11" s="11"/>
    </row>
    <row r="12" spans="1:11" x14ac:dyDescent="0.2">
      <c r="A12" s="10">
        <v>9</v>
      </c>
      <c r="B12" s="11">
        <v>591120</v>
      </c>
      <c r="C12" s="11">
        <v>619044</v>
      </c>
      <c r="D12" s="11">
        <v>50000</v>
      </c>
      <c r="E12" s="11">
        <v>48771</v>
      </c>
      <c r="F12" s="25">
        <f t="shared" si="0"/>
        <v>26695</v>
      </c>
      <c r="H12" s="10"/>
      <c r="I12" s="11"/>
    </row>
    <row r="13" spans="1:11" x14ac:dyDescent="0.2">
      <c r="A13" s="10">
        <v>10</v>
      </c>
      <c r="B13" s="11">
        <v>591120</v>
      </c>
      <c r="C13" s="11">
        <v>599411</v>
      </c>
      <c r="D13" s="11">
        <v>20000</v>
      </c>
      <c r="E13" s="11">
        <v>20881</v>
      </c>
      <c r="F13" s="25">
        <f t="shared" si="0"/>
        <v>9172</v>
      </c>
      <c r="H13" s="10"/>
      <c r="I13" s="11"/>
    </row>
    <row r="14" spans="1:11" x14ac:dyDescent="0.2">
      <c r="A14" s="10">
        <v>11</v>
      </c>
      <c r="B14" s="11">
        <v>803925</v>
      </c>
      <c r="C14" s="11">
        <v>778362</v>
      </c>
      <c r="D14" s="11">
        <v>20000</v>
      </c>
      <c r="E14" s="11">
        <v>19954</v>
      </c>
      <c r="F14" s="25">
        <f t="shared" si="0"/>
        <v>-25609</v>
      </c>
      <c r="H14" s="10"/>
      <c r="I14" s="11"/>
    </row>
    <row r="15" spans="1:11" x14ac:dyDescent="0.2">
      <c r="A15" s="10">
        <v>12</v>
      </c>
      <c r="B15" s="11">
        <v>811200</v>
      </c>
      <c r="C15" s="11">
        <v>803990</v>
      </c>
      <c r="D15" s="11">
        <v>4700</v>
      </c>
      <c r="E15" s="11">
        <v>4657</v>
      </c>
      <c r="F15" s="25">
        <f t="shared" si="0"/>
        <v>-7253</v>
      </c>
      <c r="H15" s="10"/>
      <c r="I15" s="11"/>
    </row>
    <row r="16" spans="1:11" x14ac:dyDescent="0.2">
      <c r="A16" s="10">
        <v>13</v>
      </c>
      <c r="B16" s="11">
        <v>810400</v>
      </c>
      <c r="C16" s="11">
        <v>791338</v>
      </c>
      <c r="D16" s="11"/>
      <c r="E16" s="11">
        <v>19406</v>
      </c>
      <c r="F16" s="25">
        <f t="shared" si="0"/>
        <v>344</v>
      </c>
      <c r="H16" s="10"/>
      <c r="I16" s="11"/>
      <c r="K16" s="25"/>
    </row>
    <row r="17" spans="1:11" x14ac:dyDescent="0.2">
      <c r="A17" s="10">
        <v>14</v>
      </c>
      <c r="B17" s="11">
        <v>792272</v>
      </c>
      <c r="C17" s="11">
        <v>787949</v>
      </c>
      <c r="D17" s="11"/>
      <c r="E17" s="11">
        <v>8191</v>
      </c>
      <c r="F17" s="25">
        <f t="shared" si="0"/>
        <v>3868</v>
      </c>
      <c r="H17" s="10"/>
      <c r="I17" s="11"/>
    </row>
    <row r="18" spans="1:11" x14ac:dyDescent="0.2">
      <c r="A18" s="10">
        <v>15</v>
      </c>
      <c r="B18" s="11">
        <v>719280</v>
      </c>
      <c r="C18" s="11">
        <v>724681</v>
      </c>
      <c r="D18" s="11"/>
      <c r="E18" s="11">
        <v>1</v>
      </c>
      <c r="F18" s="25">
        <f t="shared" si="0"/>
        <v>5402</v>
      </c>
      <c r="H18" s="10"/>
      <c r="I18" s="11"/>
    </row>
    <row r="19" spans="1:11" x14ac:dyDescent="0.2">
      <c r="A19" s="10">
        <v>16</v>
      </c>
      <c r="B19" s="11">
        <v>571356</v>
      </c>
      <c r="C19" s="11">
        <v>601963</v>
      </c>
      <c r="D19" s="11">
        <v>11800</v>
      </c>
      <c r="E19" s="11">
        <v>12127</v>
      </c>
      <c r="F19" s="25">
        <f t="shared" si="0"/>
        <v>30934</v>
      </c>
      <c r="H19" s="10"/>
      <c r="I19" s="11"/>
    </row>
    <row r="20" spans="1:11" x14ac:dyDescent="0.2">
      <c r="A20" s="10">
        <v>17</v>
      </c>
      <c r="B20" s="11">
        <v>590611</v>
      </c>
      <c r="C20" s="11">
        <v>599439</v>
      </c>
      <c r="D20" s="11">
        <v>25000</v>
      </c>
      <c r="E20" s="11">
        <v>24976</v>
      </c>
      <c r="F20" s="25">
        <f t="shared" si="0"/>
        <v>8804</v>
      </c>
      <c r="H20" s="10"/>
      <c r="I20" s="11"/>
    </row>
    <row r="21" spans="1:11" x14ac:dyDescent="0.2">
      <c r="A21" s="10">
        <v>18</v>
      </c>
      <c r="B21" s="11">
        <v>810004</v>
      </c>
      <c r="C21" s="11">
        <v>792293</v>
      </c>
      <c r="D21" s="11"/>
      <c r="E21" s="11">
        <v>10026</v>
      </c>
      <c r="F21" s="25">
        <f t="shared" si="0"/>
        <v>-7685</v>
      </c>
      <c r="H21" s="10"/>
      <c r="I21" s="11"/>
    </row>
    <row r="22" spans="1:11" x14ac:dyDescent="0.2">
      <c r="A22" s="10">
        <v>19</v>
      </c>
      <c r="B22" s="11">
        <v>773687</v>
      </c>
      <c r="C22" s="11">
        <v>753811</v>
      </c>
      <c r="D22" s="11"/>
      <c r="E22" s="11">
        <v>59</v>
      </c>
      <c r="F22" s="25">
        <f t="shared" si="0"/>
        <v>-19817</v>
      </c>
      <c r="H22" s="10"/>
      <c r="I22" s="11"/>
    </row>
    <row r="23" spans="1:11" x14ac:dyDescent="0.2">
      <c r="A23" s="10">
        <v>20</v>
      </c>
      <c r="B23" s="11">
        <v>799401</v>
      </c>
      <c r="C23" s="11">
        <v>768255</v>
      </c>
      <c r="D23" s="11"/>
      <c r="E23" s="11">
        <v>24882</v>
      </c>
      <c r="F23" s="25">
        <f t="shared" si="0"/>
        <v>-6264</v>
      </c>
      <c r="H23" s="10"/>
      <c r="I23" s="11"/>
    </row>
    <row r="24" spans="1:11" x14ac:dyDescent="0.2">
      <c r="A24" s="10">
        <v>21</v>
      </c>
      <c r="B24" s="11">
        <v>807200</v>
      </c>
      <c r="C24" s="11">
        <v>812370</v>
      </c>
      <c r="D24" s="11"/>
      <c r="E24" s="11">
        <v>225</v>
      </c>
      <c r="F24" s="25">
        <f t="shared" si="0"/>
        <v>5395</v>
      </c>
      <c r="H24" s="10"/>
      <c r="I24" s="11"/>
      <c r="K24" s="25"/>
    </row>
    <row r="25" spans="1:11" x14ac:dyDescent="0.2">
      <c r="A25" s="10">
        <v>22</v>
      </c>
      <c r="B25" s="11">
        <v>757612</v>
      </c>
      <c r="C25" s="11">
        <v>764692</v>
      </c>
      <c r="D25" s="11">
        <v>20000</v>
      </c>
      <c r="E25" s="11">
        <v>20030</v>
      </c>
      <c r="F25" s="25">
        <f t="shared" si="0"/>
        <v>7110</v>
      </c>
      <c r="H25" s="10"/>
      <c r="I25" s="11"/>
    </row>
    <row r="26" spans="1:11" x14ac:dyDescent="0.2">
      <c r="A26" s="10">
        <v>23</v>
      </c>
      <c r="B26" s="11">
        <v>662444</v>
      </c>
      <c r="C26" s="11">
        <v>659070</v>
      </c>
      <c r="D26" s="11">
        <v>25000</v>
      </c>
      <c r="E26" s="11">
        <v>25000</v>
      </c>
      <c r="F26" s="25">
        <f t="shared" si="0"/>
        <v>-3374</v>
      </c>
      <c r="H26" s="10"/>
      <c r="I26" s="11"/>
    </row>
    <row r="27" spans="1:11" x14ac:dyDescent="0.2">
      <c r="A27" s="10">
        <v>24</v>
      </c>
      <c r="B27" s="11">
        <v>617440</v>
      </c>
      <c r="C27" s="11">
        <v>612925</v>
      </c>
      <c r="D27" s="11">
        <v>25000</v>
      </c>
      <c r="E27" s="11">
        <v>25010</v>
      </c>
      <c r="F27" s="25">
        <f t="shared" si="0"/>
        <v>-4505</v>
      </c>
      <c r="H27" s="10"/>
      <c r="I27" s="11"/>
      <c r="K27" s="25"/>
    </row>
    <row r="28" spans="1:11" x14ac:dyDescent="0.2">
      <c r="A28" s="10">
        <v>25</v>
      </c>
      <c r="B28" s="11">
        <v>781736</v>
      </c>
      <c r="C28" s="11">
        <v>781438</v>
      </c>
      <c r="D28" s="11">
        <v>25000</v>
      </c>
      <c r="E28" s="11">
        <v>7830</v>
      </c>
      <c r="F28" s="25">
        <f t="shared" si="0"/>
        <v>-17468</v>
      </c>
      <c r="H28" s="10"/>
      <c r="I28" s="11"/>
      <c r="K28" s="25"/>
    </row>
    <row r="29" spans="1:11" x14ac:dyDescent="0.2">
      <c r="A29" s="10">
        <v>26</v>
      </c>
      <c r="B29" s="11">
        <v>805793</v>
      </c>
      <c r="C29" s="11">
        <v>803701</v>
      </c>
      <c r="D29" s="11"/>
      <c r="E29" s="11">
        <v>11391</v>
      </c>
      <c r="F29" s="25">
        <f t="shared" si="0"/>
        <v>9299</v>
      </c>
      <c r="H29" s="10"/>
      <c r="I29" s="11"/>
      <c r="K29" s="25"/>
    </row>
    <row r="30" spans="1:11" x14ac:dyDescent="0.2">
      <c r="A30" s="10">
        <v>27</v>
      </c>
      <c r="B30" s="11">
        <v>811200</v>
      </c>
      <c r="C30" s="11">
        <v>809144</v>
      </c>
      <c r="D30" s="11"/>
      <c r="E30" s="11"/>
      <c r="F30" s="25">
        <f t="shared" si="0"/>
        <v>-2056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20326499</v>
      </c>
      <c r="C35" s="11">
        <f>SUM(C4:C34)</f>
        <v>20260644</v>
      </c>
      <c r="D35" s="11">
        <f>SUM(D4:D34)</f>
        <v>326500</v>
      </c>
      <c r="E35" s="11">
        <f>SUM(E4:E34)</f>
        <v>387141</v>
      </c>
      <c r="F35" s="11">
        <f>SUM(F4:F34)</f>
        <v>-5214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37042</v>
      </c>
      <c r="F38" s="404">
        <v>-21565</v>
      </c>
    </row>
    <row r="39" spans="1:45" x14ac:dyDescent="0.2">
      <c r="A39" s="2"/>
      <c r="F39" s="24"/>
    </row>
    <row r="40" spans="1:45" x14ac:dyDescent="0.2">
      <c r="A40" s="57">
        <v>37069</v>
      </c>
      <c r="F40" s="51">
        <f>+F38+F35</f>
        <v>-26779</v>
      </c>
    </row>
    <row r="42" spans="1:45" x14ac:dyDescent="0.2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6" workbookViewId="3">
      <selection activeCell="E31" sqref="E31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f>151669+675</f>
        <v>152344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220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117229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667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148819</v>
      </c>
      <c r="C9" s="11">
        <v>84605</v>
      </c>
      <c r="D9" s="11">
        <v>9713</v>
      </c>
      <c r="E9" s="11">
        <v>73318</v>
      </c>
      <c r="F9" s="11"/>
      <c r="G9" s="11"/>
      <c r="H9" s="11">
        <f t="shared" si="0"/>
        <v>609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122857</v>
      </c>
      <c r="C10" s="11">
        <v>114605</v>
      </c>
      <c r="D10" s="11">
        <v>30005</v>
      </c>
      <c r="E10" s="11">
        <v>38318</v>
      </c>
      <c r="F10" s="11"/>
      <c r="G10" s="11"/>
      <c r="H10" s="11">
        <f t="shared" si="0"/>
        <v>-61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133339</v>
      </c>
      <c r="C11" s="11">
        <v>105004</v>
      </c>
      <c r="D11" s="129"/>
      <c r="E11" s="11">
        <v>40816</v>
      </c>
      <c r="F11" s="11"/>
      <c r="G11" s="11"/>
      <c r="H11" s="11">
        <f t="shared" si="0"/>
        <v>-12481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142252</v>
      </c>
      <c r="C12" s="11">
        <v>132998</v>
      </c>
      <c r="D12" s="11">
        <v>38291</v>
      </c>
      <c r="E12" s="11">
        <v>48318</v>
      </c>
      <c r="F12" s="11"/>
      <c r="G12" s="11"/>
      <c r="H12" s="11">
        <f t="shared" si="0"/>
        <v>-773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141268</v>
      </c>
      <c r="C13" s="11">
        <v>132998</v>
      </c>
      <c r="D13" s="11">
        <v>40004</v>
      </c>
      <c r="E13" s="11">
        <v>48318</v>
      </c>
      <c r="F13" s="11"/>
      <c r="G13" s="11"/>
      <c r="H13" s="11">
        <f t="shared" si="0"/>
        <v>-44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129213</v>
      </c>
      <c r="C14" s="11">
        <v>118196</v>
      </c>
      <c r="D14" s="11">
        <v>37928</v>
      </c>
      <c r="E14" s="11">
        <v>48177</v>
      </c>
      <c r="F14" s="11"/>
      <c r="G14" s="11"/>
      <c r="H14" s="11">
        <f t="shared" si="0"/>
        <v>768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125642</v>
      </c>
      <c r="C15" s="11">
        <v>87865</v>
      </c>
      <c r="D15" s="11">
        <v>221</v>
      </c>
      <c r="E15" s="11">
        <v>37474</v>
      </c>
      <c r="F15" s="11"/>
      <c r="G15" s="11"/>
      <c r="H15" s="11">
        <f t="shared" si="0"/>
        <v>524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121855</v>
      </c>
      <c r="C16" s="11">
        <v>53172</v>
      </c>
      <c r="D16" s="11">
        <v>1</v>
      </c>
      <c r="E16" s="11">
        <v>68265</v>
      </c>
      <c r="F16" s="11"/>
      <c r="G16" s="11"/>
      <c r="H16" s="11">
        <f t="shared" si="0"/>
        <v>419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117696</v>
      </c>
      <c r="C17" s="11">
        <v>53077</v>
      </c>
      <c r="D17" s="11"/>
      <c r="E17" s="11">
        <v>63264</v>
      </c>
      <c r="F17" s="11"/>
      <c r="G17" s="11"/>
      <c r="H17" s="11">
        <f t="shared" si="0"/>
        <v>1355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135340</v>
      </c>
      <c r="C18" s="11">
        <v>93618</v>
      </c>
      <c r="D18" s="11"/>
      <c r="E18" s="11">
        <v>38265</v>
      </c>
      <c r="F18" s="11"/>
      <c r="G18" s="11"/>
      <c r="H18" s="11">
        <f t="shared" si="0"/>
        <v>3457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128217</v>
      </c>
      <c r="C19" s="11">
        <v>147738</v>
      </c>
      <c r="D19" s="11">
        <v>28796</v>
      </c>
      <c r="E19" s="11">
        <v>38318</v>
      </c>
      <c r="F19" s="11"/>
      <c r="G19" s="11"/>
      <c r="H19" s="11">
        <f t="shared" si="0"/>
        <v>-29043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126219</v>
      </c>
      <c r="C20" s="11">
        <v>147012</v>
      </c>
      <c r="D20" s="11">
        <v>29394</v>
      </c>
      <c r="E20" s="11">
        <v>2</v>
      </c>
      <c r="F20" s="11"/>
      <c r="G20" s="11"/>
      <c r="H20" s="11">
        <f t="shared" si="0"/>
        <v>8599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146791</v>
      </c>
      <c r="C21" s="11">
        <v>144266</v>
      </c>
      <c r="D21" s="11">
        <v>63511</v>
      </c>
      <c r="E21" s="11">
        <v>56424</v>
      </c>
      <c r="F21" s="11"/>
      <c r="G21" s="11"/>
      <c r="H21" s="11">
        <f t="shared" si="0"/>
        <v>9612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140377</v>
      </c>
      <c r="C22" s="11">
        <v>71828</v>
      </c>
      <c r="D22" s="11">
        <v>929</v>
      </c>
      <c r="E22" s="11">
        <v>52111</v>
      </c>
      <c r="F22" s="11"/>
      <c r="G22" s="11"/>
      <c r="H22" s="11">
        <f t="shared" si="0"/>
        <v>17367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113340</v>
      </c>
      <c r="C23" s="11">
        <v>65289</v>
      </c>
      <c r="D23" s="11"/>
      <c r="E23" s="11">
        <v>31550</v>
      </c>
      <c r="F23" s="11"/>
      <c r="G23" s="11"/>
      <c r="H23" s="11">
        <f t="shared" si="0"/>
        <v>16501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128641</v>
      </c>
      <c r="C24" s="11">
        <v>90753</v>
      </c>
      <c r="D24" s="11">
        <v>50700</v>
      </c>
      <c r="E24" s="11">
        <v>90893</v>
      </c>
      <c r="F24" s="11"/>
      <c r="G24" s="11"/>
      <c r="H24" s="11">
        <f t="shared" si="0"/>
        <v>-2305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111337</v>
      </c>
      <c r="C25" s="11">
        <v>109220</v>
      </c>
      <c r="D25" s="11">
        <v>33652</v>
      </c>
      <c r="E25" s="11">
        <v>38268</v>
      </c>
      <c r="F25" s="11"/>
      <c r="G25" s="11"/>
      <c r="H25" s="11">
        <f t="shared" si="0"/>
        <v>-2499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142907</v>
      </c>
      <c r="C26" s="11">
        <v>141109</v>
      </c>
      <c r="D26" s="11">
        <v>56005</v>
      </c>
      <c r="E26" s="11">
        <v>52123</v>
      </c>
      <c r="F26" s="11"/>
      <c r="G26" s="11"/>
      <c r="H26" s="11">
        <f t="shared" si="0"/>
        <v>5680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>
        <v>136849</v>
      </c>
      <c r="C27" s="11">
        <v>141109</v>
      </c>
      <c r="D27" s="11">
        <v>56974</v>
      </c>
      <c r="E27" s="11">
        <v>52070</v>
      </c>
      <c r="F27" s="11"/>
      <c r="G27" s="11"/>
      <c r="H27" s="11">
        <f t="shared" si="0"/>
        <v>644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>
        <v>118088</v>
      </c>
      <c r="C28" s="11">
        <v>141109</v>
      </c>
      <c r="D28" s="11">
        <v>64579</v>
      </c>
      <c r="E28" s="11">
        <v>42123</v>
      </c>
      <c r="F28" s="11"/>
      <c r="G28" s="11"/>
      <c r="H28" s="11">
        <f t="shared" si="0"/>
        <v>-565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>
        <v>121544</v>
      </c>
      <c r="C29" s="11">
        <v>134292</v>
      </c>
      <c r="D29" s="11">
        <v>66570</v>
      </c>
      <c r="E29" s="11">
        <v>54054</v>
      </c>
      <c r="F29" s="11"/>
      <c r="G29" s="11"/>
      <c r="H29" s="11">
        <f t="shared" si="0"/>
        <v>-232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>
        <v>125284</v>
      </c>
      <c r="C30" s="11">
        <v>135157</v>
      </c>
      <c r="D30" s="11">
        <v>68751</v>
      </c>
      <c r="E30" s="11">
        <v>58854</v>
      </c>
      <c r="F30" s="11"/>
      <c r="G30" s="11"/>
      <c r="H30" s="11">
        <f t="shared" si="0"/>
        <v>24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3542136</v>
      </c>
      <c r="C35" s="44">
        <f t="shared" si="1"/>
        <v>2980553</v>
      </c>
      <c r="D35" s="11">
        <f t="shared" si="1"/>
        <v>874894</v>
      </c>
      <c r="E35" s="44">
        <f t="shared" si="1"/>
        <v>1418151</v>
      </c>
      <c r="F35" s="11">
        <f t="shared" si="1"/>
        <v>0</v>
      </c>
      <c r="G35" s="11">
        <f t="shared" si="1"/>
        <v>0</v>
      </c>
      <c r="H35" s="11">
        <f t="shared" si="1"/>
        <v>18326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3.22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59009.72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05">
        <v>237513.04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37069</v>
      </c>
      <c r="F39" s="47"/>
      <c r="G39" s="47"/>
      <c r="H39" s="137">
        <f>+H38+H37</f>
        <v>296522.76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19" workbookViewId="3">
      <selection activeCell="E31" sqref="E31"/>
    </sheetView>
  </sheetViews>
  <sheetFormatPr defaultRowHeight="12.75" x14ac:dyDescent="0.2"/>
  <cols>
    <col min="1" max="1" width="8.570312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337862</v>
      </c>
      <c r="E8" s="129">
        <v>353310</v>
      </c>
      <c r="F8" s="11"/>
      <c r="G8" s="11"/>
      <c r="H8" s="24">
        <f t="shared" si="0"/>
        <v>-15448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289974</v>
      </c>
      <c r="E9" s="11">
        <v>294293</v>
      </c>
      <c r="F9" s="11"/>
      <c r="G9" s="11"/>
      <c r="H9" s="24">
        <f t="shared" si="0"/>
        <v>-4319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188671</v>
      </c>
      <c r="E10" s="11">
        <v>181561</v>
      </c>
      <c r="F10" s="11"/>
      <c r="G10" s="11"/>
      <c r="H10" s="24">
        <f t="shared" si="0"/>
        <v>7110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336735</v>
      </c>
      <c r="E11" s="11">
        <v>358146</v>
      </c>
      <c r="F11" s="11"/>
      <c r="G11" s="11"/>
      <c r="H11" s="24">
        <f t="shared" si="0"/>
        <v>-21411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331513</v>
      </c>
      <c r="E12" s="11">
        <v>351416</v>
      </c>
      <c r="F12" s="11"/>
      <c r="G12" s="11"/>
      <c r="H12" s="24">
        <f t="shared" si="0"/>
        <v>-19903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315972</v>
      </c>
      <c r="E13" s="11">
        <v>363574</v>
      </c>
      <c r="F13" s="11"/>
      <c r="G13" s="11"/>
      <c r="H13" s="24">
        <f t="shared" si="0"/>
        <v>-47602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302020</v>
      </c>
      <c r="E14" s="11">
        <v>321680</v>
      </c>
      <c r="F14" s="11"/>
      <c r="G14" s="11"/>
      <c r="H14" s="24">
        <f t="shared" si="0"/>
        <v>-19660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323556</v>
      </c>
      <c r="E15" s="11">
        <v>318183</v>
      </c>
      <c r="F15" s="11"/>
      <c r="G15" s="11"/>
      <c r="H15" s="24">
        <f t="shared" si="0"/>
        <v>5373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360079</v>
      </c>
      <c r="E16" s="11">
        <v>360680</v>
      </c>
      <c r="F16" s="11"/>
      <c r="G16" s="11"/>
      <c r="H16" s="24">
        <f t="shared" si="0"/>
        <v>-601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332093</v>
      </c>
      <c r="E17" s="11">
        <v>352974</v>
      </c>
      <c r="F17" s="11"/>
      <c r="G17" s="11"/>
      <c r="H17" s="24">
        <f t="shared" si="0"/>
        <v>-20881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378062</v>
      </c>
      <c r="E18" s="11">
        <v>382230</v>
      </c>
      <c r="F18" s="11"/>
      <c r="G18" s="11"/>
      <c r="H18" s="24">
        <f t="shared" si="0"/>
        <v>-4168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355412</v>
      </c>
      <c r="E19" s="11">
        <v>356986</v>
      </c>
      <c r="F19" s="11"/>
      <c r="G19" s="11"/>
      <c r="H19" s="24">
        <f t="shared" si="0"/>
        <v>-1574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307012</v>
      </c>
      <c r="E20" s="11">
        <v>305306</v>
      </c>
      <c r="F20" s="11"/>
      <c r="G20" s="11"/>
      <c r="H20" s="24">
        <f t="shared" si="0"/>
        <v>1706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294408</v>
      </c>
      <c r="E21" s="11">
        <v>301598</v>
      </c>
      <c r="F21" s="11"/>
      <c r="G21" s="11"/>
      <c r="H21" s="24">
        <f t="shared" si="0"/>
        <v>-7190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330776</v>
      </c>
      <c r="E22" s="11">
        <v>325454</v>
      </c>
      <c r="F22" s="11"/>
      <c r="G22" s="11"/>
      <c r="H22" s="24">
        <f t="shared" si="0"/>
        <v>5322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>
        <v>33</v>
      </c>
      <c r="C23" s="11"/>
      <c r="D23" s="11">
        <v>303963</v>
      </c>
      <c r="E23" s="11">
        <v>314900</v>
      </c>
      <c r="F23" s="11"/>
      <c r="G23" s="11"/>
      <c r="H23" s="24">
        <f t="shared" si="0"/>
        <v>-10970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>
        <v>565</v>
      </c>
      <c r="C24" s="11"/>
      <c r="D24" s="11">
        <v>284298</v>
      </c>
      <c r="E24" s="11">
        <v>291365</v>
      </c>
      <c r="F24" s="11"/>
      <c r="G24" s="11"/>
      <c r="H24" s="24">
        <f t="shared" si="0"/>
        <v>-7632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257315</v>
      </c>
      <c r="E25" s="11">
        <v>258871</v>
      </c>
      <c r="F25" s="11"/>
      <c r="G25" s="11"/>
      <c r="H25" s="24">
        <f t="shared" si="0"/>
        <v>-1556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>
        <v>2000</v>
      </c>
      <c r="D26" s="11">
        <v>295441</v>
      </c>
      <c r="E26" s="11">
        <v>297976</v>
      </c>
      <c r="F26" s="11"/>
      <c r="G26" s="11"/>
      <c r="H26" s="24">
        <f t="shared" si="0"/>
        <v>-535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v>281255</v>
      </c>
      <c r="E27" s="11">
        <v>280905</v>
      </c>
      <c r="F27" s="11"/>
      <c r="G27" s="11"/>
      <c r="H27" s="24">
        <f t="shared" si="0"/>
        <v>350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258745</v>
      </c>
      <c r="E28" s="11">
        <v>249184</v>
      </c>
      <c r="F28" s="11"/>
      <c r="G28" s="11"/>
      <c r="H28" s="24">
        <f t="shared" si="0"/>
        <v>9561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>
        <v>2000</v>
      </c>
      <c r="D29" s="11">
        <v>255106</v>
      </c>
      <c r="E29" s="11">
        <v>256038</v>
      </c>
      <c r="F29" s="11"/>
      <c r="G29" s="11"/>
      <c r="H29" s="24">
        <f t="shared" si="0"/>
        <v>1068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>
        <v>444</v>
      </c>
      <c r="C30" s="11"/>
      <c r="D30" s="11">
        <v>257113</v>
      </c>
      <c r="E30" s="11">
        <v>270558</v>
      </c>
      <c r="F30" s="11"/>
      <c r="G30" s="11"/>
      <c r="H30" s="24">
        <f t="shared" si="0"/>
        <v>-13889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286007</v>
      </c>
      <c r="E31" s="11">
        <v>287574</v>
      </c>
      <c r="F31" s="11"/>
      <c r="G31" s="11"/>
      <c r="H31" s="24">
        <f t="shared" si="0"/>
        <v>-1567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1042</v>
      </c>
      <c r="C36" s="11">
        <f t="shared" si="15"/>
        <v>4000</v>
      </c>
      <c r="D36" s="11">
        <f t="shared" si="15"/>
        <v>8327792</v>
      </c>
      <c r="E36" s="11">
        <f t="shared" si="15"/>
        <v>8491156</v>
      </c>
      <c r="F36" s="11">
        <f t="shared" si="15"/>
        <v>0</v>
      </c>
      <c r="G36" s="11">
        <f t="shared" si="15"/>
        <v>0</v>
      </c>
      <c r="H36" s="11">
        <f t="shared" si="15"/>
        <v>-160406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37042</v>
      </c>
      <c r="B37" s="2" t="s">
        <v>47</v>
      </c>
      <c r="C37" s="409">
        <v>47545</v>
      </c>
      <c r="D37" s="362"/>
      <c r="E37" s="410">
        <f>236345+64615</f>
        <v>300960</v>
      </c>
      <c r="F37" s="24"/>
      <c r="G37" s="24"/>
      <c r="H37" s="241">
        <f>+C37+E37+G37</f>
        <v>348505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37069</v>
      </c>
      <c r="B38" s="2" t="s">
        <v>47</v>
      </c>
      <c r="C38" s="131">
        <f>+C37+C36-B36</f>
        <v>50503</v>
      </c>
      <c r="D38" s="260"/>
      <c r="E38" s="131">
        <f>+E37+D36-E36</f>
        <v>137596</v>
      </c>
      <c r="F38" s="260"/>
      <c r="G38" s="131"/>
      <c r="H38" s="131">
        <f>+H37+H36</f>
        <v>188099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71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26" workbookViewId="3">
      <selection activeCell="A41" sqref="A41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93187</v>
      </c>
      <c r="C11" s="11">
        <v>92162</v>
      </c>
      <c r="D11" s="25">
        <f t="shared" si="0"/>
        <v>-1025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117640</v>
      </c>
      <c r="C12" s="11">
        <v>128075</v>
      </c>
      <c r="D12" s="25">
        <f t="shared" si="0"/>
        <v>10435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91512</v>
      </c>
      <c r="C13" s="11">
        <v>84712</v>
      </c>
      <c r="D13" s="25">
        <f t="shared" si="0"/>
        <v>-6800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84604</v>
      </c>
      <c r="C14" s="11">
        <v>91453</v>
      </c>
      <c r="D14" s="25">
        <f t="shared" si="0"/>
        <v>6849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90899</v>
      </c>
      <c r="C15" s="11">
        <v>91453</v>
      </c>
      <c r="D15" s="25">
        <f t="shared" si="0"/>
        <v>554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131808</v>
      </c>
      <c r="C16" s="11">
        <v>130588</v>
      </c>
      <c r="D16" s="25">
        <f t="shared" si="0"/>
        <v>-1220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135284</v>
      </c>
      <c r="C17" s="11">
        <v>139763</v>
      </c>
      <c r="D17" s="25">
        <f t="shared" si="0"/>
        <v>4479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122655</v>
      </c>
      <c r="C18" s="11">
        <v>120130</v>
      </c>
      <c r="D18" s="25">
        <f t="shared" si="0"/>
        <v>-2525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146110</v>
      </c>
      <c r="C19" s="11">
        <v>140982</v>
      </c>
      <c r="D19" s="25">
        <f t="shared" si="0"/>
        <v>-5128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126731</v>
      </c>
      <c r="C20" s="11">
        <v>124892</v>
      </c>
      <c r="D20" s="25">
        <f t="shared" si="0"/>
        <v>-1839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109303</v>
      </c>
      <c r="C21" s="11">
        <v>87448</v>
      </c>
      <c r="D21" s="25">
        <f t="shared" si="0"/>
        <v>-21855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92306</v>
      </c>
      <c r="C22" s="11">
        <v>88128</v>
      </c>
      <c r="D22" s="25">
        <f t="shared" si="0"/>
        <v>-4178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116598</v>
      </c>
      <c r="C23" s="11">
        <v>119654</v>
      </c>
      <c r="D23" s="25">
        <f t="shared" si="0"/>
        <v>3056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102987</v>
      </c>
      <c r="C24" s="11">
        <v>101351</v>
      </c>
      <c r="D24" s="25">
        <f t="shared" si="0"/>
        <v>-1636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98817</v>
      </c>
      <c r="C25" s="11">
        <v>96680</v>
      </c>
      <c r="D25" s="25">
        <f t="shared" si="0"/>
        <v>-2137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93323</v>
      </c>
      <c r="C26" s="11">
        <v>91470</v>
      </c>
      <c r="D26" s="25">
        <f t="shared" si="0"/>
        <v>-1853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95675</v>
      </c>
      <c r="C27" s="11">
        <v>94741</v>
      </c>
      <c r="D27" s="25">
        <f t="shared" si="0"/>
        <v>-934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83327</v>
      </c>
      <c r="C28" s="11">
        <v>81908</v>
      </c>
      <c r="D28" s="25">
        <f t="shared" si="0"/>
        <v>-1419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82183</v>
      </c>
      <c r="C29" s="11">
        <v>80551</v>
      </c>
      <c r="D29" s="25">
        <f t="shared" si="0"/>
        <v>-1632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95465</v>
      </c>
      <c r="C30" s="11">
        <v>94075</v>
      </c>
      <c r="D30" s="25">
        <f t="shared" si="0"/>
        <v>-1390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>
        <v>96011</v>
      </c>
      <c r="C31" s="11">
        <v>94746</v>
      </c>
      <c r="D31" s="25">
        <f t="shared" si="0"/>
        <v>-1265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>
        <v>109356</v>
      </c>
      <c r="C32" s="11">
        <v>107224</v>
      </c>
      <c r="D32" s="25">
        <f t="shared" si="0"/>
        <v>-2132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2967225</v>
      </c>
      <c r="C37" s="11">
        <f>SUM(C6:C36)</f>
        <v>2936279</v>
      </c>
      <c r="D37" s="11">
        <f>SUM(D6:D36)</f>
        <v>-30946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">
      <c r="A40" s="57">
        <v>37069</v>
      </c>
      <c r="C40" s="48"/>
      <c r="D40" s="25">
        <f>+D39+D37</f>
        <v>63909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24</vt:i4>
      </vt:variant>
    </vt:vector>
  </HeadingPairs>
  <TitlesOfParts>
    <vt:vector size="59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2001-06-26T20:58:02Z</cp:lastPrinted>
  <dcterms:created xsi:type="dcterms:W3CDTF">2000-03-28T16:52:23Z</dcterms:created>
  <dcterms:modified xsi:type="dcterms:W3CDTF">2023-09-14T18:04:07Z</dcterms:modified>
</cp:coreProperties>
</file>