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07A2E3-8E0A-4549-9A9A-2B9362FE0ADA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J11" i="20"/>
  <c r="J15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8" i="67"/>
  <c r="A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<sst xmlns="http://schemas.openxmlformats.org/spreadsheetml/2006/main" count="1013" uniqueCount="316">
  <si>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</si>
  <si>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</si>
  <si>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</si>
  <si>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</si>
  <si>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</si>
  <si>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</si>
  <si>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</si>
  <si>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</si>
  <si>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</si>
  <si>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</si>
  <si>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</si>
  <si>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</si>
  <si>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</si>
  <si>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</si>
  <si>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</si>
  <si>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</si>
  <si>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</si>
  <si>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</si>
  <si>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</si>
  <si>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</si>
  <si>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</si>
  <si>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</si>
  <si>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</si>
  <si>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</si>
  <si>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</si>
  <si>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</si>
  <si>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</si>
  <si>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</si>
  <si>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</si>
  <si>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</si>
  <si>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</si>
  <si>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</si>
  <si>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</si>
  <si>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</si>
  <si>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</si>
  <si>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</si>
  <si>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</si>
  <si>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</si>
  <si>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</si>
  <si>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</si>
  <si>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</si>
  <si>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</si>
  <si>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</si>
  <si>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</si>
  <si>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</si>
  <si>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</si>
  <si>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</si>
  <si>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</si>
  <si>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</si>
  <si>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</si>
  <si>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</si>
  <si>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</si>
  <si>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</si>
  <si>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</si>
  <si>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</si>
  <si>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</si>
  <si>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</si>
  <si>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</si>
  <si>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</si>
  <si>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</si>
  <si>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</si>
  <si>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</si>
  <si>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</si>
  <si>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</si>
  <si>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</si>
  <si>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</si>
  <si>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</si>
  <si>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</si>
  <si>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</si>
  <si>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</si>
  <si>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</si>
  <si>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</si>
  <si>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</si>
  <si>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</si>
  <si>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</si>
  <si>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</si>
  <si>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</si>
  <si>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</si>
  <si>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</si>
  <si>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</si>
  <si>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</si>
  <si>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</si>
  <si>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</si>
  <si>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</si>
  <si>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</si>
  <si>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</si>
  <si>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</si>
  <si>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</si>
  <si>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</si>
  <si>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</si>
  <si>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</si>
  <si>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</si>
  <si>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</si>
  <si>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</si>
  <si>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</si>
  <si>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</si>
  <si>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</si>
  <si>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</si>
  <si>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</si>
  <si>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</si>
  <si>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</si>
  <si>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</si>
  <si>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</si>
  <si>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</si>
  <si>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</si>
  <si>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</si>
  <si>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</si>
  <si>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</si>
  <si>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</si>
  <si>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</si>
  <si>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</si>
  <si>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</si>
  <si>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</si>
  <si>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</si>
  <si>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</si>
  <si>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</si>
  <si>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</si>
  <si>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</si>
  <si>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</si>
  <si>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</si>
  <si>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</si>
  <si>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</si>
  <si>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</si>
  <si>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</si>
  <si>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</si>
  <si>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</si>
  <si>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</si>
  <si>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</si>
  <si>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</si>
  <si>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</si>
  <si>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</si>
  <si>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</si>
  <si>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</si>
  <si>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</si>
  <si>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</si>
  <si>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</si>
  <si>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</si>
  <si>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</si>
  <si>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</si>
  <si>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</si>
  <si>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</si>
  <si>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</si>
  <si>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</si>
  <si>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</si>
  <si>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</si>
  <si>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</si>
  <si>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</si>
  <si>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</si>
  <si>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</si>
  <si>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</si>
  <si>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</si>
  <si>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</si>
  <si>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</si>
  <si>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</si>
  <si>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</si>
  <si>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</si>
  <si>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</si>
  <si>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</si>
  <si>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</si>
  <si>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</si>
  <si>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</si>
  <si>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</si>
  <si>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</si>
  <si>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</si>
  <si>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</si>
  <si>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</si>
  <si>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</si>
  <si>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</si>
  <si>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</si>
  <si>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</si>
  <si>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</si>
  <si>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</si>
  <si>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</si>
  <si>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</si>
  <si>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</si>
  <si>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</si>
  <si>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</si>
  <si>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</si>
  <si>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</si>
  <si>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</si>
  <si>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</si>
  <si>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</si>
  <si>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</si>
  <si>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</si>
  <si>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</si>
  <si>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</si>
  <si>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</si>
  <si>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</si>
  <si>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</si>
  <si>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</si>
  <si>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</si>
  <si>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</si>
  <si>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</si>
  <si>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</si>
  <si>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</si>
  <si>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</si>
  <si>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</si>
  <si>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</si>
  <si>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</si>
  <si>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</si>
  <si>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</si>
  <si>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</si>
  <si>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</si>
  <si>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</si>
  <si>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</si>
  <si>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</si>
  <si>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</si>
  <si>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</si>
  <si>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</si>
  <si>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</si>
  <si>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</si>
  <si>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</si>
  <si>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</si>
  <si>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</si>
  <si>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</si>
  <si>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</si>
  <si>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</si>
  <si>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</si>
  <si>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</si>
  <si>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</si>
  <si>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</si>
  <si>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</si>
  <si>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</si>
  <si>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</si>
  <si>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</si>
  <si>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</si>
  <si>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</si>
  <si>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</si>
  <si>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</si>
  <si>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</si>
  <si>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</si>
  <si>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</si>
  <si>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</si>
  <si>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</si>
  <si>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</si>
  <si>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</si>
  <si>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</si>
  <si>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</si>
  <si>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</si>
  <si>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</si>
  <si>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</si>
  <si>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</si>
  <si>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</si>
  <si>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</si>
  <si>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</si>
  <si>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</si>
  <si>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</si>
  <si>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</si>
  <si>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</si>
  <si>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</si>
  <si>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</si>
  <si>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</si>
  <si>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</si>
  <si>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</si>
  <si>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</si>
  <si>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</si>
  <si>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</si>
  <si>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</si>
  <si>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</si>
  <si>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</si>
  <si>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</si>
  <si>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</si>
  <si>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</si>
  <si>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</si>
  <si>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</si>
  <si>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</si>
  <si>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</si>
  <si>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</si>
  <si>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</si>
  <si>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</si>
  <si>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</si>
  <si>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</si>
  <si>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</si>
  <si>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</si>
  <si>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</si>
  <si>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</si>
  <si>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</si>
  <si>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</si>
  <si>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</si>
  <si>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</si>
  <si>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</si>
  <si>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</si>
  <si>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</si>
  <si>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</si>
  <si>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</si>
  <si>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</si>
  <si>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</si>
  <si>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</si>
  <si>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</si>
  <si>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</si>
  <si>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</si>
  <si>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</si>
  <si>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</si>
  <si>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</si>
  <si>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</si>
  <si>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</si>
  <si>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</si>
  <si>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</si>
  <si>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</si>
  <si>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</si>
  <si>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</si>
  <si>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</si>
  <si>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</si>
  <si>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</si>
  <si>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</si>
  <si>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</si>
  <si>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</si>
  <si>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</si>
  <si>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</si>
  <si>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</si>
  <si>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</si>
  <si>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</si>
  <si>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</si>
  <si>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</si>
  <si>
    <t>Sched</t>
  </si>
  <si>
    <t>volumetric through 10/31/01 -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</si>
</sst>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2.37</v>
          </cell>
          <cell r="K39">
            <v>2.33</v>
          </cell>
          <cell r="M39">
            <v>2.35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68" workbookViewId="0">
      <selection activeCell="G60" sqref="G6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2.33</v>
      </c>
      <c r="H3" s="401">
        <f ca="1">NOW()</f>
        <v>37320.442282175929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2.35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2.37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-5434.8</v>
      </c>
      <c r="C12" s="368">
        <f>+B12/$G$4</f>
        <v>-2312.6808510638298</v>
      </c>
      <c r="D12" s="14">
        <f>+Calpine!D47</f>
        <v>93051</v>
      </c>
      <c r="E12" s="70">
        <f>+C12-D12</f>
        <v>-95363.680851063837</v>
      </c>
      <c r="F12" s="363">
        <f>+Calpine!A41</f>
        <v>37318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42125.05</v>
      </c>
      <c r="C13" s="367">
        <f>+B13/$G$4</f>
        <v>17925.553191489362</v>
      </c>
      <c r="D13" s="14">
        <f>+'Citizens-Griffith'!D48</f>
        <v>24668</v>
      </c>
      <c r="E13" s="70">
        <f>+C13-D13</f>
        <v>-6742.4468085106382</v>
      </c>
      <c r="F13" s="363">
        <f>+'Citizens-Griffith'!A41</f>
        <v>37318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611">
        <f>+SWGasTrans!D41</f>
        <v>-11774</v>
      </c>
      <c r="C14" s="367">
        <f>+B14/G4</f>
        <v>-5010.2127659574462</v>
      </c>
      <c r="D14" s="14">
        <f>+SWGasTrans!$D$48</f>
        <v>7289</v>
      </c>
      <c r="E14" s="70">
        <f>+C14-D14</f>
        <v>-12299.212765957447</v>
      </c>
      <c r="F14" s="363">
        <f>+SWGasTrans!A41</f>
        <v>37315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-255595.05</v>
      </c>
      <c r="C15" s="367">
        <f>+B15/$G$4</f>
        <v>-108763.85106382977</v>
      </c>
      <c r="D15" s="14">
        <f>+'NS Steel'!D50</f>
        <v>3371</v>
      </c>
      <c r="E15" s="70">
        <f>+C15-D15</f>
        <v>-112134.85106382977</v>
      </c>
      <c r="F15" s="364">
        <f>+'NS Steel'!A41</f>
        <v>37318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-575776.91</v>
      </c>
      <c r="C16" s="369">
        <f>+B16/$G$4</f>
        <v>-245011.45106382979</v>
      </c>
      <c r="D16" s="349">
        <f>+Citizens!D24</f>
        <v>-55083</v>
      </c>
      <c r="E16" s="72">
        <f>+C16-D16</f>
        <v>-189928.45106382979</v>
      </c>
      <c r="F16" s="363">
        <f>+Citizens!A18</f>
        <v>37318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-806455.71</v>
      </c>
      <c r="C17" s="392">
        <f>SUBTOTAL(9,C12:C16)</f>
        <v>-343172.64255319152</v>
      </c>
      <c r="D17" s="393">
        <f>SUBTOTAL(9,D12:D16)</f>
        <v>73296</v>
      </c>
      <c r="E17" s="394">
        <f>SUBTOTAL(9,E12:E16)</f>
        <v>-416468.64255319152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21543</v>
      </c>
      <c r="C20" s="367">
        <f>+B20/$G$4</f>
        <v>9167.2340425531911</v>
      </c>
      <c r="D20" s="14">
        <f>+transcol!D50</f>
        <v>-45540</v>
      </c>
      <c r="E20" s="70">
        <f>+C20-D20</f>
        <v>54707.234042553187</v>
      </c>
      <c r="F20" s="364">
        <f>+transcol!A43</f>
        <v>37315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288</v>
      </c>
      <c r="B21" s="610">
        <f>+C21*G3</f>
        <v>51982.3</v>
      </c>
      <c r="C21" s="367">
        <f>+williams!J40</f>
        <v>22310</v>
      </c>
      <c r="D21" s="14">
        <f>+C21</f>
        <v>22310</v>
      </c>
      <c r="E21" s="70">
        <f>+C21-D21</f>
        <v>0</v>
      </c>
      <c r="F21" s="364">
        <f>+williams!A40</f>
        <v>37318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-16216.75</v>
      </c>
      <c r="C22" s="371">
        <f>+B22/$G$3</f>
        <v>-6959.9785407725321</v>
      </c>
      <c r="D22" s="349">
        <f>+burlington!D49</f>
        <v>-8005</v>
      </c>
      <c r="E22" s="72">
        <f>+C22-D22</f>
        <v>1045.0214592274679</v>
      </c>
      <c r="F22" s="363">
        <f>+burlington!A42</f>
        <v>37318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57308.55</v>
      </c>
      <c r="C23" s="388">
        <f>SUBTOTAL(9,C20:C22)</f>
        <v>24517.255501780659</v>
      </c>
      <c r="D23" s="393">
        <f>SUBTOTAL(9,D20:D22)</f>
        <v>-31235</v>
      </c>
      <c r="E23" s="394">
        <f>SUBTOTAL(9,E20:E22)</f>
        <v>55752.255501780659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33520</v>
      </c>
      <c r="C26" s="367">
        <f>+B26/$G$4</f>
        <v>14263.829787234043</v>
      </c>
      <c r="D26" s="14">
        <f>+NNG!D34</f>
        <v>15258</v>
      </c>
      <c r="E26" s="70">
        <f t="shared" ref="E26:E48" si="0">+C26-D26</f>
        <v>-994.17021276595733</v>
      </c>
      <c r="F26" s="363">
        <f>+NNG!A24</f>
        <v>37315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496056.64</v>
      </c>
      <c r="C27" s="367">
        <f>+B27/$G$4</f>
        <v>211087.93191489362</v>
      </c>
      <c r="D27" s="14">
        <f>+Conoco!D48</f>
        <v>34701</v>
      </c>
      <c r="E27" s="70">
        <f t="shared" si="0"/>
        <v>176386.93191489362</v>
      </c>
      <c r="F27" s="363">
        <f>+Conoco!A41</f>
        <v>37318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196879.13</v>
      </c>
      <c r="C28" s="367">
        <f>+B28/$G$4</f>
        <v>83778.353191489354</v>
      </c>
      <c r="D28" s="14">
        <f>+'Amoco Abo'!D49</f>
        <v>-348097</v>
      </c>
      <c r="E28" s="70">
        <f t="shared" si="0"/>
        <v>431875.35319148935</v>
      </c>
      <c r="F28" s="364">
        <f>+'Amoco Abo'!A43</f>
        <v>37318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316512.05</v>
      </c>
      <c r="C29" s="367">
        <f>+B29/$G$4</f>
        <v>134685.97872340426</v>
      </c>
      <c r="D29" s="14">
        <f>+KN_Westar!D48</f>
        <v>-43147</v>
      </c>
      <c r="E29" s="70">
        <f t="shared" si="0"/>
        <v>177832.97872340426</v>
      </c>
      <c r="F29" s="364">
        <f>+KN_Westar!A41</f>
        <v>37315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246</v>
      </c>
      <c r="B30" s="605">
        <f>+summary!B46</f>
        <v>-124737.52999999991</v>
      </c>
      <c r="C30" s="368">
        <f>+B30/$G$5</f>
        <v>-52631.869198312197</v>
      </c>
      <c r="D30" s="14">
        <f>+DEFS!$I$36+DEFS!$J$36+DEFS!$K$45+DEFS!$K$46+DEFS!$K$47+DEFS!$K$48+Duke!I53+Duke!I54+Duke!F40+Duke!G40+Duke!H40</f>
        <v>269640</v>
      </c>
      <c r="E30" s="70">
        <f t="shared" si="0"/>
        <v>-322271.86919831217</v>
      </c>
      <c r="F30" s="364">
        <f>+DEFS!A40</f>
        <v>37315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318553.95</v>
      </c>
      <c r="C31" s="367">
        <f>+B31/$G$4</f>
        <v>135554.87234042553</v>
      </c>
      <c r="D31" s="14">
        <f>+mewborne!D49</f>
        <v>124627</v>
      </c>
      <c r="E31" s="70">
        <f t="shared" si="0"/>
        <v>10927.872340425529</v>
      </c>
      <c r="F31" s="364">
        <f>+mewborne!A43</f>
        <v>37318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44019.5</v>
      </c>
      <c r="C32" s="367">
        <f>+B32/$G$4</f>
        <v>18731.702127659573</v>
      </c>
      <c r="D32" s="14">
        <f>+PGETX!E48</f>
        <v>48256</v>
      </c>
      <c r="E32" s="70">
        <f t="shared" si="0"/>
        <v>-29524.297872340427</v>
      </c>
      <c r="F32" s="364">
        <f>+PGETX!E39</f>
        <v>37318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819679.11</v>
      </c>
      <c r="C33" s="367">
        <f>+B33/$G$4</f>
        <v>348799.62127659575</v>
      </c>
      <c r="D33" s="14">
        <f>+PNM!D30</f>
        <v>333282</v>
      </c>
      <c r="E33" s="70">
        <f t="shared" si="0"/>
        <v>15517.621276595746</v>
      </c>
      <c r="F33" s="364">
        <f>+PNM!A23</f>
        <v>37318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32454</v>
      </c>
      <c r="C34" s="367">
        <f>+B34/$G$4</f>
        <v>13810.212765957447</v>
      </c>
      <c r="D34" s="14">
        <f>+EOG!D48</f>
        <v>-112209</v>
      </c>
      <c r="E34" s="70">
        <f t="shared" si="0"/>
        <v>126019.21276595745</v>
      </c>
      <c r="F34" s="363">
        <f>+EOG!A41</f>
        <v>37315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18332.419999999998</v>
      </c>
      <c r="C35" s="367">
        <f>+B35/G5</f>
        <v>7735.1983122362863</v>
      </c>
      <c r="D35" s="14">
        <f>+Oasis!D47</f>
        <v>6665</v>
      </c>
      <c r="E35" s="70">
        <f>+C35-D35</f>
        <v>1070.1983122362863</v>
      </c>
      <c r="F35" s="363">
        <f>+Oasis!A40</f>
        <v>37318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4582.95</v>
      </c>
      <c r="C36" s="367">
        <f>+B36/$G$5</f>
        <v>1933.7341772151897</v>
      </c>
      <c r="D36" s="14">
        <f>+SidR!D48</f>
        <v>2211</v>
      </c>
      <c r="E36" s="70">
        <f t="shared" si="0"/>
        <v>-277.26582278481033</v>
      </c>
      <c r="F36" s="364">
        <f>+SidR!A41</f>
        <v>37318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256</v>
      </c>
      <c r="B37" s="611">
        <f>+MiVida_Rich!D41</f>
        <v>-192285.66</v>
      </c>
      <c r="C37" s="367">
        <f>+B37/$G$5</f>
        <v>-81133.189873417723</v>
      </c>
      <c r="D37" s="14">
        <f>+MiVida_Rich!D48</f>
        <v>-45949</v>
      </c>
      <c r="E37" s="70">
        <f>+C37-D37</f>
        <v>-35184.189873417723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171935</v>
      </c>
      <c r="C38" s="367">
        <f>+B38/$G$5</f>
        <v>72546.413502109703</v>
      </c>
      <c r="D38" s="14">
        <f>+Dominion!D48</f>
        <v>75136</v>
      </c>
      <c r="E38" s="70">
        <f t="shared" si="0"/>
        <v>-2589.5864978902973</v>
      </c>
      <c r="F38" s="364">
        <f>+Dominion!A41</f>
        <v>37315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-28064</v>
      </c>
      <c r="C39" s="367">
        <f>+B39/$G$4</f>
        <v>-11942.127659574468</v>
      </c>
      <c r="D39" s="14">
        <f>+WTGmktg!D50</f>
        <v>98</v>
      </c>
      <c r="E39" s="70">
        <f t="shared" si="0"/>
        <v>-12040.127659574468</v>
      </c>
      <c r="F39" s="364">
        <f>+WTGmktg!A43</f>
        <v>37315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5">
        <f>+'WTG inc'!N43</f>
        <v>20990</v>
      </c>
      <c r="C40" s="367">
        <f>+B40/G4</f>
        <v>8931.9148936170204</v>
      </c>
      <c r="D40" s="14">
        <f>+'WTG inc'!D50</f>
        <v>6566</v>
      </c>
      <c r="E40" s="70">
        <f>+C40-D40</f>
        <v>2365.9148936170204</v>
      </c>
      <c r="F40" s="364">
        <f>+'WTG inc'!A43</f>
        <v>37315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1032</v>
      </c>
      <c r="C41" s="367">
        <f>+B41/$G$5</f>
        <v>435.44303797468353</v>
      </c>
      <c r="D41" s="14">
        <f>+Devon!D48</f>
        <v>487</v>
      </c>
      <c r="E41" s="70">
        <f t="shared" si="0"/>
        <v>-51.556962025316466</v>
      </c>
      <c r="F41" s="364">
        <f>+Devon!A41</f>
        <v>37315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-121179.26</v>
      </c>
      <c r="C42" s="367">
        <f>+B42/$G$4</f>
        <v>-51565.642553191487</v>
      </c>
      <c r="D42" s="14">
        <f>+crosstex!D48</f>
        <v>-35044</v>
      </c>
      <c r="E42" s="70">
        <f t="shared" si="0"/>
        <v>-16521.642553191487</v>
      </c>
      <c r="F42" s="364">
        <f>+crosstex!A41</f>
        <v>37315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141715.48000000001</v>
      </c>
      <c r="C43" s="367">
        <f>+B43/$G$4</f>
        <v>60304.459574468085</v>
      </c>
      <c r="D43" s="14">
        <f>+Amarillo!D48</f>
        <v>61661</v>
      </c>
      <c r="E43" s="70">
        <f t="shared" si="0"/>
        <v>-1356.5404255319154</v>
      </c>
      <c r="F43" s="364">
        <f>+Amarillo!A41</f>
        <v>37315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605">
        <f>+Stratland!$D$41</f>
        <v>48490.31</v>
      </c>
      <c r="C44" s="368">
        <f>+B44/$G$4</f>
        <v>20634.174468085104</v>
      </c>
      <c r="D44" s="14">
        <f>+Stratland!D48</f>
        <v>17403</v>
      </c>
      <c r="E44" s="70">
        <f>+C44-D44</f>
        <v>3231.1744680851043</v>
      </c>
      <c r="F44" s="363">
        <f>+Stratland!A41</f>
        <v>37287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605">
        <f>+Plains!$N$43</f>
        <v>63241.56</v>
      </c>
      <c r="C45" s="608">
        <f>+B45/$G$4</f>
        <v>26911.302127659572</v>
      </c>
      <c r="D45" s="14">
        <f>+Plains!D50</f>
        <v>22284</v>
      </c>
      <c r="E45" s="70">
        <f>+C45-D45</f>
        <v>4627.3021276595719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49675</v>
      </c>
      <c r="C46" s="368">
        <f>+B46/$G$4</f>
        <v>21138.297872340423</v>
      </c>
      <c r="D46" s="14">
        <f>+Continental!D50</f>
        <v>7844</v>
      </c>
      <c r="E46" s="70">
        <f t="shared" si="0"/>
        <v>13294.297872340423</v>
      </c>
      <c r="F46" s="364">
        <f>+Continental!A43</f>
        <v>37315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75111.44</v>
      </c>
      <c r="C47" s="368">
        <f>+B47/$G$5</f>
        <v>31692.590717299579</v>
      </c>
      <c r="D47" s="14">
        <f>+EPFS!D47</f>
        <v>82487</v>
      </c>
      <c r="E47" s="70">
        <f t="shared" si="0"/>
        <v>-50794.409282700421</v>
      </c>
      <c r="F47" s="363">
        <f>+EPFS!A41</f>
        <v>37318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94952.06</v>
      </c>
      <c r="C48" s="369">
        <f>+B48/$G$4</f>
        <v>40405.131914893616</v>
      </c>
      <c r="D48" s="349">
        <f>+Agave!D31</f>
        <v>57851</v>
      </c>
      <c r="E48" s="72">
        <f t="shared" si="0"/>
        <v>-17445.868085106384</v>
      </c>
      <c r="F48" s="363">
        <f>+Agave!A25</f>
        <v>37315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2481466.1500000008</v>
      </c>
      <c r="C49" s="392">
        <f>SUBTOTAL(9,C26:C48)</f>
        <v>1056108.3334410626</v>
      </c>
      <c r="D49" s="393">
        <f>SUBTOTAL(9,D26:D48)</f>
        <v>582011</v>
      </c>
      <c r="E49" s="394">
        <f>SUBTOTAL(9,E26:E48)</f>
        <v>474097.33344106271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1732318.9900000002</v>
      </c>
      <c r="C51" s="392">
        <f>SUBTOTAL(9,C12:C48)</f>
        <v>737452.94638965186</v>
      </c>
      <c r="D51" s="393">
        <f>SUBTOTAL(9,D12:D48)</f>
        <v>624072</v>
      </c>
      <c r="E51" s="394">
        <f>SUBTOTAL(9,E12:E48)</f>
        <v>113380.94638965208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+summary!G3</f>
        <v>2.33</v>
      </c>
      <c r="H57" s="401">
        <f ca="1">NOW()</f>
        <v>37320.442282175929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+summary!G4</f>
        <v>2.35</v>
      </c>
      <c r="H58" s="32"/>
    </row>
    <row r="59" spans="1:19" ht="13.5" customHeight="1" outlineLevel="1" x14ac:dyDescent="0.2">
      <c r="D59" s="7"/>
      <c r="F59" s="383" t="s">
        <v>117</v>
      </c>
      <c r="G59" s="386">
        <f>+summary!G5</f>
        <v>2.37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279</v>
      </c>
      <c r="C66" s="605">
        <f>+B66*$G$4</f>
        <v>655.65</v>
      </c>
      <c r="D66" s="47">
        <f>+Mojave!D47</f>
        <v>655.65</v>
      </c>
      <c r="E66" s="47">
        <f>+C66-D66</f>
        <v>0</v>
      </c>
      <c r="F66" s="364">
        <f>+Mojave!A40</f>
        <v>37318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59483</v>
      </c>
      <c r="C67" s="605">
        <f>+B67*$G$4</f>
        <v>139785.05000000002</v>
      </c>
      <c r="D67" s="47">
        <f>+SoCal!D47</f>
        <v>232853.45</v>
      </c>
      <c r="E67" s="47">
        <f>+C67-D67</f>
        <v>-93068.4</v>
      </c>
      <c r="F67" s="364">
        <f>+SoCal!A40</f>
        <v>37318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151032.15</v>
      </c>
      <c r="D68" s="47">
        <f>+'El Paso'!C46</f>
        <v>-1582961.01</v>
      </c>
      <c r="E68" s="47">
        <f>+C68-D68</f>
        <v>1733993.16</v>
      </c>
      <c r="F68" s="364">
        <f>+'El Paso'!A39</f>
        <v>37318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6168</v>
      </c>
      <c r="C69" s="607">
        <f>+B69*$G$4</f>
        <v>14494.800000000001</v>
      </c>
      <c r="D69" s="348">
        <f>+'PG&amp;E'!D47</f>
        <v>-191071.75</v>
      </c>
      <c r="E69" s="348">
        <f>+C69-D69</f>
        <v>205566.55</v>
      </c>
      <c r="F69" s="364">
        <f>+'PG&amp;E'!A40</f>
        <v>37318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130199</v>
      </c>
      <c r="C70" s="387">
        <f>SUBTOTAL(9,C66:C69)</f>
        <v>305967.64999999997</v>
      </c>
      <c r="D70" s="387">
        <f>SUBTOTAL(9,D66:D69)</f>
        <v>-1540523.66</v>
      </c>
      <c r="E70" s="387">
        <f>SUBTOTAL(9,E66:E69)</f>
        <v>1846491.31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59919</v>
      </c>
      <c r="C73" s="606">
        <f>+B73*G57</f>
        <v>139611.27000000002</v>
      </c>
      <c r="D73" s="200">
        <f>+'Red C'!D52</f>
        <v>471276.13</v>
      </c>
      <c r="E73" s="47">
        <f>+C73-D73</f>
        <v>-331664.86</v>
      </c>
      <c r="F73" s="363">
        <f>+'Red C'!A45</f>
        <v>37318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7">
        <f>+Amoco!D40</f>
        <v>3560</v>
      </c>
      <c r="C74" s="611">
        <f>+B74*$G$3</f>
        <v>8294.8000000000011</v>
      </c>
      <c r="D74" s="47">
        <f>+Amoco!D47</f>
        <v>343423.35</v>
      </c>
      <c r="E74" s="47">
        <f>+C74-D74</f>
        <v>-335128.55</v>
      </c>
      <c r="F74" s="364">
        <f>+Amoco!A40</f>
        <v>37318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-60822</v>
      </c>
      <c r="C75" s="605">
        <f>+B75*$G$3</f>
        <v>-141715.26</v>
      </c>
      <c r="D75" s="47">
        <f>+'El Paso'!F46</f>
        <v>-657254.01</v>
      </c>
      <c r="E75" s="47">
        <f>+C75-D75</f>
        <v>515538.75</v>
      </c>
      <c r="F75" s="364">
        <f>+'El Paso'!A39</f>
        <v>37318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-11433</v>
      </c>
      <c r="C76" s="612">
        <f>+B76*$G$3</f>
        <v>-26638.89</v>
      </c>
      <c r="D76" s="348">
        <f>+NW!E49</f>
        <v>-482801.02</v>
      </c>
      <c r="E76" s="348">
        <f>+C76-D76</f>
        <v>456162.13</v>
      </c>
      <c r="F76" s="363">
        <f>+NW!B41</f>
        <v>37318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-8776</v>
      </c>
      <c r="C77" s="387">
        <f>SUBTOTAL(9,C73:C76)</f>
        <v>-20448.080000000002</v>
      </c>
      <c r="D77" s="387">
        <f>SUBTOTAL(9,D73:D76)</f>
        <v>-325355.55000000005</v>
      </c>
      <c r="E77" s="387">
        <f>SUBTOTAL(9,E73:E76)</f>
        <v>304907.47000000009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44027</v>
      </c>
      <c r="C80" s="605">
        <f>+B80*$G$5</f>
        <v>104343.99</v>
      </c>
      <c r="D80" s="47">
        <f>+NGPL!D45</f>
        <v>142449.1</v>
      </c>
      <c r="E80" s="47">
        <f>+C80-D80</f>
        <v>-38105.11</v>
      </c>
      <c r="F80" s="364">
        <f>+NGPL!A38</f>
        <v>37318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7328</v>
      </c>
      <c r="C81" s="606">
        <f>+B81*$G$4</f>
        <v>17220.8</v>
      </c>
      <c r="D81" s="47">
        <f>+PEPL!D47</f>
        <v>161440.54999999999</v>
      </c>
      <c r="E81" s="47">
        <f>+C81-D81</f>
        <v>-144219.75</v>
      </c>
      <c r="F81" s="364">
        <f>+PEPL!A41</f>
        <v>37318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41329.450000000004</v>
      </c>
      <c r="D82" s="200">
        <f>+CIG!D49</f>
        <v>385897</v>
      </c>
      <c r="E82" s="70">
        <f>+C82-D82</f>
        <v>-344567.55</v>
      </c>
      <c r="F82" s="364">
        <f>+CIG!A42</f>
        <v>37315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31661</v>
      </c>
      <c r="C83" s="607">
        <f>+B83*G59</f>
        <v>75036.570000000007</v>
      </c>
      <c r="D83" s="348">
        <f>+Lonestar!D50</f>
        <v>68909.960000000006</v>
      </c>
      <c r="E83" s="348">
        <f>+C83-D83</f>
        <v>6126.6100000000006</v>
      </c>
      <c r="F83" s="363">
        <f>+Lonestar!A43</f>
        <v>37318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100603</v>
      </c>
      <c r="C84" s="387">
        <f>SUBTOTAL(9,C80:C83)</f>
        <v>237930.81000000003</v>
      </c>
      <c r="D84" s="387">
        <f>SUBTOTAL(9,D80:D83)</f>
        <v>758696.61</v>
      </c>
      <c r="E84" s="387">
        <f>SUBTOTAL(9,E80:E83)</f>
        <v>-520765.79999999993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222026</v>
      </c>
      <c r="C86" s="387">
        <f>SUBTOTAL(9,C66:C83)</f>
        <v>523450.37999999995</v>
      </c>
      <c r="D86" s="387">
        <f>SUBTOTAL(9,D66:D83)</f>
        <v>-1107182.5999999999</v>
      </c>
      <c r="E86" s="387">
        <f>SUBTOTAL(9,E66:E83)</f>
        <v>1630632.9800000004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2255769.37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959478.94638965186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1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152938</v>
      </c>
      <c r="C6" s="410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163609</v>
      </c>
      <c r="C7" s="410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163015</v>
      </c>
      <c r="C8" s="410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/>
      <c r="C9" s="410"/>
      <c r="D9" s="30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/>
      <c r="C10" s="410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/>
      <c r="C11" s="410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/>
      <c r="C12" s="410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/>
      <c r="C13" s="410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/>
      <c r="C14" s="410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479562</v>
      </c>
      <c r="C37" s="410">
        <f>SUM(C6:C36)</f>
        <v>482357</v>
      </c>
      <c r="D37" s="410">
        <f>SUM(D6:D36)</f>
        <v>2795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4"/>
      <c r="D39" s="486">
        <v>765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37318</v>
      </c>
      <c r="B40" s="285"/>
      <c r="C40" s="435"/>
      <c r="D40" s="307">
        <f>+D39+D37</f>
        <v>3560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7">
        <v>336911</v>
      </c>
    </row>
    <row r="46" spans="1:16" x14ac:dyDescent="0.2">
      <c r="A46" s="49">
        <f>+A40</f>
        <v>37318</v>
      </c>
      <c r="B46" s="32"/>
      <c r="C46" s="32"/>
      <c r="D46" s="374">
        <f>+D37*'by type_area'!G3</f>
        <v>6512.35</v>
      </c>
    </row>
    <row r="47" spans="1:16" x14ac:dyDescent="0.2">
      <c r="A47" s="32"/>
      <c r="B47" s="32"/>
      <c r="C47" s="32"/>
      <c r="D47" s="200">
        <f>+D46+D45</f>
        <v>343423.35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workbookViewId="0">
      <selection activeCell="C8" sqref="C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-82266</v>
      </c>
      <c r="C36" s="24">
        <f>SUM(C5:C35)</f>
        <v>-81700</v>
      </c>
      <c r="D36" s="24">
        <f t="shared" si="0"/>
        <v>566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2.37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1341.42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490">
        <v>16991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37318</v>
      </c>
      <c r="B40"/>
      <c r="C40" s="48"/>
      <c r="D40" s="138">
        <f>+D39+D38</f>
        <v>18332.419999999998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485">
        <v>6099</v>
      </c>
    </row>
    <row r="46" spans="1:65" x14ac:dyDescent="0.2">
      <c r="A46" s="49">
        <f>+A40</f>
        <v>37318</v>
      </c>
      <c r="B46" s="32"/>
      <c r="C46" s="32"/>
      <c r="D46" s="349">
        <f>+D36</f>
        <v>566</v>
      </c>
    </row>
    <row r="47" spans="1:65" x14ac:dyDescent="0.2">
      <c r="A47" s="32"/>
      <c r="B47" s="32"/>
      <c r="C47" s="32"/>
      <c r="D47" s="14">
        <f>+D46+D45</f>
        <v>6665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8" workbookViewId="0">
      <selection activeCell="B40" sqref="B4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/>
      <c r="C5" s="90"/>
      <c r="D5" s="90">
        <f t="shared" ref="D5:D18" si="0">+C5-B5</f>
        <v>0</v>
      </c>
      <c r="E5" s="275"/>
      <c r="F5" s="273"/>
    </row>
    <row r="6" spans="1:13" x14ac:dyDescent="0.2">
      <c r="A6" s="87">
        <v>78311</v>
      </c>
      <c r="B6" s="90"/>
      <c r="C6" s="90"/>
      <c r="D6" s="90">
        <f t="shared" si="0"/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/>
      <c r="C8" s="90"/>
      <c r="D8" s="90">
        <f t="shared" si="0"/>
        <v>0</v>
      </c>
      <c r="E8" s="455"/>
      <c r="F8" s="273"/>
    </row>
    <row r="9" spans="1:13" x14ac:dyDescent="0.2">
      <c r="A9" s="87">
        <v>500239</v>
      </c>
      <c r="B9" s="90"/>
      <c r="C9" s="90"/>
      <c r="D9" s="90">
        <f t="shared" si="0"/>
        <v>0</v>
      </c>
      <c r="E9" s="275"/>
      <c r="F9" s="273"/>
    </row>
    <row r="10" spans="1:13" x14ac:dyDescent="0.2">
      <c r="A10" s="87">
        <v>500293</v>
      </c>
      <c r="B10" s="90"/>
      <c r="C10" s="90"/>
      <c r="D10" s="90">
        <f t="shared" si="0"/>
        <v>0</v>
      </c>
      <c r="E10" s="275"/>
      <c r="F10" s="273"/>
    </row>
    <row r="11" spans="1:13" x14ac:dyDescent="0.2">
      <c r="A11" s="87">
        <v>500302</v>
      </c>
      <c r="B11" s="90"/>
      <c r="C11" s="90"/>
      <c r="D11" s="90">
        <f t="shared" si="0"/>
        <v>0</v>
      </c>
      <c r="E11" s="275"/>
      <c r="F11" s="273"/>
    </row>
    <row r="12" spans="1:13" x14ac:dyDescent="0.2">
      <c r="A12" s="87">
        <v>500303</v>
      </c>
      <c r="B12" s="90"/>
      <c r="C12" s="90"/>
      <c r="D12" s="90">
        <f t="shared" si="0"/>
        <v>0</v>
      </c>
      <c r="E12" s="276"/>
      <c r="F12" s="465"/>
      <c r="G12" s="90"/>
    </row>
    <row r="13" spans="1:13" x14ac:dyDescent="0.2">
      <c r="A13" s="91">
        <v>500305</v>
      </c>
      <c r="B13" s="90"/>
      <c r="C13" s="90"/>
      <c r="D13" s="90">
        <f t="shared" si="0"/>
        <v>0</v>
      </c>
      <c r="E13" s="275"/>
      <c r="F13" s="273"/>
    </row>
    <row r="14" spans="1:13" x14ac:dyDescent="0.2">
      <c r="A14" s="87">
        <v>500307</v>
      </c>
      <c r="B14" s="90"/>
      <c r="C14" s="90"/>
      <c r="D14" s="90">
        <f t="shared" si="0"/>
        <v>0</v>
      </c>
      <c r="E14" s="275"/>
      <c r="F14" s="273"/>
    </row>
    <row r="15" spans="1:13" x14ac:dyDescent="0.2">
      <c r="A15" s="87">
        <v>500313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/>
      <c r="C17" s="90"/>
      <c r="D17" s="90">
        <f t="shared" si="0"/>
        <v>0</v>
      </c>
      <c r="E17" s="275"/>
      <c r="F17" s="273"/>
      <c r="G17" s="557"/>
    </row>
    <row r="18" spans="1:7" x14ac:dyDescent="0.2">
      <c r="A18" s="87">
        <v>500657</v>
      </c>
      <c r="B18" s="88"/>
      <c r="C18" s="88"/>
      <c r="D18" s="94">
        <f t="shared" si="0"/>
        <v>0</v>
      </c>
      <c r="E18" s="275"/>
      <c r="F18" s="465"/>
    </row>
    <row r="19" spans="1:7" x14ac:dyDescent="0.2">
      <c r="A19" s="87"/>
      <c r="B19" s="88"/>
      <c r="C19" s="88"/>
      <c r="D19" s="88">
        <f>SUM(D5:D18)</f>
        <v>0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2.37</v>
      </c>
      <c r="E20" s="207"/>
      <c r="F20" s="465"/>
    </row>
    <row r="21" spans="1:7" x14ac:dyDescent="0.2">
      <c r="A21" s="87"/>
      <c r="B21" s="88"/>
      <c r="C21" s="88"/>
      <c r="D21" s="96">
        <f>+D20*D19</f>
        <v>0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37315</v>
      </c>
      <c r="B23" s="88"/>
      <c r="C23" s="88"/>
      <c r="D23" s="582">
        <v>94952.06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37315</v>
      </c>
      <c r="B25" s="88"/>
      <c r="C25" s="88"/>
      <c r="D25" s="318">
        <f>+D23+D21</f>
        <v>94952.06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37315</v>
      </c>
      <c r="B29" s="32"/>
      <c r="C29" s="32"/>
      <c r="D29" s="567">
        <v>57851</v>
      </c>
    </row>
    <row r="30" spans="1:7" x14ac:dyDescent="0.2">
      <c r="A30" s="49">
        <f>+A25</f>
        <v>37315</v>
      </c>
      <c r="B30" s="32"/>
      <c r="C30" s="32"/>
      <c r="D30" s="349">
        <f>+D19</f>
        <v>0</v>
      </c>
    </row>
    <row r="31" spans="1:7" x14ac:dyDescent="0.2">
      <c r="A31" s="32"/>
      <c r="B31" s="32"/>
      <c r="C31" s="32"/>
      <c r="D31" s="14">
        <f>+D30+D29</f>
        <v>57851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1.6413209797583446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35" sqref="E3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80459</v>
      </c>
      <c r="C35" s="11">
        <f>SUM(C4:C34)</f>
        <v>70168</v>
      </c>
      <c r="D35" s="11">
        <f>SUM(D4:D34)</f>
        <v>71906</v>
      </c>
      <c r="E35" s="11">
        <f>SUM(E4:E34)</f>
        <v>83000</v>
      </c>
      <c r="F35" s="11">
        <f>+E35-D35+C35-B35</f>
        <v>803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2.35</v>
      </c>
    </row>
    <row r="38" spans="1:7" x14ac:dyDescent="0.2">
      <c r="C38" s="48"/>
      <c r="D38" s="47"/>
      <c r="E38" s="48"/>
      <c r="F38" s="46">
        <f>+F37*F35</f>
        <v>1887.0500000000002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494169.59</v>
      </c>
      <c r="G40" s="25"/>
    </row>
    <row r="41" spans="1:7" x14ac:dyDescent="0.2">
      <c r="A41" s="57">
        <v>37318</v>
      </c>
      <c r="C41" s="106"/>
      <c r="D41" s="106"/>
      <c r="E41" s="106"/>
      <c r="F41" s="106">
        <f>+F38+F40</f>
        <v>496056.64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33898</v>
      </c>
      <c r="E46" s="11"/>
      <c r="F46" s="11"/>
      <c r="G46" s="25"/>
    </row>
    <row r="47" spans="1:7" x14ac:dyDescent="0.2">
      <c r="A47" s="49">
        <f>+A41</f>
        <v>37318</v>
      </c>
      <c r="D47" s="349">
        <f>+F35</f>
        <v>803</v>
      </c>
      <c r="E47" s="11"/>
      <c r="F47" s="11"/>
      <c r="G47" s="25"/>
    </row>
    <row r="48" spans="1:7" x14ac:dyDescent="0.2">
      <c r="D48" s="14">
        <f>+D47+D46</f>
        <v>34701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8" sqref="E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472653</v>
      </c>
      <c r="C36" s="11">
        <f>SUM(C5:C35)</f>
        <v>494784</v>
      </c>
      <c r="D36" s="11">
        <f>SUM(D5:D35)</f>
        <v>0</v>
      </c>
      <c r="E36" s="11">
        <f>SUM(E5:E35)</f>
        <v>-17425</v>
      </c>
      <c r="F36" s="11">
        <f>SUM(F5:F35)</f>
        <v>4706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72"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37318</v>
      </c>
      <c r="F41" s="332">
        <f>+F39+F36</f>
        <v>-11433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74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37318</v>
      </c>
      <c r="C48" s="32"/>
      <c r="D48" s="32"/>
      <c r="E48" s="374">
        <f>+F36*'by type_area'!G3</f>
        <v>10964.98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-482801.02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workbookViewId="0">
      <selection activeCell="B8" sqref="B8:C3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/>
      <c r="C8" s="11"/>
      <c r="D8" s="11">
        <f>+C8-B8</f>
        <v>0</v>
      </c>
      <c r="E8" s="10"/>
      <c r="F8" s="11"/>
      <c r="G8" s="11"/>
      <c r="H8" s="11"/>
    </row>
    <row r="9" spans="1:8" x14ac:dyDescent="0.2">
      <c r="A9" s="10">
        <v>2</v>
      </c>
      <c r="B9" s="11"/>
      <c r="C9" s="11"/>
      <c r="D9" s="11">
        <f t="shared" ref="D9:D38" si="0">+C9-B9</f>
        <v>0</v>
      </c>
      <c r="E9" s="10"/>
      <c r="F9" s="11"/>
      <c r="G9" s="11"/>
      <c r="H9" s="11"/>
    </row>
    <row r="10" spans="1:8" x14ac:dyDescent="0.2">
      <c r="A10" s="10">
        <v>3</v>
      </c>
      <c r="B10" s="11"/>
      <c r="C10" s="11"/>
      <c r="D10" s="11">
        <f t="shared" si="0"/>
        <v>0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0"/>
      <c r="F39" s="11"/>
      <c r="G39" s="11"/>
      <c r="H39" s="11"/>
    </row>
    <row r="40" spans="1:8" x14ac:dyDescent="0.2">
      <c r="A40" s="26"/>
      <c r="D40" s="75">
        <f>+summary!G4</f>
        <v>2.35</v>
      </c>
      <c r="E40" s="26"/>
      <c r="H40" s="75"/>
    </row>
    <row r="41" spans="1:8" x14ac:dyDescent="0.2">
      <c r="D41" s="195">
        <f>+D40*D39</f>
        <v>0</v>
      </c>
      <c r="F41" s="247"/>
      <c r="H41" s="195"/>
    </row>
    <row r="42" spans="1:8" x14ac:dyDescent="0.2">
      <c r="A42" s="57">
        <v>37315</v>
      </c>
      <c r="D42" s="596">
        <v>21543</v>
      </c>
      <c r="E42" s="57"/>
      <c r="H42" s="195"/>
    </row>
    <row r="43" spans="1:8" x14ac:dyDescent="0.2">
      <c r="A43" s="57">
        <v>37315</v>
      </c>
      <c r="D43" s="196">
        <f>+D42+D41</f>
        <v>21543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591">
        <v>-45540</v>
      </c>
    </row>
    <row r="49" spans="1:4" x14ac:dyDescent="0.2">
      <c r="A49" s="49">
        <f>+A43</f>
        <v>37315</v>
      </c>
      <c r="B49" s="32"/>
      <c r="C49" s="32"/>
      <c r="D49" s="349">
        <f>+D39</f>
        <v>0</v>
      </c>
    </row>
    <row r="50" spans="1:4" x14ac:dyDescent="0.2">
      <c r="A50" s="32"/>
      <c r="B50" s="32"/>
      <c r="C50" s="32"/>
      <c r="D50" s="14">
        <f>+D49+D48</f>
        <v>-45540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5" workbookViewId="0">
      <selection activeCell="B70" sqref="B70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583">
        <v>1494053.52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37315</v>
      </c>
      <c r="I7" s="3" t="s">
        <v>254</v>
      </c>
      <c r="J7" s="15"/>
    </row>
    <row r="8" spans="1:14" x14ac:dyDescent="0.2">
      <c r="A8" s="248">
        <v>50895</v>
      </c>
      <c r="B8" s="339"/>
      <c r="J8" s="15"/>
    </row>
    <row r="9" spans="1:14" x14ac:dyDescent="0.2">
      <c r="A9" s="248">
        <v>60874</v>
      </c>
      <c r="B9" s="339"/>
      <c r="J9" s="15"/>
    </row>
    <row r="10" spans="1:14" x14ac:dyDescent="0.2">
      <c r="A10" s="248">
        <v>78169</v>
      </c>
      <c r="B10" s="339"/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863787.94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/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/>
      <c r="I15" s="87"/>
      <c r="J15" s="445">
        <f>SUM(J11:J14)</f>
        <v>1236163.17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/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/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0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2.37</v>
      </c>
      <c r="C19" s="199">
        <f>+B19*B18</f>
        <v>0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1494053.52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37315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2.35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37315</v>
      </c>
      <c r="F38" s="591">
        <v>360991</v>
      </c>
      <c r="G38" s="443">
        <v>117857</v>
      </c>
      <c r="H38" s="591">
        <v>197167</v>
      </c>
      <c r="I38" s="14"/>
    </row>
    <row r="39" spans="1:9" x14ac:dyDescent="0.2">
      <c r="E39" s="49">
        <f>+A7</f>
        <v>37315</v>
      </c>
      <c r="F39" s="349">
        <f>+B18</f>
        <v>0</v>
      </c>
      <c r="G39" s="349">
        <f>+B31</f>
        <v>0</v>
      </c>
      <c r="H39" s="349">
        <f>+B46</f>
        <v>0</v>
      </c>
      <c r="I39" s="14"/>
    </row>
    <row r="40" spans="1:9" x14ac:dyDescent="0.2">
      <c r="A40" s="49">
        <v>37315</v>
      </c>
      <c r="C40" s="602">
        <v>863787.94</v>
      </c>
      <c r="F40" s="14">
        <f>+F39+F38</f>
        <v>360991</v>
      </c>
      <c r="G40" s="14">
        <f>+G39+G38</f>
        <v>117857</v>
      </c>
      <c r="H40" s="14">
        <f>+H39+H38</f>
        <v>197167</v>
      </c>
      <c r="I40" s="14">
        <f>+H40+G40+F40</f>
        <v>676015</v>
      </c>
    </row>
    <row r="41" spans="1:9" x14ac:dyDescent="0.2">
      <c r="G41" s="32"/>
      <c r="H41" s="15"/>
      <c r="I41" s="32"/>
    </row>
    <row r="42" spans="1:9" x14ac:dyDescent="0.2">
      <c r="A42" s="245">
        <v>37315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0"/>
      <c r="I44" s="14"/>
    </row>
    <row r="45" spans="1:9" x14ac:dyDescent="0.2">
      <c r="A45" s="32">
        <v>500392</v>
      </c>
      <c r="B45" s="250"/>
      <c r="G45" s="32"/>
      <c r="H45" s="380"/>
      <c r="I45" s="14"/>
    </row>
    <row r="46" spans="1:9" x14ac:dyDescent="0.2">
      <c r="B46" s="14">
        <f>SUM(B43:B45)</f>
        <v>0</v>
      </c>
      <c r="G46" s="32"/>
      <c r="H46" s="380"/>
      <c r="I46" s="14"/>
    </row>
    <row r="47" spans="1:9" x14ac:dyDescent="0.2">
      <c r="B47" s="199">
        <f>+summary!G5</f>
        <v>2.37</v>
      </c>
      <c r="C47" s="199">
        <f>+B47*B46</f>
        <v>0</v>
      </c>
      <c r="H47" s="380"/>
      <c r="I47" s="14"/>
    </row>
    <row r="48" spans="1:9" x14ac:dyDescent="0.2">
      <c r="C48" s="321">
        <f>+C47+C40</f>
        <v>863787.94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2730212.61</v>
      </c>
      <c r="I57" s="14">
        <f>SUM(I40:I54)</f>
        <v>731348</v>
      </c>
    </row>
    <row r="61" spans="1:9" x14ac:dyDescent="0.2">
      <c r="C61" s="15">
        <f>+DEFS!F49</f>
        <v>-2854950.14</v>
      </c>
    </row>
    <row r="62" spans="1:9" x14ac:dyDescent="0.2">
      <c r="C62" s="15">
        <f>+C61+C57</f>
        <v>-124737.53000000026</v>
      </c>
      <c r="I62" s="31">
        <f>+I57+DEFS!K49</f>
        <v>269640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1494053.52</v>
      </c>
      <c r="C72" s="14">
        <f>+F40</f>
        <v>360991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863787.94</v>
      </c>
      <c r="C74" s="14">
        <f>+H40</f>
        <v>197167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-647194</v>
      </c>
      <c r="C78" s="14">
        <f>+DEFS!J36</f>
        <v>-164539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-124737.52999999991</v>
      </c>
      <c r="C83" s="16">
        <f>SUM(C72:C82)</f>
        <v>269640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2" workbookViewId="0">
      <selection activeCell="A54" sqref="A54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/>
      <c r="E4" s="11"/>
      <c r="F4" s="11">
        <f>+E4+C4-D4-B4</f>
        <v>0</v>
      </c>
      <c r="G4" s="11"/>
      <c r="I4" s="11"/>
      <c r="J4" s="24"/>
    </row>
    <row r="5" spans="1:10" x14ac:dyDescent="0.2">
      <c r="A5" s="10">
        <v>2</v>
      </c>
      <c r="B5" s="11"/>
      <c r="C5" s="11"/>
      <c r="D5" s="11"/>
      <c r="E5" s="11"/>
      <c r="F5" s="11">
        <f t="shared" ref="F5:F34" si="0">+E5+C5-D5-B5</f>
        <v>0</v>
      </c>
      <c r="G5" s="11"/>
      <c r="I5" s="11"/>
      <c r="J5" s="24"/>
    </row>
    <row r="6" spans="1:10" x14ac:dyDescent="0.2">
      <c r="A6" s="10">
        <v>3</v>
      </c>
      <c r="B6" s="11"/>
      <c r="C6" s="11"/>
      <c r="D6" s="129"/>
      <c r="E6" s="11"/>
      <c r="F6" s="11">
        <f t="shared" si="0"/>
        <v>0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567">
        <v>-183967</v>
      </c>
      <c r="J34" s="567">
        <v>-164539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0</v>
      </c>
      <c r="E35" s="11">
        <f>SUM(E4:E34)</f>
        <v>0</v>
      </c>
      <c r="F35" s="11">
        <f>SUM(F4:F34)</f>
        <v>0</v>
      </c>
      <c r="G35" s="11"/>
      <c r="H35" s="49">
        <f>+A40</f>
        <v>37315</v>
      </c>
      <c r="I35" s="349">
        <f>+C36</f>
        <v>0</v>
      </c>
      <c r="J35" s="349">
        <f>+E36</f>
        <v>0</v>
      </c>
      <c r="K35" s="206"/>
      <c r="L35" s="14"/>
    </row>
    <row r="36" spans="1:13" x14ac:dyDescent="0.2">
      <c r="C36" s="25">
        <f>+C35-B35</f>
        <v>0</v>
      </c>
      <c r="E36" s="25">
        <f>+E35-D35</f>
        <v>0</v>
      </c>
      <c r="F36" s="25">
        <f>+E36+C36</f>
        <v>0</v>
      </c>
      <c r="H36" s="32"/>
      <c r="I36" s="14">
        <f>+I35+I34</f>
        <v>-183967</v>
      </c>
      <c r="J36" s="14">
        <f>+J35+J34</f>
        <v>-164539</v>
      </c>
      <c r="K36" s="14">
        <f>+J36+I36</f>
        <v>-348506</v>
      </c>
      <c r="L36" s="14"/>
    </row>
    <row r="37" spans="1:13" x14ac:dyDescent="0.2">
      <c r="C37" s="313">
        <f>+summary!G5</f>
        <v>2.37</v>
      </c>
      <c r="E37" s="104">
        <f>+C37</f>
        <v>2.37</v>
      </c>
      <c r="F37" s="138">
        <f>+F36*E37</f>
        <v>0</v>
      </c>
    </row>
    <row r="38" spans="1:13" x14ac:dyDescent="0.2">
      <c r="C38" s="138">
        <f>+C37*C36</f>
        <v>0</v>
      </c>
      <c r="E38" s="136">
        <f>+E37*E36</f>
        <v>0</v>
      </c>
      <c r="F38" s="138">
        <f>+E38+C38</f>
        <v>0</v>
      </c>
    </row>
    <row r="39" spans="1:13" x14ac:dyDescent="0.2">
      <c r="A39" s="57">
        <v>37315</v>
      </c>
      <c r="B39" s="2" t="s">
        <v>45</v>
      </c>
      <c r="C39" s="586">
        <v>-1035385.61</v>
      </c>
      <c r="D39" s="320"/>
      <c r="E39" s="573">
        <v>-647194</v>
      </c>
      <c r="F39" s="319">
        <f>+E39+C39</f>
        <v>-1682579.6099999999</v>
      </c>
    </row>
    <row r="40" spans="1:13" x14ac:dyDescent="0.2">
      <c r="A40" s="57">
        <v>37315</v>
      </c>
      <c r="B40" s="2" t="s">
        <v>45</v>
      </c>
      <c r="C40" s="314">
        <f>+C39+C38</f>
        <v>-1035385.61</v>
      </c>
      <c r="D40" s="252"/>
      <c r="E40" s="314">
        <f>+E39+E38</f>
        <v>-647194</v>
      </c>
      <c r="F40" s="314">
        <f>+E40+C40</f>
        <v>-1682579.6099999999</v>
      </c>
      <c r="H40" s="131"/>
    </row>
    <row r="41" spans="1:13" x14ac:dyDescent="0.2">
      <c r="C41" s="329"/>
      <c r="D41" s="246"/>
      <c r="E41" s="246"/>
      <c r="H41" s="31">
        <f>+C39+E39+F45+F46+F47+F48</f>
        <v>-2854950.14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-2854950.14</v>
      </c>
      <c r="G49" s="246"/>
      <c r="K49" s="14">
        <f>SUM(K36:K48)</f>
        <v>-461708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2730212.61</v>
      </c>
      <c r="M51" s="14">
        <f>+Duke!I57</f>
        <v>731348</v>
      </c>
    </row>
    <row r="53" spans="3:13" x14ac:dyDescent="0.2">
      <c r="F53" s="104">
        <f>+F51+F49</f>
        <v>-124737.53000000026</v>
      </c>
      <c r="M53" s="16">
        <f>+M51+K49</f>
        <v>269640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-164539</v>
      </c>
      <c r="C74" s="247">
        <f>+E40</f>
        <v>-647194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197167</v>
      </c>
      <c r="C77" s="259">
        <f>+Duke!C48</f>
        <v>863787.94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360991</v>
      </c>
      <c r="C79" s="259">
        <f>+Duke!C20</f>
        <v>1494053.52</v>
      </c>
    </row>
    <row r="81" spans="2:3" x14ac:dyDescent="0.2">
      <c r="B81" s="31">
        <f>SUM(B68:B80)</f>
        <v>269640</v>
      </c>
      <c r="C81" s="259">
        <f>SUM(C68:C80)</f>
        <v>-124737.53000000003</v>
      </c>
    </row>
    <row r="82" spans="2:3" x14ac:dyDescent="0.2">
      <c r="C82">
        <f>+C81/B81</f>
        <v>-0.46260766206794257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E29" sqref="E2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5068</v>
      </c>
      <c r="C8" s="11">
        <v>4944</v>
      </c>
      <c r="D8" s="11"/>
      <c r="E8" s="11"/>
      <c r="F8" s="129">
        <v>824</v>
      </c>
      <c r="G8" s="11">
        <v>901</v>
      </c>
      <c r="H8" s="11">
        <v>1534</v>
      </c>
      <c r="I8" s="11">
        <v>1247</v>
      </c>
      <c r="J8" s="25">
        <f t="shared" ref="J8:J38" si="0">+C8-B8+E8-D8+G8-F8+I8-H8</f>
        <v>-334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4717</v>
      </c>
      <c r="C9" s="11">
        <v>4944</v>
      </c>
      <c r="D9" s="11"/>
      <c r="E9" s="11"/>
      <c r="F9" s="129">
        <v>171</v>
      </c>
      <c r="G9" s="11">
        <v>901</v>
      </c>
      <c r="H9" s="11">
        <v>1460</v>
      </c>
      <c r="I9" s="11">
        <v>1247</v>
      </c>
      <c r="J9" s="25">
        <f t="shared" si="0"/>
        <v>744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4697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1542</v>
      </c>
      <c r="I10" s="11">
        <v>1247</v>
      </c>
      <c r="J10" s="25">
        <f t="shared" si="0"/>
        <v>-213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14482</v>
      </c>
      <c r="C39" s="11">
        <f t="shared" si="1"/>
        <v>14832</v>
      </c>
      <c r="D39" s="11">
        <f t="shared" si="1"/>
        <v>1</v>
      </c>
      <c r="E39" s="11">
        <f t="shared" si="1"/>
        <v>0</v>
      </c>
      <c r="F39" s="129">
        <f t="shared" si="1"/>
        <v>2060</v>
      </c>
      <c r="G39" s="11">
        <f t="shared" si="1"/>
        <v>2703</v>
      </c>
      <c r="H39" s="11">
        <f t="shared" si="1"/>
        <v>4536</v>
      </c>
      <c r="I39" s="11">
        <f t="shared" si="1"/>
        <v>3741</v>
      </c>
      <c r="J39" s="25">
        <f t="shared" si="1"/>
        <v>197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2.35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462.95000000000005</v>
      </c>
      <c r="L41"/>
      <c r="R41" s="138"/>
      <c r="X41" s="138"/>
    </row>
    <row r="42" spans="1:24" x14ac:dyDescent="0.2">
      <c r="A42" s="57">
        <v>37315</v>
      </c>
      <c r="C42" s="15"/>
      <c r="J42" s="570">
        <v>318091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37318</v>
      </c>
      <c r="C43" s="48"/>
      <c r="J43" s="138">
        <f>+J42+J41</f>
        <v>318553.95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67">
        <v>124430</v>
      </c>
      <c r="L47"/>
    </row>
    <row r="48" spans="1:24" x14ac:dyDescent="0.2">
      <c r="A48" s="49">
        <f>+A43</f>
        <v>37318</v>
      </c>
      <c r="B48" s="32"/>
      <c r="C48" s="32"/>
      <c r="D48" s="349">
        <f>+J39</f>
        <v>197</v>
      </c>
      <c r="L48"/>
    </row>
    <row r="49" spans="1:12" x14ac:dyDescent="0.2">
      <c r="A49" s="32"/>
      <c r="B49" s="32"/>
      <c r="C49" s="32"/>
      <c r="D49" s="14">
        <f>+D48+D47</f>
        <v>124627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D10" sqref="D10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>
        <v>13</v>
      </c>
      <c r="C8" s="410"/>
      <c r="D8" s="410">
        <v>-666</v>
      </c>
      <c r="E8" s="410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>
        <v>12</v>
      </c>
      <c r="C9" s="410"/>
      <c r="D9" s="410">
        <v>-3300</v>
      </c>
      <c r="E9" s="410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-3941</v>
      </c>
      <c r="E10" s="410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/>
      <c r="E11" s="410"/>
      <c r="F11" s="30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/>
      <c r="E12" s="410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/>
      <c r="E13" s="410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/>
      <c r="E14" s="410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/>
      <c r="E15" s="410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/>
      <c r="E16" s="410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25</v>
      </c>
      <c r="C39" s="410">
        <f>SUM(C8:C38)</f>
        <v>0</v>
      </c>
      <c r="D39" s="410">
        <f>SUM(D8:D38)</f>
        <v>-7907</v>
      </c>
      <c r="E39" s="410">
        <f>SUM(E8:E38)</f>
        <v>0</v>
      </c>
      <c r="F39" s="410">
        <f>SUM(F8:F38)</f>
        <v>7882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2.35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18522.7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4"/>
      <c r="D42" s="434"/>
      <c r="E42" s="434"/>
      <c r="F42" s="563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37318</v>
      </c>
      <c r="B43" s="285"/>
      <c r="C43" s="435"/>
      <c r="D43" s="435"/>
      <c r="E43" s="435"/>
      <c r="F43" s="416">
        <f>+F42+F41</f>
        <v>196879.13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5">
        <v>-355979</v>
      </c>
      <c r="E47" s="11"/>
    </row>
    <row r="48" spans="1:26" x14ac:dyDescent="0.2">
      <c r="A48" s="49">
        <f>+A43</f>
        <v>37318</v>
      </c>
      <c r="B48" s="32"/>
      <c r="C48" s="32"/>
      <c r="D48" s="349">
        <f>+F39</f>
        <v>7882</v>
      </c>
      <c r="E48" s="11"/>
    </row>
    <row r="49" spans="1:5" x14ac:dyDescent="0.2">
      <c r="A49" s="32"/>
      <c r="B49" s="32"/>
      <c r="C49" s="32"/>
      <c r="D49" s="14">
        <f>+D48+D47</f>
        <v>-348097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E17" sqref="E17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2.33</v>
      </c>
      <c r="J3" s="373">
        <f ca="1">NOW()</f>
        <v>37320.442282175929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2.35</v>
      </c>
    </row>
    <row r="5" spans="1:33" ht="15" customHeight="1" x14ac:dyDescent="0.2">
      <c r="B5" s="553"/>
      <c r="F5" s="549" t="s">
        <v>117</v>
      </c>
      <c r="G5" s="550">
        <f>+'[3]1001'!$E$39</f>
        <v>2.37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819679.11</v>
      </c>
      <c r="C8" s="275">
        <f>+B8/$G$4</f>
        <v>348799.62127659575</v>
      </c>
      <c r="D8" s="364">
        <f>+PNM!A23</f>
        <v>37318</v>
      </c>
      <c r="E8" s="32" t="s">
        <v>85</v>
      </c>
      <c r="F8" s="32" t="s">
        <v>298</v>
      </c>
      <c r="G8" s="32" t="s">
        <v>289</v>
      </c>
      <c r="H8" s="32" t="s">
        <v>311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496056.64</v>
      </c>
      <c r="C9" s="275">
        <f>+B9/$G$4</f>
        <v>211087.93191489362</v>
      </c>
      <c r="D9" s="363">
        <f>+Conoco!A41</f>
        <v>37318</v>
      </c>
      <c r="E9" s="32" t="s">
        <v>85</v>
      </c>
      <c r="F9" s="32" t="s">
        <v>299</v>
      </c>
      <c r="G9" s="32" t="s">
        <v>113</v>
      </c>
      <c r="H9" s="32" t="s">
        <v>312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2</v>
      </c>
      <c r="B10" s="345">
        <f>+mewborne!$J$43</f>
        <v>318553.95</v>
      </c>
      <c r="C10" s="275">
        <f>+B10/$G$4</f>
        <v>135554.87234042553</v>
      </c>
      <c r="D10" s="364">
        <f>+mewborne!A43</f>
        <v>37318</v>
      </c>
      <c r="E10" s="32" t="s">
        <v>85</v>
      </c>
      <c r="F10" s="32" t="s">
        <v>298</v>
      </c>
      <c r="G10" s="32" t="s">
        <v>99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614">
        <f>+KN_Westar!F41</f>
        <v>316512.05</v>
      </c>
      <c r="C11" s="275">
        <f>+B11/$G$4</f>
        <v>134685.97872340426</v>
      </c>
      <c r="D11" s="364">
        <f>+KN_Westar!A41</f>
        <v>37315</v>
      </c>
      <c r="E11" s="32" t="s">
        <v>85</v>
      </c>
      <c r="F11" s="32" t="s">
        <v>153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614">
        <f>+'Amoco Abo'!$F$43</f>
        <v>196879.13</v>
      </c>
      <c r="C12" s="275">
        <f>+B12/$G$4</f>
        <v>83778.353191489354</v>
      </c>
      <c r="D12" s="364">
        <f>+'Amoco Abo'!A43</f>
        <v>37318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206</v>
      </c>
      <c r="B13" s="345">
        <f>+Dominion!D41</f>
        <v>171935</v>
      </c>
      <c r="C13" s="275">
        <f>+B13/$G$5</f>
        <v>72546.413502109703</v>
      </c>
      <c r="D13" s="364">
        <f>+Dominion!A41</f>
        <v>37315</v>
      </c>
      <c r="E13" s="32" t="s">
        <v>85</v>
      </c>
      <c r="F13" s="32" t="s">
        <v>298</v>
      </c>
      <c r="G13" s="32" t="s">
        <v>99</v>
      </c>
      <c r="H13" s="3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217</v>
      </c>
      <c r="B14" s="345">
        <f>+Amarillo!P41</f>
        <v>141715.48000000001</v>
      </c>
      <c r="C14" s="275">
        <f>+B14/$G$4</f>
        <v>60304.459574468085</v>
      </c>
      <c r="D14" s="364">
        <f>+Amarillo!A41</f>
        <v>37315</v>
      </c>
      <c r="E14" s="32" t="s">
        <v>85</v>
      </c>
      <c r="F14" s="32" t="s">
        <v>299</v>
      </c>
      <c r="G14" s="32" t="s">
        <v>113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04" t="s">
        <v>32</v>
      </c>
      <c r="B15" s="345">
        <f>+C15*$G$4</f>
        <v>139785.05000000002</v>
      </c>
      <c r="C15" s="206">
        <f>+SoCal!F40</f>
        <v>59483</v>
      </c>
      <c r="D15" s="363">
        <f>+SoCal!A40</f>
        <v>37318</v>
      </c>
      <c r="E15" s="204" t="s">
        <v>84</v>
      </c>
      <c r="F15" s="204" t="s">
        <v>152</v>
      </c>
      <c r="G15" s="204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23</v>
      </c>
      <c r="B16" s="345">
        <f>+C16*$G$3</f>
        <v>139611.27000000002</v>
      </c>
      <c r="C16" s="347">
        <f>+'Red C'!$F$45</f>
        <v>59919</v>
      </c>
      <c r="D16" s="363">
        <f>+'Red C'!A45</f>
        <v>37318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104343.99</v>
      </c>
      <c r="C17" s="275">
        <f>+NGPL!H38</f>
        <v>44027</v>
      </c>
      <c r="D17" s="364">
        <f>+NGPL!A38</f>
        <v>37318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442" t="s">
        <v>79</v>
      </c>
      <c r="B18" s="501">
        <f>+Agave!$D$25</f>
        <v>94952.06</v>
      </c>
      <c r="C18" s="462">
        <f>+B18/$G$4</f>
        <v>40405.131914893616</v>
      </c>
      <c r="D18" s="461">
        <f>+Agave!A25</f>
        <v>37315</v>
      </c>
      <c r="E18" s="442" t="s">
        <v>85</v>
      </c>
      <c r="F18" s="442" t="s">
        <v>299</v>
      </c>
      <c r="G18" s="442" t="s">
        <v>102</v>
      </c>
      <c r="H18" s="44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129</v>
      </c>
      <c r="B19" s="345">
        <f>+EPFS!D41</f>
        <v>75111.44</v>
      </c>
      <c r="C19" s="206">
        <f>+B19/$G$5</f>
        <v>31692.590717299579</v>
      </c>
      <c r="D19" s="363">
        <f>+EPFS!A41</f>
        <v>37318</v>
      </c>
      <c r="E19" s="32" t="s">
        <v>85</v>
      </c>
      <c r="F19" s="32" t="s">
        <v>153</v>
      </c>
      <c r="G19" s="32" t="s">
        <v>102</v>
      </c>
      <c r="H19" s="32"/>
      <c r="I19" s="15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31</v>
      </c>
      <c r="B20" s="345">
        <f>+C20*$G$5</f>
        <v>75036.570000000007</v>
      </c>
      <c r="C20" s="275">
        <f>+Lonestar!F43</f>
        <v>31661</v>
      </c>
      <c r="D20" s="363">
        <f>+Lonestar!A43</f>
        <v>37318</v>
      </c>
      <c r="E20" s="32" t="s">
        <v>84</v>
      </c>
      <c r="F20" s="32" t="s">
        <v>299</v>
      </c>
      <c r="G20" s="32" t="s">
        <v>102</v>
      </c>
      <c r="H20" s="32"/>
      <c r="I20" s="204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305</v>
      </c>
      <c r="B21" s="345">
        <f>+Plains!$N$43</f>
        <v>63241.56</v>
      </c>
      <c r="C21" s="206">
        <f>+B21/$G$4</f>
        <v>26911.302127659572</v>
      </c>
      <c r="D21" s="363">
        <f>+Plains!A43</f>
        <v>37287</v>
      </c>
      <c r="E21" s="204" t="s">
        <v>85</v>
      </c>
      <c r="F21" s="204"/>
      <c r="G21" s="204" t="s">
        <v>100</v>
      </c>
      <c r="H21" s="204"/>
      <c r="I21" s="32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28</v>
      </c>
      <c r="B22" s="345">
        <f>+C22*$G$3</f>
        <v>51982.3</v>
      </c>
      <c r="C22" s="275">
        <f>+williams!J40</f>
        <v>22310</v>
      </c>
      <c r="D22" s="363">
        <f>+williams!A40</f>
        <v>37318</v>
      </c>
      <c r="E22" s="204" t="s">
        <v>85</v>
      </c>
      <c r="F22" s="204" t="s">
        <v>153</v>
      </c>
      <c r="G22" s="204" t="s">
        <v>289</v>
      </c>
      <c r="H22" s="204"/>
      <c r="I22" s="204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109</v>
      </c>
      <c r="B23" s="345">
        <f>+Continental!F43</f>
        <v>49675</v>
      </c>
      <c r="C23" s="206">
        <f>+B23/$G$4</f>
        <v>21138.297872340423</v>
      </c>
      <c r="D23" s="363">
        <f>+Continental!A43</f>
        <v>37315</v>
      </c>
      <c r="E23" s="204" t="s">
        <v>85</v>
      </c>
      <c r="F23" s="204" t="s">
        <v>153</v>
      </c>
      <c r="G23" s="204" t="s">
        <v>115</v>
      </c>
      <c r="H23" s="204"/>
      <c r="I23" s="204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32" t="s">
        <v>296</v>
      </c>
      <c r="B24" s="345">
        <f>+Stratland!$D$41</f>
        <v>48490.31</v>
      </c>
      <c r="C24" s="275">
        <f>+B24/$G$4</f>
        <v>20634.174468085104</v>
      </c>
      <c r="D24" s="363">
        <f>+Stratland!A41</f>
        <v>37287</v>
      </c>
      <c r="E24" s="32" t="s">
        <v>85</v>
      </c>
      <c r="F24" s="32" t="s">
        <v>298</v>
      </c>
      <c r="G24" s="32" t="s">
        <v>102</v>
      </c>
      <c r="H24" s="32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146</v>
      </c>
      <c r="B25" s="345">
        <f>+PGETX!$H$39</f>
        <v>44019.5</v>
      </c>
      <c r="C25" s="275">
        <f>+B25/$G$4</f>
        <v>18731.702127659573</v>
      </c>
      <c r="D25" s="363">
        <f>+PGETX!E39</f>
        <v>37318</v>
      </c>
      <c r="E25" s="204" t="s">
        <v>85</v>
      </c>
      <c r="F25" s="204" t="s">
        <v>153</v>
      </c>
      <c r="G25" s="204" t="s">
        <v>102</v>
      </c>
      <c r="H25" s="204"/>
      <c r="I25" s="32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204" t="s">
        <v>139</v>
      </c>
      <c r="B26" s="345">
        <f>+'Citizens-Griffith'!D41</f>
        <v>42125.05</v>
      </c>
      <c r="C26" s="275">
        <f>+B26/$G$4</f>
        <v>17925.553191489362</v>
      </c>
      <c r="D26" s="363">
        <f>+'Citizens-Griffith'!A41</f>
        <v>37318</v>
      </c>
      <c r="E26" s="204" t="s">
        <v>85</v>
      </c>
      <c r="F26" s="204" t="s">
        <v>299</v>
      </c>
      <c r="G26" s="204" t="s">
        <v>99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110</v>
      </c>
      <c r="B27" s="345">
        <f>+C27*$G$4</f>
        <v>41329.450000000004</v>
      </c>
      <c r="C27" s="275">
        <f>+CIG!D42</f>
        <v>17587</v>
      </c>
      <c r="D27" s="364">
        <f>+CIG!A42</f>
        <v>37315</v>
      </c>
      <c r="E27" s="204" t="s">
        <v>84</v>
      </c>
      <c r="F27" s="32" t="s">
        <v>153</v>
      </c>
      <c r="G27" s="32" t="s">
        <v>113</v>
      </c>
      <c r="H27" s="609" t="s">
        <v>315</v>
      </c>
      <c r="I27" s="204"/>
      <c r="J27" s="32"/>
      <c r="K27" s="32"/>
      <c r="L27" s="32"/>
      <c r="M27" s="32" t="s">
        <v>242</v>
      </c>
      <c r="N27" s="379">
        <v>26357</v>
      </c>
      <c r="O27" s="70">
        <v>44144.84</v>
      </c>
      <c r="P27" s="32" t="s">
        <v>245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87</v>
      </c>
      <c r="B28" s="614">
        <f>+NNG!$D$24</f>
        <v>33520</v>
      </c>
      <c r="C28" s="275">
        <f>+B28/$G$4</f>
        <v>14263.829787234043</v>
      </c>
      <c r="D28" s="363">
        <f>+NNG!A24</f>
        <v>37315</v>
      </c>
      <c r="E28" s="204" t="s">
        <v>85</v>
      </c>
      <c r="F28" s="204" t="s">
        <v>298</v>
      </c>
      <c r="G28" s="204" t="s">
        <v>100</v>
      </c>
      <c r="H28" s="204"/>
      <c r="I28" s="613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103</v>
      </c>
      <c r="B29" s="614">
        <f>+EOG!$J$41</f>
        <v>32454</v>
      </c>
      <c r="C29" s="275">
        <f>+B29/$G$4</f>
        <v>13810.212765957447</v>
      </c>
      <c r="D29" s="363">
        <f>+EOG!A41</f>
        <v>37315</v>
      </c>
      <c r="E29" s="32" t="s">
        <v>85</v>
      </c>
      <c r="F29" s="32" t="s">
        <v>298</v>
      </c>
      <c r="G29" s="32" t="s">
        <v>102</v>
      </c>
      <c r="H29" s="32"/>
      <c r="I29" s="609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204" t="s">
        <v>71</v>
      </c>
      <c r="B30" s="346">
        <f>+transcol!$D$43</f>
        <v>21543</v>
      </c>
      <c r="C30" s="347">
        <f>+B30/$G$4</f>
        <v>9167.2340425531911</v>
      </c>
      <c r="D30" s="363">
        <f>+transcol!A43</f>
        <v>37315</v>
      </c>
      <c r="E30" s="204" t="s">
        <v>85</v>
      </c>
      <c r="F30" s="204" t="s">
        <v>152</v>
      </c>
      <c r="G30" s="204" t="s">
        <v>115</v>
      </c>
      <c r="H30" s="204"/>
      <c r="I30" s="204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32" t="s">
        <v>279</v>
      </c>
      <c r="B31" s="345">
        <f>+'WTG inc'!N43</f>
        <v>20990</v>
      </c>
      <c r="C31" s="275">
        <f>+B31/$G$4</f>
        <v>8931.9148936170204</v>
      </c>
      <c r="D31" s="364">
        <f>+'WTG inc'!A43</f>
        <v>37315</v>
      </c>
      <c r="E31" s="32" t="s">
        <v>85</v>
      </c>
      <c r="F31" s="32" t="s">
        <v>152</v>
      </c>
      <c r="G31" s="32" t="s">
        <v>115</v>
      </c>
      <c r="H31" s="204"/>
      <c r="I31" s="32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6</v>
      </c>
      <c r="B32" s="614">
        <f>+Oasis!$D$40</f>
        <v>18332.419999999998</v>
      </c>
      <c r="C32" s="206">
        <f>+B32/$G$5</f>
        <v>7735.1983122362863</v>
      </c>
      <c r="D32" s="364">
        <f>+Oasis!A40</f>
        <v>37318</v>
      </c>
      <c r="E32" s="32" t="s">
        <v>85</v>
      </c>
      <c r="F32" s="32" t="s">
        <v>153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142</v>
      </c>
      <c r="B33" s="346">
        <f>+C33*$G$4</f>
        <v>17220.8</v>
      </c>
      <c r="C33" s="347">
        <f>+PEPL!D41</f>
        <v>7328</v>
      </c>
      <c r="D33" s="363">
        <f>+PEPL!A41</f>
        <v>37318</v>
      </c>
      <c r="E33" s="204" t="s">
        <v>84</v>
      </c>
      <c r="F33" s="204" t="s">
        <v>299</v>
      </c>
      <c r="G33" s="204" t="s">
        <v>100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114</v>
      </c>
      <c r="B34" s="345">
        <f>+C34*$G$4</f>
        <v>14494.800000000001</v>
      </c>
      <c r="C34" s="206">
        <f>+'PG&amp;E'!D40</f>
        <v>6168</v>
      </c>
      <c r="D34" s="364">
        <f>+'PG&amp;E'!A40</f>
        <v>37318</v>
      </c>
      <c r="E34" s="32" t="s">
        <v>84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204" t="s">
        <v>33</v>
      </c>
      <c r="B35" s="345">
        <f>+'El Paso'!C39*summary!G4+'El Paso'!E39*summary!G3</f>
        <v>9316.8899999999849</v>
      </c>
      <c r="C35" s="275">
        <f>+'El Paso'!H39</f>
        <v>3447</v>
      </c>
      <c r="D35" s="363">
        <f>+'El Paso'!A39</f>
        <v>37318</v>
      </c>
      <c r="E35" s="204" t="s">
        <v>84</v>
      </c>
      <c r="F35" s="204" t="s">
        <v>153</v>
      </c>
      <c r="G35" s="204" t="s">
        <v>100</v>
      </c>
      <c r="H35" s="204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3.5" customHeight="1" x14ac:dyDescent="0.2">
      <c r="A36" s="32" t="s">
        <v>287</v>
      </c>
      <c r="B36" s="345">
        <f>+C36*$G$3</f>
        <v>8294.8000000000011</v>
      </c>
      <c r="C36" s="275">
        <f>+Amoco!D40</f>
        <v>3560</v>
      </c>
      <c r="D36" s="364">
        <f>+Amoco!A40</f>
        <v>37318</v>
      </c>
      <c r="E36" s="32" t="s">
        <v>84</v>
      </c>
      <c r="F36" s="32" t="s">
        <v>152</v>
      </c>
      <c r="G36" s="32" t="s">
        <v>115</v>
      </c>
      <c r="H36" s="204"/>
      <c r="I36" s="204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54" customFormat="1" ht="13.5" customHeight="1" x14ac:dyDescent="0.2">
      <c r="A37" s="32" t="s">
        <v>131</v>
      </c>
      <c r="B37" s="614">
        <f>+SidR!D41</f>
        <v>4582.95</v>
      </c>
      <c r="C37" s="275">
        <f>+B37/$G$5</f>
        <v>1933.7341772151897</v>
      </c>
      <c r="D37" s="364">
        <f>+SidR!A41</f>
        <v>37318</v>
      </c>
      <c r="E37" s="32" t="s">
        <v>85</v>
      </c>
      <c r="F37" s="32" t="s">
        <v>151</v>
      </c>
      <c r="G37" s="32" t="s">
        <v>102</v>
      </c>
      <c r="H37" s="32"/>
      <c r="I37" s="204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">
      <c r="A38" s="32" t="s">
        <v>209</v>
      </c>
      <c r="B38" s="345">
        <f>+Devon!D41</f>
        <v>1032</v>
      </c>
      <c r="C38" s="275">
        <f>+B38/$G$5</f>
        <v>435.44303797468353</v>
      </c>
      <c r="D38" s="364">
        <f>+Devon!A41</f>
        <v>37315</v>
      </c>
      <c r="E38" s="32" t="s">
        <v>85</v>
      </c>
      <c r="F38" s="32" t="s">
        <v>299</v>
      </c>
      <c r="G38" s="32" t="s">
        <v>99</v>
      </c>
      <c r="H38" s="32" t="s">
        <v>310</v>
      </c>
      <c r="I38" s="204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s="554" customFormat="1" ht="13.5" customHeight="1" x14ac:dyDescent="0.2">
      <c r="A39" s="32" t="s">
        <v>94</v>
      </c>
      <c r="B39" s="348">
        <f>+C39*$G$4</f>
        <v>655.65</v>
      </c>
      <c r="C39" s="71">
        <f>+Mojave!D40</f>
        <v>279</v>
      </c>
      <c r="D39" s="364">
        <f>+Mojave!A40</f>
        <v>37318</v>
      </c>
      <c r="E39" s="32" t="s">
        <v>85</v>
      </c>
      <c r="F39" s="32" t="s">
        <v>153</v>
      </c>
      <c r="G39" s="32" t="s">
        <v>100</v>
      </c>
      <c r="H39" s="609" t="s">
        <v>313</v>
      </c>
      <c r="I39" s="249"/>
      <c r="J39" s="204"/>
      <c r="K39" s="204"/>
      <c r="L39" s="204"/>
      <c r="M39" s="204"/>
      <c r="N39" s="469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8" customHeight="1" x14ac:dyDescent="0.2">
      <c r="A40" s="32" t="s">
        <v>96</v>
      </c>
      <c r="B40" s="47">
        <f>SUM(B8:B39)</f>
        <v>3613472.2199999993</v>
      </c>
      <c r="C40" s="69">
        <f>SUM(C8:C39)</f>
        <v>1536242.9499596013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4" t="s">
        <v>89</v>
      </c>
      <c r="B42" s="335" t="s">
        <v>16</v>
      </c>
      <c r="C42" s="336" t="s">
        <v>0</v>
      </c>
      <c r="D42" s="343" t="s">
        <v>145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135</v>
      </c>
      <c r="B43" s="345">
        <f>+Citizens!D18</f>
        <v>-575776.91</v>
      </c>
      <c r="C43" s="206">
        <f>+B43/$G$4</f>
        <v>-245011.45106382979</v>
      </c>
      <c r="D43" s="363">
        <f>+Citizens!A18</f>
        <v>37318</v>
      </c>
      <c r="E43" s="204" t="s">
        <v>85</v>
      </c>
      <c r="F43" s="204" t="s">
        <v>299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5">
        <f>+'NS Steel'!D41</f>
        <v>-255595.05</v>
      </c>
      <c r="C44" s="206">
        <f>+B44/$G$4</f>
        <v>-108763.85106382977</v>
      </c>
      <c r="D44" s="364">
        <f>+'NS Steel'!A41</f>
        <v>37318</v>
      </c>
      <c r="E44" s="32" t="s">
        <v>85</v>
      </c>
      <c r="F44" s="32" t="s">
        <v>153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256</v>
      </c>
      <c r="B45" s="345">
        <f>+MiVida_Rich!D41</f>
        <v>-192285.66</v>
      </c>
      <c r="C45" s="206">
        <f>+B45/$G$5</f>
        <v>-81133.189873417723</v>
      </c>
      <c r="D45" s="363">
        <f>+MiVida_Rich!A41</f>
        <v>37287</v>
      </c>
      <c r="E45" s="204" t="s">
        <v>85</v>
      </c>
      <c r="F45" s="204" t="s">
        <v>151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309</v>
      </c>
      <c r="B46" s="346">
        <f>+Duke!B83</f>
        <v>-124737.52999999991</v>
      </c>
      <c r="C46" s="347">
        <f>+B46/$G$5</f>
        <v>-52631.869198312197</v>
      </c>
      <c r="D46" s="363">
        <f>+DEFS!A40</f>
        <v>37315</v>
      </c>
      <c r="E46" s="204" t="s">
        <v>85</v>
      </c>
      <c r="F46" s="32" t="s">
        <v>152</v>
      </c>
      <c r="G46" s="32" t="s">
        <v>100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5" customFormat="1" ht="13.5" customHeight="1" x14ac:dyDescent="0.2">
      <c r="A47" s="32" t="s">
        <v>215</v>
      </c>
      <c r="B47" s="345">
        <f>+crosstex!F41</f>
        <v>-121179.26</v>
      </c>
      <c r="C47" s="206">
        <f>+B47/$G$4</f>
        <v>-51565.642553191487</v>
      </c>
      <c r="D47" s="364">
        <f>+crosstex!A41</f>
        <v>37315</v>
      </c>
      <c r="E47" s="32" t="s">
        <v>85</v>
      </c>
      <c r="F47" s="32" t="s">
        <v>151</v>
      </c>
      <c r="G47" s="32" t="s">
        <v>100</v>
      </c>
      <c r="H47" s="351"/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204" t="s">
        <v>203</v>
      </c>
      <c r="B48" s="346">
        <f>+WTGmktg!J43</f>
        <v>-28064</v>
      </c>
      <c r="C48" s="206">
        <f>+B48/$G$4</f>
        <v>-11942.127659574468</v>
      </c>
      <c r="D48" s="363">
        <f>+WTGmktg!A43</f>
        <v>37315</v>
      </c>
      <c r="E48" s="32" t="s">
        <v>85</v>
      </c>
      <c r="F48" s="204" t="s">
        <v>152</v>
      </c>
      <c r="G48" s="204" t="s">
        <v>115</v>
      </c>
      <c r="H48" s="204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32" t="s">
        <v>1</v>
      </c>
      <c r="B49" s="345">
        <f>+C49*$G$3</f>
        <v>-26638.89</v>
      </c>
      <c r="C49" s="206">
        <f>+NW!$F$41</f>
        <v>-11433</v>
      </c>
      <c r="D49" s="363">
        <f>+NW!B41</f>
        <v>37318</v>
      </c>
      <c r="E49" s="32" t="s">
        <v>84</v>
      </c>
      <c r="F49" s="32" t="s">
        <v>152</v>
      </c>
      <c r="G49" s="32" t="s">
        <v>115</v>
      </c>
      <c r="H49" s="351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">
      <c r="A50" s="204" t="s">
        <v>95</v>
      </c>
      <c r="B50" s="345">
        <f>+burlington!D42</f>
        <v>-16216.75</v>
      </c>
      <c r="C50" s="275">
        <f>+B50/$G$3</f>
        <v>-6959.9785407725321</v>
      </c>
      <c r="D50" s="363">
        <f>+burlington!A42</f>
        <v>37318</v>
      </c>
      <c r="E50" s="204" t="s">
        <v>85</v>
      </c>
      <c r="F50" s="32" t="s">
        <v>153</v>
      </c>
      <c r="G50" s="32" t="s">
        <v>113</v>
      </c>
      <c r="H50" s="32"/>
      <c r="I50" s="204"/>
      <c r="J50" s="204"/>
      <c r="K50" s="204"/>
      <c r="L50" s="204"/>
      <c r="M50" s="204"/>
      <c r="N50" s="469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32" t="s">
        <v>276</v>
      </c>
      <c r="B51" s="345">
        <f>+SWGasTrans!$D$41</f>
        <v>-11774</v>
      </c>
      <c r="C51" s="275">
        <f>+B51/$G$4</f>
        <v>-5010.2127659574462</v>
      </c>
      <c r="D51" s="363">
        <f>+SWGasTrans!A41</f>
        <v>37315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 t="s">
        <v>242</v>
      </c>
      <c r="N51" s="379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204" t="s">
        <v>127</v>
      </c>
      <c r="B52" s="348">
        <f>+Calpine!D41</f>
        <v>-5434.8</v>
      </c>
      <c r="C52" s="349">
        <f>+B52/$G$4</f>
        <v>-2312.6808510638298</v>
      </c>
      <c r="D52" s="363">
        <f>+Calpine!A41</f>
        <v>37318</v>
      </c>
      <c r="E52" s="204" t="s">
        <v>85</v>
      </c>
      <c r="F52" s="204" t="s">
        <v>152</v>
      </c>
      <c r="G52" s="204" t="s">
        <v>99</v>
      </c>
      <c r="H52" s="204"/>
      <c r="I52" s="32"/>
      <c r="J52" s="32"/>
      <c r="K52" s="32"/>
      <c r="L52" s="32"/>
      <c r="M52" s="32"/>
      <c r="N52" s="379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7">
        <f>SUM(B43:B52)</f>
        <v>-1357702.8499999999</v>
      </c>
      <c r="C53" s="393">
        <f>SUM(C43:C52)</f>
        <v>-576764.0035699493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5"/>
      <c r="C54" s="206"/>
      <c r="D54" s="352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+B53+B40</f>
        <v>2255769.3699999992</v>
      </c>
      <c r="C55" s="354">
        <f>+C53+C40</f>
        <v>959478.94638965197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9" workbookViewId="0">
      <selection activeCell="B45" sqref="B4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/>
      <c r="C7" s="80"/>
      <c r="D7" s="80">
        <f t="shared" si="0"/>
        <v>0</v>
      </c>
    </row>
    <row r="8" spans="1:4" x14ac:dyDescent="0.2">
      <c r="A8" s="32">
        <v>60667</v>
      </c>
      <c r="B8" s="309"/>
      <c r="C8" s="80"/>
      <c r="D8" s="80">
        <f t="shared" si="0"/>
        <v>0</v>
      </c>
    </row>
    <row r="9" spans="1:4" x14ac:dyDescent="0.2">
      <c r="A9" s="32">
        <v>60749</v>
      </c>
      <c r="B9" s="309"/>
      <c r="C9" s="80"/>
      <c r="D9" s="80">
        <f t="shared" si="0"/>
        <v>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/>
      <c r="C11" s="80"/>
      <c r="D11" s="80">
        <f t="shared" si="0"/>
        <v>0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0</v>
      </c>
    </row>
    <row r="19" spans="1:5" x14ac:dyDescent="0.2">
      <c r="A19" s="32" t="s">
        <v>81</v>
      </c>
      <c r="B19" s="69"/>
      <c r="C19" s="69"/>
      <c r="D19" s="73">
        <f>+summary!G4</f>
        <v>2.35</v>
      </c>
    </row>
    <row r="20" spans="1:5" x14ac:dyDescent="0.2">
      <c r="B20" s="69"/>
      <c r="C20" s="69"/>
      <c r="D20" s="75">
        <f>+D19*D18</f>
        <v>0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98">
        <v>33520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37315</v>
      </c>
      <c r="B24" s="69"/>
      <c r="C24" s="69"/>
      <c r="D24" s="331">
        <f>+D22+D20</f>
        <v>33520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85">
        <v>15258</v>
      </c>
    </row>
    <row r="33" spans="1:4" x14ac:dyDescent="0.2">
      <c r="A33" s="49">
        <f>+A24</f>
        <v>37315</v>
      </c>
      <c r="D33" s="349">
        <f>+D18</f>
        <v>0</v>
      </c>
    </row>
    <row r="34" spans="1:4" x14ac:dyDescent="0.2">
      <c r="D34" s="14">
        <f>+D33+D32</f>
        <v>15258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7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-21760</v>
      </c>
      <c r="C5" s="90">
        <v>-14616</v>
      </c>
      <c r="D5" s="90">
        <f t="shared" ref="D5:D13" si="0">+C5-B5</f>
        <v>7144</v>
      </c>
      <c r="E5" s="69"/>
      <c r="F5" s="201"/>
    </row>
    <row r="6" spans="1:11" x14ac:dyDescent="0.2">
      <c r="A6" s="87">
        <v>9238</v>
      </c>
      <c r="B6" s="90">
        <v>-2175</v>
      </c>
      <c r="C6" s="90">
        <v>-3000</v>
      </c>
      <c r="D6" s="90">
        <f t="shared" si="0"/>
        <v>-825</v>
      </c>
      <c r="E6" s="275"/>
      <c r="F6" s="201"/>
      <c r="K6" s="65"/>
    </row>
    <row r="7" spans="1:11" x14ac:dyDescent="0.2">
      <c r="A7" s="87">
        <v>56422</v>
      </c>
      <c r="B7" s="90">
        <v>-279669</v>
      </c>
      <c r="C7" s="90">
        <v>-267995</v>
      </c>
      <c r="D7" s="90">
        <f t="shared" si="0"/>
        <v>11674</v>
      </c>
      <c r="E7" s="275"/>
      <c r="F7" s="201"/>
    </row>
    <row r="8" spans="1:11" x14ac:dyDescent="0.2">
      <c r="A8" s="87">
        <v>58710</v>
      </c>
      <c r="B8" s="90"/>
      <c r="C8" s="90">
        <v>-204</v>
      </c>
      <c r="D8" s="90">
        <f t="shared" si="0"/>
        <v>-204</v>
      </c>
      <c r="E8" s="275"/>
      <c r="F8" s="201"/>
    </row>
    <row r="9" spans="1:11" x14ac:dyDescent="0.2">
      <c r="A9" s="87">
        <v>60921</v>
      </c>
      <c r="B9" s="90">
        <v>-253136</v>
      </c>
      <c r="C9" s="90">
        <v>-277604</v>
      </c>
      <c r="D9" s="90">
        <f t="shared" si="0"/>
        <v>-24468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5"/>
    </row>
    <row r="11" spans="1:11" x14ac:dyDescent="0.2">
      <c r="A11" s="87">
        <v>500084</v>
      </c>
      <c r="B11" s="90">
        <v>-7026</v>
      </c>
      <c r="C11" s="90">
        <v>-3000</v>
      </c>
      <c r="D11" s="90">
        <f t="shared" si="0"/>
        <v>4026</v>
      </c>
      <c r="E11" s="276"/>
      <c r="F11" s="465"/>
    </row>
    <row r="12" spans="1:11" x14ac:dyDescent="0.2">
      <c r="A12" s="317">
        <v>500085</v>
      </c>
      <c r="B12" s="90"/>
      <c r="C12" s="90"/>
      <c r="D12" s="90">
        <f t="shared" si="0"/>
        <v>0</v>
      </c>
      <c r="E12" s="275"/>
      <c r="F12" s="465"/>
    </row>
    <row r="13" spans="1:11" x14ac:dyDescent="0.2">
      <c r="A13" s="87">
        <v>500097</v>
      </c>
      <c r="B13" s="90">
        <v>-6387</v>
      </c>
      <c r="C13" s="90">
        <v>-8000</v>
      </c>
      <c r="D13" s="90">
        <f t="shared" si="0"/>
        <v>-1613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-4266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2.35</v>
      </c>
      <c r="E18" s="277"/>
      <c r="F18" s="465"/>
    </row>
    <row r="19" spans="1:7" x14ac:dyDescent="0.2">
      <c r="A19" s="87"/>
      <c r="B19" s="88"/>
      <c r="C19" s="88"/>
      <c r="D19" s="96">
        <f>+D18*D17</f>
        <v>-10025.1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62">
        <v>829704.21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37318</v>
      </c>
      <c r="B23" s="88"/>
      <c r="C23" s="88"/>
      <c r="D23" s="318">
        <f>+D21+D19</f>
        <v>819679.11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485">
        <v>337548</v>
      </c>
    </row>
    <row r="29" spans="1:7" x14ac:dyDescent="0.2">
      <c r="A29" s="49">
        <f>+A23</f>
        <v>37318</v>
      </c>
      <c r="B29" s="32"/>
      <c r="C29" s="32"/>
      <c r="D29" s="349">
        <f>+D17</f>
        <v>-4266</v>
      </c>
    </row>
    <row r="30" spans="1:7" x14ac:dyDescent="0.2">
      <c r="A30" s="32"/>
      <c r="B30" s="32"/>
      <c r="C30" s="32"/>
      <c r="D30" s="14">
        <f>+D29+D28</f>
        <v>333282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2.4594160800763318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C6" sqref="C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/>
      <c r="C6" s="90"/>
      <c r="D6" s="90"/>
      <c r="E6" s="90"/>
      <c r="F6" s="90"/>
      <c r="G6" s="90"/>
      <c r="H6" s="90">
        <f t="shared" si="0"/>
        <v>0</v>
      </c>
      <c r="K6" t="s">
        <v>234</v>
      </c>
      <c r="R6" t="s">
        <v>235</v>
      </c>
    </row>
    <row r="7" spans="1:26" x14ac:dyDescent="0.2">
      <c r="A7">
        <v>5</v>
      </c>
      <c r="B7" s="90"/>
      <c r="C7" s="90"/>
      <c r="D7" s="90"/>
      <c r="E7" s="90"/>
      <c r="F7" s="90"/>
      <c r="G7" s="90"/>
      <c r="H7" s="90">
        <f t="shared" si="0"/>
        <v>0</v>
      </c>
    </row>
    <row r="8" spans="1:26" x14ac:dyDescent="0.2">
      <c r="A8">
        <v>6</v>
      </c>
      <c r="B8" s="90"/>
      <c r="C8" s="90"/>
      <c r="D8" s="90"/>
      <c r="E8" s="90"/>
      <c r="F8" s="90"/>
      <c r="G8" s="90"/>
      <c r="H8" s="90">
        <f t="shared" si="0"/>
        <v>0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/>
      <c r="C9" s="90"/>
      <c r="D9" s="90"/>
      <c r="E9" s="90"/>
      <c r="F9" s="90"/>
      <c r="G9" s="90"/>
      <c r="H9" s="90">
        <f t="shared" si="0"/>
        <v>0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/>
      <c r="C10" s="90"/>
      <c r="D10" s="90"/>
      <c r="E10" s="90"/>
      <c r="F10" s="90"/>
      <c r="G10" s="90"/>
      <c r="H10" s="90">
        <f t="shared" si="0"/>
        <v>0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/>
      <c r="C11" s="90"/>
      <c r="D11" s="90"/>
      <c r="E11" s="90"/>
      <c r="F11" s="90"/>
      <c r="G11" s="90"/>
      <c r="H11" s="90">
        <f t="shared" si="0"/>
        <v>0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/>
      <c r="C12" s="90"/>
      <c r="D12" s="90"/>
      <c r="E12" s="90"/>
      <c r="F12" s="90"/>
      <c r="G12" s="90"/>
      <c r="H12" s="90">
        <f t="shared" si="0"/>
        <v>0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109943</v>
      </c>
      <c r="C34" s="287">
        <f t="shared" si="2"/>
        <v>109833</v>
      </c>
      <c r="D34" s="14">
        <f t="shared" si="2"/>
        <v>-62566</v>
      </c>
      <c r="E34" s="14">
        <f t="shared" si="2"/>
        <v>-64614</v>
      </c>
      <c r="F34" s="14">
        <f t="shared" si="2"/>
        <v>81882</v>
      </c>
      <c r="G34" s="14">
        <f t="shared" si="2"/>
        <v>82446</v>
      </c>
      <c r="H34" s="14">
        <f t="shared" si="2"/>
        <v>-1594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76">
        <v>45621</v>
      </c>
      <c r="O37" s="259"/>
      <c r="P37" s="259"/>
      <c r="Q37" s="259"/>
      <c r="V37" s="259"/>
      <c r="W37" s="259"/>
    </row>
    <row r="38" spans="1:23" x14ac:dyDescent="0.2">
      <c r="A38" s="542">
        <v>37318</v>
      </c>
      <c r="B38" s="14"/>
      <c r="C38" s="14"/>
      <c r="D38" s="14"/>
      <c r="E38" s="14"/>
      <c r="F38" s="14"/>
      <c r="G38" s="14"/>
      <c r="H38" s="150">
        <f>+H37+H34</f>
        <v>44027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73">
        <v>146195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37318</v>
      </c>
      <c r="B44" s="32"/>
      <c r="C44" s="32"/>
      <c r="D44" s="374">
        <f>+H34*'by type_area'!G4</f>
        <v>-3745.9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142449.1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D44" sqref="D4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-59992</v>
      </c>
      <c r="C35" s="11">
        <f>SUM(C4:C34)</f>
        <v>-59713</v>
      </c>
      <c r="D35" s="11">
        <f>SUM(D4:D34)</f>
        <v>279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8">
        <v>0</v>
      </c>
    </row>
    <row r="39" spans="1:4" x14ac:dyDescent="0.2">
      <c r="A39" s="2"/>
      <c r="D39" s="24"/>
    </row>
    <row r="40" spans="1:4" x14ac:dyDescent="0.2">
      <c r="A40" s="57">
        <v>37318</v>
      </c>
      <c r="D40" s="51">
        <f>+D38+D35</f>
        <v>279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7">
        <v>0</v>
      </c>
    </row>
    <row r="46" spans="1:4" x14ac:dyDescent="0.2">
      <c r="A46" s="49">
        <f>+A40</f>
        <v>37318</v>
      </c>
      <c r="B46" s="32"/>
      <c r="C46" s="32"/>
      <c r="D46" s="374">
        <f>+D35*'by type_area'!G4</f>
        <v>655.65</v>
      </c>
    </row>
    <row r="47" spans="1:4" x14ac:dyDescent="0.2">
      <c r="A47" s="32"/>
      <c r="B47" s="32"/>
      <c r="C47" s="32"/>
      <c r="D47" s="200">
        <f>+D46+D45</f>
        <v>655.65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2.35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484">
        <v>32454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37315</v>
      </c>
      <c r="J41" s="319">
        <f>+J39+J37</f>
        <v>32454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485">
        <v>-112209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37315</v>
      </c>
      <c r="B47" s="32"/>
      <c r="C47" s="32"/>
      <c r="D47" s="349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-112209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1" sqref="A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615">
        <v>37315</v>
      </c>
      <c r="E40" s="14"/>
      <c r="F40" s="568">
        <v>316512.05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37315</v>
      </c>
      <c r="E41" s="14"/>
      <c r="F41" s="104">
        <f>+F40+F39</f>
        <v>316512.05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-43147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37315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-43147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31" sqref="E3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+summary!G4</f>
        <v>2.35</v>
      </c>
    </row>
    <row r="41" spans="1:6" x14ac:dyDescent="0.2">
      <c r="F41" s="138">
        <f>+F40*F39</f>
        <v>0</v>
      </c>
    </row>
    <row r="42" spans="1:6" x14ac:dyDescent="0.2">
      <c r="A42" s="57">
        <v>37315</v>
      </c>
      <c r="C42" s="15"/>
      <c r="F42" s="570">
        <v>49675</v>
      </c>
    </row>
    <row r="43" spans="1:6" x14ac:dyDescent="0.2">
      <c r="A43" s="57">
        <v>37315</v>
      </c>
      <c r="C43" s="48"/>
      <c r="F43" s="138">
        <f>+F42+F41</f>
        <v>49675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485">
        <v>7844</v>
      </c>
    </row>
    <row r="49" spans="1:4" x14ac:dyDescent="0.2">
      <c r="A49" s="49">
        <f>+A43</f>
        <v>37315</v>
      </c>
      <c r="B49" s="32"/>
      <c r="C49" s="32"/>
      <c r="D49" s="349">
        <f>+F39</f>
        <v>0</v>
      </c>
    </row>
    <row r="50" spans="1:4" x14ac:dyDescent="0.2">
      <c r="A50" s="32"/>
      <c r="B50" s="32"/>
      <c r="C50" s="32"/>
      <c r="D50" s="14">
        <f>+D49+D48</f>
        <v>7844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2" sqref="A42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37315</v>
      </c>
      <c r="C41" s="15"/>
      <c r="D41" s="456">
        <v>17587</v>
      </c>
    </row>
    <row r="42" spans="1:4" x14ac:dyDescent="0.2">
      <c r="A42" s="57">
        <v>37315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9">
        <v>385897</v>
      </c>
    </row>
    <row r="48" spans="1:4" x14ac:dyDescent="0.2">
      <c r="A48" s="49">
        <f>+A42</f>
        <v>37315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0" workbookViewId="0">
      <selection activeCell="C30" sqref="C3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-254532</v>
      </c>
      <c r="I19" s="119">
        <f>+C37</f>
        <v>-255900</v>
      </c>
      <c r="J19" s="119">
        <f>+I19-H19</f>
        <v>-1368</v>
      </c>
      <c r="K19" s="411">
        <f>+D38</f>
        <v>2.35</v>
      </c>
      <c r="L19" s="416">
        <f>+K19*J19</f>
        <v>-3214.8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129124</v>
      </c>
      <c r="K24" s="407"/>
      <c r="L24" s="110">
        <f>+L19+L17</f>
        <v>78470.299999999828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33391.617021276521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-254532</v>
      </c>
      <c r="C37" s="11">
        <f>SUM(C6:C36)</f>
        <v>-255900</v>
      </c>
      <c r="D37" s="25">
        <f>SUM(D6:D36)</f>
        <v>-1368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-3214.8</v>
      </c>
    </row>
    <row r="40" spans="1:4" x14ac:dyDescent="0.2">
      <c r="A40" s="57">
        <v>37315</v>
      </c>
      <c r="C40" s="15"/>
      <c r="D40" s="590">
        <v>-2220</v>
      </c>
    </row>
    <row r="41" spans="1:4" x14ac:dyDescent="0.2">
      <c r="A41" s="57">
        <v>37318</v>
      </c>
      <c r="C41" s="48"/>
      <c r="D41" s="138">
        <f>+D40+D39</f>
        <v>-5434.8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94419</v>
      </c>
    </row>
    <row r="46" spans="1:4" x14ac:dyDescent="0.2">
      <c r="A46" s="49">
        <f>+A41</f>
        <v>37318</v>
      </c>
      <c r="B46" s="32"/>
      <c r="C46" s="32"/>
      <c r="D46" s="349">
        <f>+D37</f>
        <v>-1368</v>
      </c>
    </row>
    <row r="47" spans="1:4" x14ac:dyDescent="0.2">
      <c r="A47" s="32"/>
      <c r="B47" s="32"/>
      <c r="C47" s="32"/>
      <c r="D47" s="14">
        <f>+D46+D45</f>
        <v>93051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115888</v>
      </c>
      <c r="C37" s="11">
        <f>SUM(C6:C36)</f>
        <v>105000</v>
      </c>
      <c r="D37" s="25">
        <f>SUM(D6:D36)</f>
        <v>-10888</v>
      </c>
    </row>
    <row r="38" spans="1:4" x14ac:dyDescent="0.2">
      <c r="A38" s="26"/>
      <c r="B38" s="31"/>
      <c r="C38" s="14"/>
      <c r="D38" s="326">
        <f>+summary!G5</f>
        <v>2.37</v>
      </c>
    </row>
    <row r="39" spans="1:4" x14ac:dyDescent="0.2">
      <c r="D39" s="138">
        <f>+D38*D37</f>
        <v>-25804.560000000001</v>
      </c>
    </row>
    <row r="40" spans="1:4" x14ac:dyDescent="0.2">
      <c r="A40" s="57">
        <v>37315</v>
      </c>
      <c r="C40" s="15"/>
      <c r="D40" s="590">
        <v>100916</v>
      </c>
    </row>
    <row r="41" spans="1:4" x14ac:dyDescent="0.2">
      <c r="A41" s="57">
        <v>37318</v>
      </c>
      <c r="C41" s="48"/>
      <c r="D41" s="138">
        <f>+D40+D39</f>
        <v>75111.44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93375</v>
      </c>
    </row>
    <row r="46" spans="1:4" x14ac:dyDescent="0.2">
      <c r="A46" s="49">
        <f>+A41</f>
        <v>37318</v>
      </c>
      <c r="B46" s="32"/>
      <c r="C46" s="32"/>
      <c r="D46" s="349">
        <f>+D37</f>
        <v>-10888</v>
      </c>
    </row>
    <row r="47" spans="1:4" x14ac:dyDescent="0.2">
      <c r="A47" s="32"/>
      <c r="B47" s="32"/>
      <c r="C47" s="32"/>
      <c r="D47" s="14">
        <f>+D46+D45</f>
        <v>82487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J39" sqref="J3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1005116</v>
      </c>
      <c r="C35" s="11">
        <f t="shared" ref="C35:I35" si="3">SUM(C4:C34)</f>
        <v>973306</v>
      </c>
      <c r="D35" s="11">
        <f t="shared" si="3"/>
        <v>0</v>
      </c>
      <c r="E35" s="11">
        <f t="shared" si="3"/>
        <v>41874</v>
      </c>
      <c r="F35" s="11">
        <f t="shared" si="3"/>
        <v>105001</v>
      </c>
      <c r="G35" s="11">
        <f t="shared" si="3"/>
        <v>109671</v>
      </c>
      <c r="H35" s="11">
        <f t="shared" si="3"/>
        <v>444351</v>
      </c>
      <c r="I35" s="11">
        <f t="shared" si="3"/>
        <v>451927</v>
      </c>
      <c r="J35" s="11">
        <f>SUM(J4:J34)</f>
        <v>22310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71"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37318</v>
      </c>
      <c r="J40" s="51">
        <f>+J38+J35</f>
        <v>22310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74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37318</v>
      </c>
      <c r="B47" s="32"/>
      <c r="C47" s="32"/>
      <c r="D47" s="374">
        <f>+J35*'by type_area'!G3</f>
        <v>51982.3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136443.29999999999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8"/>
    </row>
    <row r="9" spans="1:6" x14ac:dyDescent="0.2">
      <c r="A9" s="10">
        <v>4</v>
      </c>
      <c r="B9" s="11"/>
      <c r="C9" s="11"/>
      <c r="D9" s="25">
        <f t="shared" si="0"/>
        <v>0</v>
      </c>
      <c r="F9" s="558"/>
    </row>
    <row r="10" spans="1:6" x14ac:dyDescent="0.2">
      <c r="A10" s="10">
        <v>5</v>
      </c>
      <c r="B10" s="11"/>
      <c r="C10" s="11"/>
      <c r="D10" s="25">
        <f t="shared" si="0"/>
        <v>0</v>
      </c>
      <c r="F10" s="559"/>
    </row>
    <row r="11" spans="1:6" x14ac:dyDescent="0.2">
      <c r="A11" s="10">
        <v>6</v>
      </c>
      <c r="B11" s="11"/>
      <c r="C11" s="11"/>
      <c r="D11" s="25">
        <f t="shared" si="0"/>
        <v>0</v>
      </c>
      <c r="F11" s="559"/>
    </row>
    <row r="12" spans="1:6" x14ac:dyDescent="0.2">
      <c r="A12" s="10">
        <v>7</v>
      </c>
      <c r="B12" s="11"/>
      <c r="C12" s="11"/>
      <c r="D12" s="25">
        <f t="shared" si="0"/>
        <v>0</v>
      </c>
      <c r="F12" s="559"/>
    </row>
    <row r="13" spans="1:6" x14ac:dyDescent="0.2">
      <c r="A13" s="10">
        <v>8</v>
      </c>
      <c r="B13" s="11"/>
      <c r="C13" s="11"/>
      <c r="D13" s="25">
        <f t="shared" si="0"/>
        <v>0</v>
      </c>
      <c r="F13" s="559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162527</v>
      </c>
      <c r="C37" s="11">
        <f>SUM(C6:C36)</f>
        <v>160662</v>
      </c>
      <c r="D37" s="25">
        <f>SUM(D6:D36)</f>
        <v>-1865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-4420.05</v>
      </c>
    </row>
    <row r="40" spans="1:4" x14ac:dyDescent="0.2">
      <c r="A40" s="57">
        <v>37315</v>
      </c>
      <c r="C40" s="15"/>
      <c r="D40" s="599">
        <v>9003</v>
      </c>
    </row>
    <row r="41" spans="1:4" x14ac:dyDescent="0.2">
      <c r="A41" s="57">
        <v>37318</v>
      </c>
      <c r="C41" s="48"/>
      <c r="D41" s="138">
        <f>+D40+D39</f>
        <v>4582.95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4076</v>
      </c>
    </row>
    <row r="47" spans="1:4" x14ac:dyDescent="0.2">
      <c r="A47" s="49">
        <f>+A41</f>
        <v>37318</v>
      </c>
      <c r="B47" s="32"/>
      <c r="C47" s="32"/>
      <c r="D47" s="349">
        <f>+D37</f>
        <v>-1865</v>
      </c>
    </row>
    <row r="48" spans="1:4" x14ac:dyDescent="0.2">
      <c r="A48" s="32"/>
      <c r="B48" s="32"/>
      <c r="C48" s="32"/>
      <c r="D48" s="14">
        <f>+D47+D46</f>
        <v>2211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2" sqref="C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-2511</v>
      </c>
      <c r="C37" s="11">
        <f>SUM(C6:C36)</f>
        <v>-3114</v>
      </c>
      <c r="D37" s="25">
        <f>SUM(D6:D36)</f>
        <v>-603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-1417.05</v>
      </c>
    </row>
    <row r="40" spans="1:4" x14ac:dyDescent="0.2">
      <c r="A40" s="57">
        <v>37315</v>
      </c>
      <c r="C40" s="15"/>
      <c r="D40" s="570">
        <v>-254178</v>
      </c>
    </row>
    <row r="41" spans="1:4" x14ac:dyDescent="0.2">
      <c r="A41" s="57">
        <v>37318</v>
      </c>
      <c r="C41" s="48"/>
      <c r="D41" s="138">
        <f>+D40+D39</f>
        <v>-255595.05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567">
        <v>3974</v>
      </c>
    </row>
    <row r="49" spans="1:4" x14ac:dyDescent="0.2">
      <c r="A49" s="49">
        <f>+A41</f>
        <v>37318</v>
      </c>
      <c r="B49" s="32"/>
      <c r="C49" s="32"/>
      <c r="D49" s="349">
        <f>+D37</f>
        <v>-603</v>
      </c>
    </row>
    <row r="50" spans="1:4" x14ac:dyDescent="0.2">
      <c r="A50" s="32"/>
      <c r="B50" s="32"/>
      <c r="C50" s="32"/>
      <c r="D50" s="14">
        <f>+D49+D48</f>
        <v>3371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-98563</v>
      </c>
      <c r="C37" s="11">
        <f>SUM(C6:C36)</f>
        <v>-107000</v>
      </c>
      <c r="D37" s="25">
        <f>SUM(D6:D36)</f>
        <v>-8437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-19826.95</v>
      </c>
    </row>
    <row r="40" spans="1:4" x14ac:dyDescent="0.2">
      <c r="A40" s="57">
        <v>37315</v>
      </c>
      <c r="C40" s="15"/>
      <c r="D40" s="570">
        <v>61952</v>
      </c>
    </row>
    <row r="41" spans="1:4" x14ac:dyDescent="0.2">
      <c r="A41" s="57">
        <v>37318</v>
      </c>
      <c r="C41" s="48"/>
      <c r="D41" s="138">
        <f>+D40+D39</f>
        <v>42125.05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67">
        <v>33105</v>
      </c>
    </row>
    <row r="47" spans="1:4" x14ac:dyDescent="0.2">
      <c r="A47" s="49">
        <f>+A41</f>
        <v>37318</v>
      </c>
      <c r="B47" s="32"/>
      <c r="C47" s="32"/>
      <c r="D47" s="349">
        <f>+D37</f>
        <v>-8437</v>
      </c>
    </row>
    <row r="48" spans="1:4" x14ac:dyDescent="0.2">
      <c r="A48" s="32"/>
      <c r="B48" s="32"/>
      <c r="C48" s="32"/>
      <c r="D48" s="14">
        <f>+D47+D46</f>
        <v>24668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-2847</v>
      </c>
      <c r="C6" s="90"/>
      <c r="D6" s="90">
        <f t="shared" ref="D6:D11" si="0">+C6-B6</f>
        <v>2847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-3944</v>
      </c>
      <c r="C8" s="90">
        <v>-5136</v>
      </c>
      <c r="D8" s="90">
        <f t="shared" si="0"/>
        <v>-1192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1277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2.35</v>
      </c>
      <c r="E13" s="277"/>
      <c r="F13" s="273"/>
    </row>
    <row r="14" spans="1:13" x14ac:dyDescent="0.2">
      <c r="A14" s="87"/>
      <c r="B14" s="88"/>
      <c r="C14" s="88"/>
      <c r="D14" s="96">
        <f>+D13*D12</f>
        <v>3000.9500000000003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7">
        <v>-578777.86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37318</v>
      </c>
      <c r="B18" s="88"/>
      <c r="C18" s="88"/>
      <c r="D18" s="318">
        <f>+D16+D14</f>
        <v>-575776.91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567">
        <v>-56360</v>
      </c>
    </row>
    <row r="23" spans="1:7" x14ac:dyDescent="0.2">
      <c r="A23" s="49"/>
      <c r="B23" s="32"/>
      <c r="C23" s="32"/>
      <c r="D23" s="349">
        <f>+D12</f>
        <v>1277</v>
      </c>
    </row>
    <row r="24" spans="1:7" x14ac:dyDescent="0.2">
      <c r="A24" s="49">
        <f>+A18</f>
        <v>37318</v>
      </c>
      <c r="B24" s="32"/>
      <c r="C24" s="32"/>
      <c r="D24" s="14">
        <f>+D23+D22</f>
        <v>-55083</v>
      </c>
      <c r="E24" s="344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10.452896719496033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2" sqref="C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-128033</v>
      </c>
      <c r="C37" s="11">
        <f>SUM(C6:C36)</f>
        <v>-125180</v>
      </c>
      <c r="D37" s="25">
        <f>SUM(D6:D36)</f>
        <v>2853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71">
        <v>4475</v>
      </c>
    </row>
    <row r="41" spans="1:4" x14ac:dyDescent="0.2">
      <c r="A41" s="57">
        <v>37318</v>
      </c>
      <c r="C41" s="48"/>
      <c r="D41" s="25">
        <f>+D40+D37</f>
        <v>7328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3">
        <v>154736</v>
      </c>
    </row>
    <row r="46" spans="1:4" x14ac:dyDescent="0.2">
      <c r="A46" s="49">
        <f>+A41</f>
        <v>37318</v>
      </c>
      <c r="B46" s="32"/>
      <c r="C46" s="32"/>
      <c r="D46" s="374">
        <f>+D37*'by type_area'!G4</f>
        <v>6704.55</v>
      </c>
    </row>
    <row r="47" spans="1:4" x14ac:dyDescent="0.2">
      <c r="A47" s="32"/>
      <c r="B47" s="32"/>
      <c r="C47" s="32"/>
      <c r="D47" s="200">
        <f>+D46+D45</f>
        <v>161440.54999999999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B6" sqref="B6:I3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/>
      <c r="C6" s="11"/>
      <c r="D6" s="11"/>
      <c r="E6" s="11"/>
      <c r="F6" s="11"/>
      <c r="G6" s="11"/>
      <c r="H6" s="11"/>
      <c r="I6" s="11"/>
      <c r="J6" s="11">
        <f>+I6+G6+E6+C6-H6-F6-D6-B6</f>
        <v>0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/>
      <c r="C7" s="11"/>
      <c r="D7" s="11"/>
      <c r="E7" s="11"/>
      <c r="F7" s="11"/>
      <c r="G7" s="11"/>
      <c r="H7" s="11"/>
      <c r="I7" s="11"/>
      <c r="J7" s="11">
        <f t="shared" ref="J7:J36" si="0">+I7+G7+E7+C7-H7-F7-D7-B7</f>
        <v>0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/>
      <c r="C8" s="11"/>
      <c r="D8" s="11"/>
      <c r="E8" s="11"/>
      <c r="F8" s="11"/>
      <c r="G8" s="11"/>
      <c r="H8" s="11"/>
      <c r="I8" s="11"/>
      <c r="J8" s="11">
        <f t="shared" si="0"/>
        <v>0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0</v>
      </c>
      <c r="C37" s="11">
        <f t="shared" ref="C37:I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2.35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0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573">
        <v>-28064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37315</v>
      </c>
      <c r="J43" s="319">
        <f>+J41+J39</f>
        <v>-28064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567">
        <v>98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37315</v>
      </c>
      <c r="B49" s="32"/>
      <c r="C49" s="32"/>
      <c r="D49" s="349">
        <f>+J37</f>
        <v>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98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G1" workbookViewId="0">
      <selection activeCell="L29" sqref="L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/>
      <c r="M6" s="11"/>
      <c r="N6" s="11">
        <f>+M6+K6+I6+G6+E6+C6-L6-J6-H6-F6-D6-B6</f>
        <v>0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/>
      <c r="M7" s="11"/>
      <c r="N7" s="11">
        <f t="shared" ref="N7:N36" si="0">+M7+K7+I7+G7+E7+C7-L7-J7-H7-F7-D7-B7</f>
        <v>0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/>
      <c r="M8" s="11"/>
      <c r="N8" s="11">
        <f t="shared" si="0"/>
        <v>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0</v>
      </c>
      <c r="M37" s="11">
        <f>SUM(M6:M36)</f>
        <v>0</v>
      </c>
      <c r="N37" s="11">
        <f t="shared" si="1"/>
        <v>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2.35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0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484">
        <v>20990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37315</v>
      </c>
      <c r="N43" s="319">
        <f>+N41+N39</f>
        <v>20990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485">
        <v>6566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37315</v>
      </c>
      <c r="B49" s="32"/>
      <c r="C49" s="32"/>
      <c r="D49" s="349">
        <f>+N37</f>
        <v>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6566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9" sqref="B2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590">
        <v>171935</v>
      </c>
    </row>
    <row r="41" spans="1:4" x14ac:dyDescent="0.2">
      <c r="A41" s="57">
        <v>37315</v>
      </c>
      <c r="C41" s="48"/>
      <c r="D41" s="138">
        <f>+D40+D39</f>
        <v>171935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75136</v>
      </c>
    </row>
    <row r="47" spans="1:4" x14ac:dyDescent="0.2">
      <c r="A47" s="49">
        <f>+A41</f>
        <v>37315</v>
      </c>
      <c r="B47" s="32"/>
      <c r="C47" s="32"/>
      <c r="D47" s="349">
        <f>+D37</f>
        <v>0</v>
      </c>
    </row>
    <row r="48" spans="1:4" x14ac:dyDescent="0.2">
      <c r="A48" s="32"/>
      <c r="B48" s="32"/>
      <c r="C48" s="32"/>
      <c r="D48" s="14">
        <f>+D47+D46</f>
        <v>75136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C8" sqref="C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590">
        <v>1032</v>
      </c>
    </row>
    <row r="41" spans="1:4" x14ac:dyDescent="0.2">
      <c r="A41" s="57">
        <v>37315</v>
      </c>
      <c r="C41" s="48"/>
      <c r="D41" s="138">
        <f>+D40+D39</f>
        <v>1032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487</v>
      </c>
    </row>
    <row r="47" spans="1:4" x14ac:dyDescent="0.2">
      <c r="A47" s="49">
        <f>+A41</f>
        <v>37315</v>
      </c>
      <c r="B47" s="32"/>
      <c r="C47" s="32"/>
      <c r="D47" s="349">
        <f>+D37</f>
        <v>0</v>
      </c>
    </row>
    <row r="48" spans="1:4" x14ac:dyDescent="0.2">
      <c r="A48" s="32"/>
      <c r="B48" s="32"/>
      <c r="C48" s="32"/>
      <c r="D48" s="14">
        <f>+D47+D46</f>
        <v>487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B43" sqref="B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-110699</v>
      </c>
      <c r="C36" s="44">
        <f>SUM(C5:C35)</f>
        <v>-122151</v>
      </c>
      <c r="D36" s="43">
        <f>SUM(D5:D35)</f>
        <v>-132968</v>
      </c>
      <c r="E36" s="43">
        <f>SUM(E5:E35)</f>
        <v>-142900</v>
      </c>
      <c r="F36" s="11">
        <f>SUM(F5:F35)</f>
        <v>-21384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2.37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-50680.08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60"/>
      <c r="D42" s="111"/>
      <c r="E42" s="460"/>
      <c r="F42" s="565">
        <v>53045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37318</v>
      </c>
      <c r="B43" s="32"/>
      <c r="C43" s="106"/>
      <c r="D43" s="106"/>
      <c r="E43" s="106"/>
      <c r="F43" s="24">
        <f>+F42+F36</f>
        <v>31661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6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37318</v>
      </c>
      <c r="B49" s="32"/>
      <c r="C49" s="32"/>
      <c r="D49" s="76">
        <f>+F36</f>
        <v>-21384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68909.960000000006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B6" sqref="B6:E3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37315</v>
      </c>
      <c r="C40" s="319"/>
      <c r="D40" s="262"/>
      <c r="E40" s="262"/>
      <c r="F40" s="568">
        <v>-121179.26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37315</v>
      </c>
      <c r="C41" s="319"/>
      <c r="D41" s="262"/>
      <c r="E41" s="262"/>
      <c r="F41" s="104">
        <f>+F40+F39</f>
        <v>-121179.26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-35044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37315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-35044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B48" sqref="B48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314</v>
      </c>
      <c r="D5" s="121" t="s">
        <v>19</v>
      </c>
      <c r="E5" s="121" t="s">
        <v>314</v>
      </c>
      <c r="F5" s="121" t="s">
        <v>19</v>
      </c>
      <c r="G5" s="121" t="s">
        <v>314</v>
      </c>
      <c r="H5" s="121" t="s">
        <v>19</v>
      </c>
      <c r="I5" s="121" t="s">
        <v>314</v>
      </c>
      <c r="J5" s="121" t="s">
        <v>19</v>
      </c>
      <c r="K5" s="121" t="s">
        <v>314</v>
      </c>
      <c r="L5" s="121" t="s">
        <v>19</v>
      </c>
      <c r="M5" s="121" t="s">
        <v>314</v>
      </c>
      <c r="N5" s="121" t="s">
        <v>19</v>
      </c>
      <c r="O5" s="121" t="s">
        <v>314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0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0</v>
      </c>
      <c r="C37" s="24">
        <f t="shared" si="1"/>
        <v>0</v>
      </c>
      <c r="D37" s="24">
        <f t="shared" si="1"/>
        <v>0</v>
      </c>
      <c r="E37" s="24">
        <f t="shared" si="1"/>
        <v>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2.35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0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37315</v>
      </c>
      <c r="E40" s="14"/>
      <c r="O40" s="441"/>
      <c r="P40" s="568">
        <v>141715.48000000001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37315</v>
      </c>
      <c r="E41" s="14"/>
      <c r="O41" s="441"/>
      <c r="P41" s="104">
        <f>+P40+P39</f>
        <v>141715.48000000001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67">
        <v>61661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37315</v>
      </c>
      <c r="B47" s="32"/>
      <c r="C47" s="32"/>
      <c r="D47" s="349">
        <f>+P37</f>
        <v>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61661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2.2983000600055141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6" sqref="B6: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590">
        <v>-11774</v>
      </c>
    </row>
    <row r="41" spans="1:4" x14ac:dyDescent="0.2">
      <c r="A41" s="57">
        <v>37315</v>
      </c>
      <c r="C41" s="48"/>
      <c r="D41" s="138">
        <f>+D40+D39</f>
        <v>-11774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7289</v>
      </c>
    </row>
    <row r="47" spans="1:4" x14ac:dyDescent="0.2">
      <c r="A47" s="49">
        <f>+A41</f>
        <v>37315</v>
      </c>
      <c r="B47" s="32"/>
      <c r="C47" s="32"/>
      <c r="D47" s="349">
        <f>+D37</f>
        <v>0</v>
      </c>
    </row>
    <row r="48" spans="1:4" x14ac:dyDescent="0.2">
      <c r="A48" s="32"/>
      <c r="B48" s="32"/>
      <c r="C48" s="32"/>
      <c r="D48" s="14">
        <f>+D47+D46</f>
        <v>7289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9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2.37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9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278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280</v>
      </c>
      <c r="C4" s="521"/>
      <c r="D4" s="522" t="s">
        <v>281</v>
      </c>
      <c r="E4" s="521"/>
      <c r="F4" s="522" t="s">
        <v>282</v>
      </c>
      <c r="G4" s="521"/>
      <c r="H4" s="522" t="s">
        <v>283</v>
      </c>
      <c r="I4" s="521"/>
      <c r="J4" s="522" t="s">
        <v>284</v>
      </c>
      <c r="K4" s="521"/>
      <c r="L4" s="522" t="s">
        <v>285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2.35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417327</v>
      </c>
      <c r="C38" s="11">
        <f>SUM(C7:C37)</f>
        <v>416352</v>
      </c>
      <c r="D38" s="11">
        <f>SUM(D7:D37)</f>
        <v>-975</v>
      </c>
    </row>
    <row r="39" spans="1:8" x14ac:dyDescent="0.2">
      <c r="A39" s="26"/>
      <c r="C39" s="14"/>
      <c r="D39" s="106">
        <f>+summary!G3</f>
        <v>2.33</v>
      </c>
    </row>
    <row r="40" spans="1:8" x14ac:dyDescent="0.2">
      <c r="D40" s="138">
        <f>+D39*D38</f>
        <v>-2271.75</v>
      </c>
      <c r="H40">
        <v>20</v>
      </c>
    </row>
    <row r="41" spans="1:8" x14ac:dyDescent="0.2">
      <c r="A41" s="57">
        <v>37315</v>
      </c>
      <c r="C41" s="15"/>
      <c r="D41" s="597">
        <v>-13945</v>
      </c>
      <c r="H41">
        <v>530</v>
      </c>
    </row>
    <row r="42" spans="1:8" x14ac:dyDescent="0.2">
      <c r="A42" s="57">
        <v>37318</v>
      </c>
      <c r="D42" s="319">
        <f>+D41+D40</f>
        <v>-16216.75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67">
        <v>-7030</v>
      </c>
    </row>
    <row r="48" spans="1:8" x14ac:dyDescent="0.2">
      <c r="A48" s="49">
        <f>+A42</f>
        <v>37318</v>
      </c>
      <c r="B48" s="32"/>
      <c r="C48" s="32"/>
      <c r="D48" s="349">
        <f>+D38</f>
        <v>-975</v>
      </c>
    </row>
    <row r="49" spans="1:4" x14ac:dyDescent="0.2">
      <c r="A49" s="32"/>
      <c r="B49" s="32"/>
      <c r="C49" s="32"/>
      <c r="D49" s="14">
        <f>+D48+D47</f>
        <v>-8005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0" sqref="C30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-437690</v>
      </c>
      <c r="C35" s="11">
        <f>SUM(C4:C34)</f>
        <v>-436915</v>
      </c>
      <c r="D35" s="11">
        <f>SUM(D4:D34)</f>
        <v>775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575">
        <v>5393</v>
      </c>
    </row>
    <row r="39" spans="1:30" x14ac:dyDescent="0.2">
      <c r="A39" s="12"/>
      <c r="D39" s="51"/>
    </row>
    <row r="40" spans="1:30" x14ac:dyDescent="0.2">
      <c r="A40" s="245">
        <v>37318</v>
      </c>
      <c r="D40" s="51">
        <f>+D38+D35</f>
        <v>6168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37315</v>
      </c>
      <c r="B45" s="32"/>
      <c r="C45" s="32"/>
      <c r="D45" s="574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37318</v>
      </c>
      <c r="B46" s="32"/>
      <c r="C46" s="32"/>
      <c r="D46" s="374">
        <f>+D35*'by type_area'!G4</f>
        <v>1821.25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-191071.75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C53" sqref="C53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-1557444</v>
      </c>
      <c r="C35" s="11">
        <f>SUM(C4:C34)</f>
        <v>-1576437</v>
      </c>
      <c r="D35" s="11">
        <f>SUM(D4:D34)</f>
        <v>0</v>
      </c>
      <c r="E35" s="11">
        <f>SUM(E4:E34)</f>
        <v>0</v>
      </c>
      <c r="F35" s="11">
        <f>SUM(F4:F34)</f>
        <v>-18993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76">
        <v>78476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37318</v>
      </c>
      <c r="D40" s="246"/>
      <c r="E40" s="246"/>
      <c r="F40" s="51">
        <f>+F38+F35</f>
        <v>59483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74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37318</v>
      </c>
      <c r="B46" s="32"/>
      <c r="C46" s="32"/>
      <c r="D46" s="472">
        <f>+F35*'by type_area'!G4</f>
        <v>-44633.55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232853.45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18" sqref="B1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-304573</v>
      </c>
      <c r="C35" s="44">
        <f t="shared" si="3"/>
        <v>-72320</v>
      </c>
      <c r="D35" s="11">
        <f t="shared" si="3"/>
        <v>-46726</v>
      </c>
      <c r="E35" s="44">
        <f t="shared" si="3"/>
        <v>-275409</v>
      </c>
      <c r="F35" s="11">
        <f t="shared" si="3"/>
        <v>0</v>
      </c>
      <c r="G35" s="11">
        <f t="shared" si="3"/>
        <v>0</v>
      </c>
      <c r="H35" s="11">
        <f t="shared" si="3"/>
        <v>3570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2.35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8389.5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37315</v>
      </c>
      <c r="F38" s="471"/>
      <c r="G38" s="265"/>
      <c r="H38" s="490">
        <v>35630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37318</v>
      </c>
      <c r="F39" s="471"/>
      <c r="G39" s="471"/>
      <c r="H39" s="319">
        <f>+H38+H37</f>
        <v>44019.5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2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37318</v>
      </c>
      <c r="E47" s="457">
        <f>+H35</f>
        <v>3570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48256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8" sqref="E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-280150</v>
      </c>
      <c r="E5" s="11">
        <v>-279189</v>
      </c>
      <c r="F5" s="11"/>
      <c r="G5" s="11"/>
      <c r="H5" s="24">
        <f>+E5-D5+C5-B5</f>
        <v>961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-281443</v>
      </c>
      <c r="F6" s="11"/>
      <c r="G6" s="11"/>
      <c r="H6" s="24">
        <f t="shared" ref="H6:H35" si="0">+E6-D6+C6-B6</f>
        <v>-287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-839352</v>
      </c>
      <c r="E36" s="11">
        <f t="shared" si="15"/>
        <v>-839319</v>
      </c>
      <c r="F36" s="11">
        <f t="shared" si="15"/>
        <v>0</v>
      </c>
      <c r="G36" s="11">
        <f t="shared" si="15"/>
        <v>0</v>
      </c>
      <c r="H36" s="11">
        <f t="shared" si="15"/>
        <v>33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33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578">
        <v>64269</v>
      </c>
      <c r="D38" s="320"/>
      <c r="E38" s="579">
        <v>-60855</v>
      </c>
      <c r="F38" s="24"/>
      <c r="G38" s="24"/>
      <c r="H38" s="236">
        <f>+C38+E38+G38</f>
        <v>3414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37318</v>
      </c>
      <c r="B39" s="2" t="s">
        <v>45</v>
      </c>
      <c r="C39" s="131">
        <f>+C38+C37</f>
        <v>64269</v>
      </c>
      <c r="D39" s="252"/>
      <c r="E39" s="131">
        <f>+E38+E37</f>
        <v>-60822</v>
      </c>
      <c r="F39" s="252"/>
      <c r="G39" s="131"/>
      <c r="H39" s="131">
        <f>+H38+H36</f>
        <v>3447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77">
        <v>-1582961.01</v>
      </c>
      <c r="D44" s="205"/>
      <c r="E44" s="580">
        <v>925707</v>
      </c>
      <c r="F44" s="47">
        <f>+E44+C44</f>
        <v>-657254.01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37318</v>
      </c>
      <c r="B45" s="32"/>
      <c r="C45" s="47">
        <f>+C37*summary!G4</f>
        <v>0</v>
      </c>
      <c r="D45" s="205"/>
      <c r="E45" s="376">
        <f>+E37*summary!G3</f>
        <v>76.89</v>
      </c>
      <c r="F45" s="47">
        <f>+E45+C45</f>
        <v>76.89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29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4">
        <f>+A45</f>
        <v>37318</v>
      </c>
      <c r="I23" s="11">
        <f>+B39</f>
        <v>432843</v>
      </c>
      <c r="J23" s="11">
        <f>+C39</f>
        <v>431922</v>
      </c>
      <c r="K23" s="11">
        <f>+D39</f>
        <v>60776</v>
      </c>
      <c r="L23" s="11">
        <f>+E39</f>
        <v>57358</v>
      </c>
      <c r="M23" s="42">
        <f>+J23-I23+L23-K23</f>
        <v>-4339</v>
      </c>
      <c r="N23" s="102">
        <f>+summary!G3</f>
        <v>2.33</v>
      </c>
      <c r="O23" s="496">
        <f>+N23*M23</f>
        <v>-10109.870000000001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5">
        <f>SUM(M9:M23)</f>
        <v>85461</v>
      </c>
      <c r="N24" s="102"/>
      <c r="O24" s="102">
        <f>SUM(O9:O23)</f>
        <v>558006.47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432843</v>
      </c>
      <c r="C39" s="150">
        <f>SUM(C8:C38)</f>
        <v>431922</v>
      </c>
      <c r="D39" s="150">
        <f>SUM(D8:D38)</f>
        <v>60776</v>
      </c>
      <c r="E39" s="150">
        <f>SUM(E8:E38)</f>
        <v>57358</v>
      </c>
      <c r="F39" s="11">
        <f t="shared" si="5"/>
        <v>-4339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60"/>
      <c r="D44" s="111"/>
      <c r="E44" s="460"/>
      <c r="F44" s="565">
        <v>64258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37318</v>
      </c>
      <c r="B45" s="32"/>
      <c r="C45" s="106"/>
      <c r="D45" s="106"/>
      <c r="E45" s="106"/>
      <c r="F45" s="24">
        <f>+F44+F39</f>
        <v>59919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8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37318</v>
      </c>
      <c r="B51" s="32"/>
      <c r="C51" s="32"/>
      <c r="D51" s="349">
        <f>+F39*summary!G3</f>
        <v>-10109.870000000001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471276.13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7.8652202139555065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2002-03-05T16:25:49Z</cp:lastPrinted>
  <dcterms:created xsi:type="dcterms:W3CDTF">2000-03-28T16:52:23Z</dcterms:created>
  <dcterms:modified xsi:type="dcterms:W3CDTF">2023-09-14T18:08:16Z</dcterms:modified>
</cp:coreProperties>
</file>