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6FD573-8320-4841-AD9D-1B9547381CC9}" xr6:coauthVersionLast="47" xr6:coauthVersionMax="47" xr10:uidLastSave="{00000000-0000-0000-0000-000000000000}"/>
  <bookViews>
    <workbookView xWindow="-120" yWindow="-120" windowWidth="38640" windowHeight="15720" tabRatio="686" activeTab="1"/>
    <workbookView xWindow="-120" yWindow="-120" windowWidth="38640" windowHeight="15720" tabRatio="895" activeTab="1"/>
    <workbookView xWindow="-120" yWindow="-120" windowWidth="38640" windowHeight="15720" activeTab="1"/>
    <workbookView xWindow="-120" yWindow="-120" windowWidth="38640" windowHeight="15720" tabRatio="601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type_area'!$A$2:$M$81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B12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<sst xmlns="http://schemas.openxmlformats.org/spreadsheetml/2006/main" count="668" uniqueCount="206">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</sst>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166" fontId="25" fillId="0" borderId="1" xfId="0" applyNumberFormat="1" applyFont="1" applyFill="1" applyBorder="1"/>
    <xf numFmtId="7" fontId="38" fillId="0" borderId="1" xfId="1" applyNumberFormat="1" applyFont="1" applyFill="1" applyBorder="1"/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7" fontId="25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8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6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2.0699999999999998</v>
          </cell>
          <cell r="K39">
            <v>1.94</v>
          </cell>
          <cell r="M39">
            <v>2.0299999999999998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workbookViewId="3">
      <selection activeCell="D11" sqref="D11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4" t="s">
        <v>81</v>
      </c>
      <c r="J2" s="417"/>
      <c r="K2" s="32"/>
    </row>
    <row r="3" spans="1:32" ht="12.95" customHeight="1" x14ac:dyDescent="0.2">
      <c r="D3" s="7"/>
      <c r="I3" s="415" t="s">
        <v>30</v>
      </c>
      <c r="J3" s="418">
        <f>+summary!H3</f>
        <v>1.94</v>
      </c>
      <c r="K3" s="435">
        <f ca="1">NOW()</f>
        <v>37147.830071759257</v>
      </c>
    </row>
    <row r="4" spans="1:32" ht="12.95" customHeight="1" x14ac:dyDescent="0.2">
      <c r="A4" s="34" t="s">
        <v>152</v>
      </c>
      <c r="C4" s="34" t="s">
        <v>5</v>
      </c>
      <c r="D4" s="7"/>
      <c r="I4" s="416" t="s">
        <v>31</v>
      </c>
      <c r="J4" s="418">
        <f>+summary!H4</f>
        <v>2.0299999999999998</v>
      </c>
      <c r="K4" s="32"/>
    </row>
    <row r="5" spans="1:32" ht="12.95" customHeight="1" x14ac:dyDescent="0.2">
      <c r="D5" s="7"/>
      <c r="I5" s="415" t="s">
        <v>120</v>
      </c>
      <c r="J5" s="418">
        <f>+summary!H5</f>
        <v>2.0699999999999998</v>
      </c>
      <c r="K5" s="32"/>
    </row>
    <row r="6" spans="1:32" ht="12" customHeight="1" x14ac:dyDescent="0.2"/>
    <row r="7" spans="1:32" ht="12.95" customHeight="1" x14ac:dyDescent="0.2">
      <c r="A7" s="433" t="s">
        <v>179</v>
      </c>
      <c r="B7" s="434"/>
      <c r="AD7" s="32"/>
      <c r="AE7" s="32"/>
      <c r="AF7" s="32"/>
    </row>
    <row r="8" spans="1:32" ht="15.95" customHeight="1" outlineLevel="2" x14ac:dyDescent="0.2">
      <c r="A8" s="32"/>
      <c r="B8" s="47"/>
      <c r="C8" s="431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7" t="s">
        <v>92</v>
      </c>
      <c r="B9" s="423" t="s">
        <v>163</v>
      </c>
      <c r="C9" s="432" t="s">
        <v>178</v>
      </c>
      <c r="D9" s="465" t="s">
        <v>0</v>
      </c>
      <c r="E9" s="39" t="s">
        <v>164</v>
      </c>
      <c r="F9" s="39" t="s">
        <v>153</v>
      </c>
      <c r="G9" s="421" t="s">
        <v>159</v>
      </c>
      <c r="H9" s="398" t="s">
        <v>104</v>
      </c>
      <c r="I9" s="397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7" t="s">
        <v>169</v>
      </c>
    </row>
    <row r="12" spans="1:32" ht="15.95" customHeight="1" outlineLevel="1" x14ac:dyDescent="0.2">
      <c r="A12" s="206" t="s">
        <v>132</v>
      </c>
      <c r="B12" s="373">
        <f>+Calpine!D41</f>
        <v>96412.459999999992</v>
      </c>
      <c r="C12" s="400">
        <f>+B12/$J$4</f>
        <v>47493.822660098522</v>
      </c>
      <c r="D12" s="14">
        <f>+Calpine!D47</f>
        <v>137754</v>
      </c>
      <c r="E12" s="70">
        <f>+C12-D12</f>
        <v>-90260.177339901478</v>
      </c>
      <c r="F12" s="395">
        <f>+Calpine!A41</f>
        <v>37146</v>
      </c>
      <c r="G12" s="205"/>
      <c r="H12" s="206" t="s">
        <v>102</v>
      </c>
      <c r="I12" s="379"/>
      <c r="J12" s="70"/>
      <c r="K12" s="32"/>
    </row>
    <row r="13" spans="1:32" ht="15.95" customHeight="1" outlineLevel="2" x14ac:dyDescent="0.2">
      <c r="A13" s="32" t="s">
        <v>144</v>
      </c>
      <c r="B13" s="373">
        <f>+'Citizens-Griffith'!D41</f>
        <v>-111576.32000000001</v>
      </c>
      <c r="C13" s="399">
        <f>+B13/$J$4</f>
        <v>-54963.704433497544</v>
      </c>
      <c r="D13" s="14">
        <f>+'Citizens-Griffith'!D48</f>
        <v>-55628</v>
      </c>
      <c r="E13" s="70">
        <f>+C13-D13</f>
        <v>664.2955665024565</v>
      </c>
      <c r="F13" s="395">
        <f>+'Citizens-Griffith'!A41</f>
        <v>37145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3">
        <f>+'NS Steel'!D41</f>
        <v>-433759.02</v>
      </c>
      <c r="C14" s="399">
        <f>+B14/$J$4</f>
        <v>-213674.39408866997</v>
      </c>
      <c r="D14" s="14">
        <f>+'NS Steel'!D50</f>
        <v>-83802</v>
      </c>
      <c r="E14" s="70">
        <f>+C14-D14</f>
        <v>-129872.39408866997</v>
      </c>
      <c r="F14" s="396">
        <f>+'NS Steel'!A41</f>
        <v>37145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6">
        <f>+Citizens!D18</f>
        <v>-683291.37</v>
      </c>
      <c r="C15" s="401">
        <f>+B15/$J$4</f>
        <v>-336596.73399014783</v>
      </c>
      <c r="D15" s="377">
        <f>+Citizens!D24</f>
        <v>-115476</v>
      </c>
      <c r="E15" s="72">
        <f>+C15-D15</f>
        <v>-221120.73399014783</v>
      </c>
      <c r="F15" s="395">
        <f>+Citizens!A18</f>
        <v>37145</v>
      </c>
      <c r="G15" s="205"/>
      <c r="H15" s="206" t="s">
        <v>102</v>
      </c>
      <c r="I15" s="457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19">
        <f>SUBTOTAL(9,B12:B15)</f>
        <v>-1132214.25</v>
      </c>
      <c r="C16" s="426">
        <f>SUBTOTAL(9,C12:C15)</f>
        <v>-557741.00985221681</v>
      </c>
      <c r="D16" s="427">
        <f>SUBTOTAL(9,D12:D15)</f>
        <v>-117152</v>
      </c>
      <c r="E16" s="428">
        <f>SUBTOTAL(9,E12:E15)</f>
        <v>-440589.00985221681</v>
      </c>
      <c r="F16" s="395"/>
      <c r="G16" s="205"/>
      <c r="H16" s="206"/>
      <c r="I16" s="379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0" t="s">
        <v>59</v>
      </c>
      <c r="G18" s="7"/>
    </row>
    <row r="19" spans="1:20" ht="15.95" customHeight="1" outlineLevel="2" x14ac:dyDescent="0.2">
      <c r="A19" s="32" t="s">
        <v>74</v>
      </c>
      <c r="B19" s="374">
        <f>+transcol!$D$43</f>
        <v>31633.19</v>
      </c>
      <c r="C19" s="399">
        <f>+B19/$J$4</f>
        <v>15582.85221674877</v>
      </c>
      <c r="D19" s="14">
        <f>+transcol!D50</f>
        <v>-41062</v>
      </c>
      <c r="E19" s="70">
        <f>+C19-D19</f>
        <v>56644.852216748768</v>
      </c>
      <c r="F19" s="396">
        <f>+transcol!A43</f>
        <v>37145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6">
        <f>+burlington!D42</f>
        <v>6363.2</v>
      </c>
      <c r="C20" s="403">
        <f>+B20/$J$3</f>
        <v>3280</v>
      </c>
      <c r="D20" s="377">
        <f>+burlington!D49</f>
        <v>3280</v>
      </c>
      <c r="E20" s="72">
        <f>+C20-D20</f>
        <v>0</v>
      </c>
      <c r="F20" s="395">
        <f>+burlington!A42</f>
        <v>37145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19">
        <f>SUBTOTAL(9,B19:B20)</f>
        <v>37996.39</v>
      </c>
      <c r="C21" s="420">
        <f>SUBTOTAL(9,C19:C20)</f>
        <v>18862.852216748768</v>
      </c>
      <c r="D21" s="427">
        <f>SUBTOTAL(9,D19:D20)</f>
        <v>-37782</v>
      </c>
      <c r="E21" s="428">
        <f>SUBTOTAL(9,E19:E20)</f>
        <v>56644.852216748768</v>
      </c>
      <c r="F21" s="395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7" t="s">
        <v>173</v>
      </c>
      <c r="B23" s="461"/>
      <c r="C23" s="462"/>
      <c r="D23" s="463"/>
      <c r="E23" s="463"/>
      <c r="F23" s="463"/>
      <c r="G23" s="464"/>
      <c r="H23" s="463"/>
      <c r="I23" s="463"/>
    </row>
    <row r="24" spans="1:20" ht="15.95" customHeight="1" outlineLevel="2" x14ac:dyDescent="0.2">
      <c r="A24" s="206" t="s">
        <v>90</v>
      </c>
      <c r="B24" s="373">
        <f>+NNG!$D$24</f>
        <v>562126.1</v>
      </c>
      <c r="C24" s="399">
        <f t="shared" ref="C24:C35" si="0">+B24/$J$4</f>
        <v>276909.40886699507</v>
      </c>
      <c r="D24" s="14">
        <f>+NNG!D34</f>
        <v>50049</v>
      </c>
      <c r="E24" s="70">
        <f t="shared" ref="E24:E37" si="1">+C24-D24</f>
        <v>226860.40886699507</v>
      </c>
      <c r="F24" s="395">
        <f>+NNG!A24</f>
        <v>37145</v>
      </c>
      <c r="G24" s="422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3">
        <f>+Conoco!$F$41</f>
        <v>508467.5</v>
      </c>
      <c r="C25" s="399">
        <f t="shared" si="0"/>
        <v>250476.60098522171</v>
      </c>
      <c r="D25" s="14">
        <f>+Conoco!D48</f>
        <v>53020</v>
      </c>
      <c r="E25" s="70">
        <f t="shared" si="1"/>
        <v>197456.60098522171</v>
      </c>
      <c r="F25" s="395">
        <f>+Conoco!A41</f>
        <v>37145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3">
        <f>+'Amoco Abo'!$F$43</f>
        <v>428674.93</v>
      </c>
      <c r="C26" s="399">
        <f t="shared" si="0"/>
        <v>211169.91625615765</v>
      </c>
      <c r="D26" s="14">
        <f>+'Amoco Abo'!D49</f>
        <v>-240715</v>
      </c>
      <c r="E26" s="70">
        <f t="shared" si="1"/>
        <v>451884.91625615768</v>
      </c>
      <c r="F26" s="396">
        <f>+'Amoco Abo'!A43</f>
        <v>37146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3">
        <f>+KN_Westar!F41</f>
        <v>366544.3</v>
      </c>
      <c r="C27" s="399">
        <f t="shared" si="0"/>
        <v>180563.69458128081</v>
      </c>
      <c r="D27" s="14">
        <f>+KN_Westar!D48</f>
        <v>-10798</v>
      </c>
      <c r="E27" s="70">
        <f t="shared" si="1"/>
        <v>191361.69458128081</v>
      </c>
      <c r="F27" s="396">
        <f>+KN_Westar!A41</f>
        <v>37142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3">
        <f>+DEFS!F53</f>
        <v>31736.30999999959</v>
      </c>
      <c r="C28" s="400">
        <f t="shared" si="0"/>
        <v>15633.650246305218</v>
      </c>
      <c r="D28" s="14">
        <f>+DEFS!M53</f>
        <v>342905</v>
      </c>
      <c r="E28" s="70">
        <f t="shared" si="1"/>
        <v>-327271.34975369478</v>
      </c>
      <c r="F28" s="396">
        <f>+DEFS!A40</f>
        <v>37144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3">
        <f>+CIG!D43</f>
        <v>392514.77</v>
      </c>
      <c r="C29" s="399">
        <f t="shared" si="0"/>
        <v>193357.02955665026</v>
      </c>
      <c r="D29" s="14">
        <f>+CIG!D49</f>
        <v>22431</v>
      </c>
      <c r="E29" s="70">
        <f t="shared" si="1"/>
        <v>170926.02955665026</v>
      </c>
      <c r="F29" s="396">
        <f>+CIG!A43</f>
        <v>37144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3">
        <f>+mewborne!$J$43</f>
        <v>348823.45</v>
      </c>
      <c r="C30" s="399">
        <f t="shared" si="0"/>
        <v>171834.21182266012</v>
      </c>
      <c r="D30" s="14">
        <f>+mewborne!D49</f>
        <v>138426</v>
      </c>
      <c r="E30" s="70">
        <f t="shared" si="1"/>
        <v>33408.211822660116</v>
      </c>
      <c r="F30" s="396">
        <f>+mewborne!A43</f>
        <v>37144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3">
        <f>+PGETX!$H$39</f>
        <v>455150.02</v>
      </c>
      <c r="C31" s="399">
        <f t="shared" si="0"/>
        <v>224211.8325123153</v>
      </c>
      <c r="D31" s="14">
        <f>+PGETX!E48</f>
        <v>108817</v>
      </c>
      <c r="E31" s="70">
        <f t="shared" si="1"/>
        <v>115394.8325123153</v>
      </c>
      <c r="F31" s="396">
        <f>+PGETX!E39</f>
        <v>37145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3">
        <f>+PNM!$D$23</f>
        <v>85615.260000000009</v>
      </c>
      <c r="C32" s="399">
        <f t="shared" si="0"/>
        <v>42175.004926108384</v>
      </c>
      <c r="D32" s="14">
        <f>+PNM!D30</f>
        <v>-14351</v>
      </c>
      <c r="E32" s="70">
        <f t="shared" si="1"/>
        <v>56526.004926108384</v>
      </c>
      <c r="F32" s="396">
        <f>+PNM!A23</f>
        <v>37145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3">
        <f>+EOG!J41</f>
        <v>71037.61</v>
      </c>
      <c r="C33" s="399">
        <f t="shared" si="0"/>
        <v>34993.896551724145</v>
      </c>
      <c r="D33" s="14">
        <f>+EOG!D48</f>
        <v>-90690</v>
      </c>
      <c r="E33" s="70">
        <f t="shared" si="1"/>
        <v>125683.89655172414</v>
      </c>
      <c r="F33" s="395">
        <f>+EOG!A41</f>
        <v>37144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3">
        <f>+SidR!D41</f>
        <v>52857.93</v>
      </c>
      <c r="C34" s="399">
        <f t="shared" si="0"/>
        <v>26038.38916256158</v>
      </c>
      <c r="D34" s="14">
        <f>+SidR!D48</f>
        <v>23563</v>
      </c>
      <c r="E34" s="70">
        <f t="shared" si="1"/>
        <v>2475.3891625615797</v>
      </c>
      <c r="F34" s="396">
        <f>+SidR!A41</f>
        <v>37145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3">
        <f>+Continental!F43</f>
        <v>6269.89</v>
      </c>
      <c r="C35" s="400">
        <f t="shared" si="0"/>
        <v>3088.6157635467985</v>
      </c>
      <c r="D35" s="14">
        <f>+Continental!D50</f>
        <v>-13120</v>
      </c>
      <c r="E35" s="70">
        <f t="shared" si="1"/>
        <v>16208.615763546799</v>
      </c>
      <c r="F35" s="396">
        <f>+Continental!A43</f>
        <v>37145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3">
        <f>+EPFS!D41</f>
        <v>-6383.6000000000022</v>
      </c>
      <c r="C36" s="400">
        <f>+B36/$J$5</f>
        <v>-3083.8647342995182</v>
      </c>
      <c r="D36" s="14">
        <f>+EPFS!D47</f>
        <v>12951</v>
      </c>
      <c r="E36" s="70">
        <f t="shared" si="1"/>
        <v>-16034.864734299517</v>
      </c>
      <c r="F36" s="395">
        <f>+EPFS!A41</f>
        <v>37145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6">
        <f>+Agave!$D$24</f>
        <v>129647.68999999999</v>
      </c>
      <c r="C37" s="401">
        <f>+B37/$J$4</f>
        <v>63865.857142857145</v>
      </c>
      <c r="D37" s="377">
        <f>+Agave!D31</f>
        <v>29302</v>
      </c>
      <c r="E37" s="72">
        <f t="shared" si="1"/>
        <v>34563.857142857145</v>
      </c>
      <c r="F37" s="395">
        <f>+Agave!A24</f>
        <v>37145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19">
        <f>SUBTOTAL(9,B24:B37)</f>
        <v>3433082.1599999997</v>
      </c>
      <c r="C38" s="426">
        <f>SUBTOTAL(9,C24:C37)</f>
        <v>1691234.2436400848</v>
      </c>
      <c r="D38" s="427">
        <f>SUBTOTAL(9,D24:D37)</f>
        <v>411790</v>
      </c>
      <c r="E38" s="428">
        <f>SUBTOTAL(9,E24:E37)</f>
        <v>1279444.2436400845</v>
      </c>
      <c r="F38" s="395"/>
      <c r="G38" s="380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19">
        <f>SUBTOTAL(9,B12:B37)</f>
        <v>2338864.2999999993</v>
      </c>
      <c r="C40" s="426">
        <f>SUBTOTAL(9,C12:C37)</f>
        <v>1152356.0860046169</v>
      </c>
      <c r="D40" s="427">
        <f>SUBTOTAL(9,D12:D37)</f>
        <v>256856</v>
      </c>
      <c r="E40" s="428">
        <f>SUBTOTAL(9,E12:E37)</f>
        <v>895500.08600461693</v>
      </c>
      <c r="F40" s="395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3"/>
      <c r="C41" s="399"/>
      <c r="D41" s="399"/>
      <c r="E41" s="399"/>
      <c r="F41" s="380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4" t="s">
        <v>81</v>
      </c>
      <c r="J45" s="417"/>
      <c r="K45" s="32"/>
    </row>
    <row r="46" spans="1:12" ht="13.5" customHeight="1" outlineLevel="2" x14ac:dyDescent="0.2">
      <c r="D46" s="7"/>
      <c r="I46" s="415" t="s">
        <v>30</v>
      </c>
      <c r="J46" s="418">
        <f>+J3</f>
        <v>1.94</v>
      </c>
      <c r="K46" s="435">
        <f ca="1">NOW()</f>
        <v>37147.830071759257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6" t="s">
        <v>31</v>
      </c>
      <c r="J47" s="418">
        <f>+J4</f>
        <v>2.0299999999999998</v>
      </c>
      <c r="K47" s="32"/>
    </row>
    <row r="48" spans="1:12" ht="13.5" customHeight="1" outlineLevel="1" x14ac:dyDescent="0.2">
      <c r="D48" s="7"/>
      <c r="I48" s="415" t="s">
        <v>120</v>
      </c>
      <c r="J48" s="418">
        <f>+J5</f>
        <v>2.0699999999999998</v>
      </c>
      <c r="K48" s="32"/>
    </row>
    <row r="49" spans="1:19" ht="13.5" customHeight="1" outlineLevel="2" x14ac:dyDescent="0.2"/>
    <row r="50" spans="1:19" ht="13.5" customHeight="1" outlineLevel="2" x14ac:dyDescent="0.2">
      <c r="A50" s="433" t="s">
        <v>180</v>
      </c>
      <c r="B50" s="434"/>
    </row>
    <row r="51" spans="1:19" ht="13.5" customHeight="1" outlineLevel="2" x14ac:dyDescent="0.2">
      <c r="A51" s="32"/>
      <c r="C51" s="436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7" t="s">
        <v>92</v>
      </c>
      <c r="B52" s="432" t="s">
        <v>0</v>
      </c>
      <c r="C52" s="409" t="s">
        <v>182</v>
      </c>
      <c r="D52" s="39" t="s">
        <v>184</v>
      </c>
      <c r="E52" s="39" t="s">
        <v>186</v>
      </c>
      <c r="F52" s="39" t="s">
        <v>153</v>
      </c>
      <c r="G52" s="421" t="s">
        <v>159</v>
      </c>
      <c r="H52" s="398" t="s">
        <v>104</v>
      </c>
      <c r="I52" s="397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7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399">
        <f>+Mojave!D40</f>
        <v>146187</v>
      </c>
      <c r="C55" s="373">
        <f>+B55*$J$4</f>
        <v>296759.61</v>
      </c>
      <c r="D55" s="47">
        <f>+Mojave!D47</f>
        <v>114808.69</v>
      </c>
      <c r="E55" s="47">
        <f>+C55-D55</f>
        <v>181950.91999999998</v>
      </c>
      <c r="F55" s="396">
        <f>+Mojave!A40</f>
        <v>37146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0">
        <f>+SoCal!F40</f>
        <v>163658</v>
      </c>
      <c r="C56" s="373">
        <f>+B56*$J$4</f>
        <v>332225.74</v>
      </c>
      <c r="D56" s="47">
        <f>+SoCal!D47</f>
        <v>490545.75</v>
      </c>
      <c r="E56" s="47">
        <f>+C56-D56</f>
        <v>-158320.01</v>
      </c>
      <c r="F56" s="396">
        <f>+SoCal!A40</f>
        <v>37146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399">
        <f>+'El Paso'!C39</f>
        <v>64244</v>
      </c>
      <c r="C57" s="373">
        <f>+B57*$J$4</f>
        <v>130415.31999999999</v>
      </c>
      <c r="D57" s="47">
        <f>+'El Paso'!C46</f>
        <v>-1583011.76</v>
      </c>
      <c r="E57" s="47">
        <f>+C57-D57</f>
        <v>1713427.08</v>
      </c>
      <c r="F57" s="396">
        <f>+'El Paso'!A39</f>
        <v>37145</v>
      </c>
      <c r="G57" s="458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1">
        <f>+'PG&amp;E'!D40</f>
        <v>54850</v>
      </c>
      <c r="C58" s="376">
        <f>+B58*$J$4</f>
        <v>111345.49999999999</v>
      </c>
      <c r="D58" s="376">
        <f>+'PG&amp;E'!D47</f>
        <v>-81489.760000000009</v>
      </c>
      <c r="E58" s="376">
        <f>+C58-D58</f>
        <v>192835.26</v>
      </c>
      <c r="F58" s="396">
        <f>+'PG&amp;E'!A40</f>
        <v>37146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6">
        <f>SUBTOTAL(9,B55:B58)</f>
        <v>428939</v>
      </c>
      <c r="C59" s="419">
        <f>SUBTOTAL(9,C55:C58)</f>
        <v>870746.16999999993</v>
      </c>
      <c r="D59" s="419">
        <f>SUBTOTAL(9,D55:D58)</f>
        <v>-1059147.08</v>
      </c>
      <c r="E59" s="419">
        <f>SUBTOTAL(9,E55:E58)</f>
        <v>1929893.25</v>
      </c>
      <c r="F59" s="396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7" t="s">
        <v>59</v>
      </c>
      <c r="B61" s="296"/>
      <c r="C61" s="252"/>
      <c r="G61" s="205"/>
    </row>
    <row r="62" spans="1:19" x14ac:dyDescent="0.2">
      <c r="A62" s="206" t="s">
        <v>29</v>
      </c>
      <c r="B62" s="399">
        <f>+williams!J40</f>
        <v>228896</v>
      </c>
      <c r="C62" s="373">
        <f>+B62*$J$3</f>
        <v>444058.24</v>
      </c>
      <c r="D62" s="47">
        <f>+williams!D48</f>
        <v>1198039.6299999999</v>
      </c>
      <c r="E62" s="47">
        <f>+C62-D62</f>
        <v>-753981.3899999999</v>
      </c>
      <c r="F62" s="395">
        <f>+williams!A40</f>
        <v>37145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399">
        <f>+'Red C'!F43</f>
        <v>141449</v>
      </c>
      <c r="C63" s="374">
        <f>+B63*J3</f>
        <v>274411.06</v>
      </c>
      <c r="D63" s="202">
        <f>+'Red C'!D52</f>
        <v>676087.67</v>
      </c>
      <c r="E63" s="47">
        <f>+C63-D63</f>
        <v>-401676.61000000004</v>
      </c>
      <c r="F63" s="395">
        <f>+'Red C'!B43</f>
        <v>37143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399">
        <f>+Amoco!D40</f>
        <v>66053</v>
      </c>
      <c r="C64" s="373">
        <f>+B64*$J$3</f>
        <v>128142.81999999999</v>
      </c>
      <c r="D64" s="47">
        <f>+Amoco!D47</f>
        <v>454986.62</v>
      </c>
      <c r="E64" s="47">
        <f>+C64-D64</f>
        <v>-326843.8</v>
      </c>
      <c r="F64" s="396">
        <f>+Amoco!A40</f>
        <v>37146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399">
        <f>+'El Paso'!E39</f>
        <v>-82146</v>
      </c>
      <c r="C65" s="373">
        <f>+B65*$J$3</f>
        <v>-159363.24</v>
      </c>
      <c r="D65" s="47">
        <f>+'El Paso'!F46</f>
        <v>-671866.52</v>
      </c>
      <c r="E65" s="47">
        <f>+C65-D65</f>
        <v>512503.28</v>
      </c>
      <c r="F65" s="396">
        <f>+'El Paso'!A39</f>
        <v>37145</v>
      </c>
      <c r="G65" s="458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1">
        <f>+NW!$F$41</f>
        <v>67065</v>
      </c>
      <c r="C66" s="376">
        <f>+B66*$J$3</f>
        <v>130106.09999999999</v>
      </c>
      <c r="D66" s="376">
        <f>+NW!E49</f>
        <v>-324013.98</v>
      </c>
      <c r="E66" s="376">
        <f>+C66-D66</f>
        <v>454120.07999999996</v>
      </c>
      <c r="F66" s="395">
        <f>+NW!B41</f>
        <v>37146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6">
        <f>SUBTOTAL(9,B62:B66)</f>
        <v>421317</v>
      </c>
      <c r="C67" s="419">
        <f>SUBTOTAL(9,C62:C66)</f>
        <v>817354.98</v>
      </c>
      <c r="D67" s="419">
        <f>SUBTOTAL(9,D62:D66)</f>
        <v>1333233.42</v>
      </c>
      <c r="E67" s="419">
        <f>SUBTOTAL(9,E62:E66)</f>
        <v>-515878.44000000006</v>
      </c>
      <c r="F67" s="395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7" t="s">
        <v>173</v>
      </c>
      <c r="B69" s="296"/>
      <c r="C69" s="252"/>
      <c r="G69" s="205"/>
    </row>
    <row r="70" spans="1:12" x14ac:dyDescent="0.2">
      <c r="A70" s="32" t="s">
        <v>91</v>
      </c>
      <c r="B70" s="399">
        <f>+NGPL!F38</f>
        <v>154012</v>
      </c>
      <c r="C70" s="373">
        <f>+B70*$J$4</f>
        <v>312644.36</v>
      </c>
      <c r="D70" s="47">
        <f>+NGPL!D45</f>
        <v>385337.96</v>
      </c>
      <c r="E70" s="47">
        <f>+C70-D70</f>
        <v>-72693.600000000035</v>
      </c>
      <c r="F70" s="396">
        <f>+NGPL!A38</f>
        <v>37146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399">
        <f>+PEPL!D41</f>
        <v>65531</v>
      </c>
      <c r="C71" s="374">
        <f>+B71*$J$4</f>
        <v>133027.93</v>
      </c>
      <c r="D71" s="47">
        <f>+PEPL!D47</f>
        <v>299079.09999999998</v>
      </c>
      <c r="E71" s="47">
        <f>+C71-D71</f>
        <v>-166051.16999999998</v>
      </c>
      <c r="F71" s="396">
        <f>+PEPL!A41</f>
        <v>37145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0">
        <f>+Oasis!D40</f>
        <v>49917</v>
      </c>
      <c r="C72" s="373">
        <f>+B72*$J$4</f>
        <v>101331.51</v>
      </c>
      <c r="D72" s="47">
        <f>+Oasis!D47</f>
        <v>-247921.44999999998</v>
      </c>
      <c r="E72" s="47">
        <f>+C72-D72</f>
        <v>349252.95999999996</v>
      </c>
      <c r="F72" s="396">
        <f>+Oasis!B40</f>
        <v>37145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3">
        <f>+Lonestar!F42</f>
        <v>78753</v>
      </c>
      <c r="C73" s="376">
        <f>+B73*$J$4</f>
        <v>159868.59</v>
      </c>
      <c r="D73" s="376">
        <f>+Lonestar!D49</f>
        <v>83263.37</v>
      </c>
      <c r="E73" s="376">
        <f>+C73-D73</f>
        <v>76605.22</v>
      </c>
      <c r="F73" s="395">
        <f>+Lonestar!B42</f>
        <v>37145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0">
        <f>SUBTOTAL(9,B70:B73)</f>
        <v>348213</v>
      </c>
      <c r="C74" s="419">
        <f>SUBTOTAL(9,C70:C73)</f>
        <v>706872.3899999999</v>
      </c>
      <c r="D74" s="419">
        <f>SUBTOTAL(9,D70:D73)</f>
        <v>519758.9800000001</v>
      </c>
      <c r="E74" s="419">
        <f>SUBTOTAL(9,E70:E73)</f>
        <v>187113.40999999995</v>
      </c>
      <c r="F74" s="395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0">
        <f>SUBTOTAL(9,B55:B73)</f>
        <v>1198469</v>
      </c>
      <c r="C76" s="419">
        <f>SUBTOTAL(9,C55:C73)</f>
        <v>2394973.54</v>
      </c>
      <c r="D76" s="419">
        <f>SUBTOTAL(9,D55:D73)</f>
        <v>793845.31999999983</v>
      </c>
      <c r="E76" s="419">
        <f>SUBTOTAL(9,E55:E73)</f>
        <v>1601128.22</v>
      </c>
      <c r="F76" s="395"/>
      <c r="H76" s="32"/>
      <c r="I76" s="32"/>
      <c r="J76" s="32"/>
      <c r="K76" s="32"/>
    </row>
    <row r="77" spans="1:12" x14ac:dyDescent="0.2">
      <c r="A77" s="32"/>
      <c r="B77" s="373"/>
      <c r="C77" s="400"/>
      <c r="D77" s="373"/>
      <c r="E77" s="373"/>
      <c r="F77" s="395"/>
      <c r="H77" s="32"/>
      <c r="I77" s="32"/>
      <c r="J77" s="32"/>
      <c r="K77" s="32"/>
    </row>
    <row r="78" spans="1:12" x14ac:dyDescent="0.2">
      <c r="A78" s="32"/>
      <c r="B78" s="376"/>
      <c r="C78" s="399"/>
      <c r="D78" s="304"/>
      <c r="E78" s="304"/>
      <c r="F78" s="395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29">
        <f>+C76+B40</f>
        <v>4733837.84</v>
      </c>
      <c r="C79" s="208"/>
      <c r="D79" s="373"/>
      <c r="E79" s="373"/>
      <c r="F79" s="380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2350825.0860046167</v>
      </c>
      <c r="C80" s="402"/>
      <c r="D80" s="460"/>
      <c r="E80" s="304"/>
      <c r="F80" s="380"/>
      <c r="G80" s="32"/>
      <c r="H80" s="32"/>
      <c r="I80" s="32"/>
      <c r="J80" s="32"/>
    </row>
    <row r="81" spans="1:10" x14ac:dyDescent="0.2">
      <c r="A81" s="32"/>
      <c r="B81" s="47"/>
      <c r="C81" s="404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3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7" workbookViewId="3">
      <selection activeCell="D50" sqref="D5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154865</v>
      </c>
      <c r="C12" s="11">
        <v>157530</v>
      </c>
      <c r="D12" s="11">
        <v>12566</v>
      </c>
      <c r="E12" s="11">
        <v>12532</v>
      </c>
      <c r="F12" s="11">
        <f t="shared" si="5"/>
        <v>2631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148827</v>
      </c>
      <c r="C13" s="11">
        <v>147740</v>
      </c>
      <c r="D13" s="11">
        <v>12616</v>
      </c>
      <c r="E13" s="11">
        <v>12532</v>
      </c>
      <c r="F13" s="11">
        <f t="shared" si="5"/>
        <v>-1171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145224</v>
      </c>
      <c r="C14" s="11">
        <v>145066</v>
      </c>
      <c r="D14" s="11">
        <v>12571</v>
      </c>
      <c r="E14" s="11">
        <v>12532</v>
      </c>
      <c r="F14" s="11">
        <f t="shared" si="5"/>
        <v>-197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146908</v>
      </c>
      <c r="C15" s="11">
        <v>145190</v>
      </c>
      <c r="D15" s="11">
        <v>12364</v>
      </c>
      <c r="E15" s="11">
        <v>12532</v>
      </c>
      <c r="F15" s="11">
        <f t="shared" si="5"/>
        <v>-1550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146501</v>
      </c>
      <c r="C16" s="11">
        <v>145042</v>
      </c>
      <c r="D16" s="11">
        <v>12496</v>
      </c>
      <c r="E16" s="11">
        <v>12532</v>
      </c>
      <c r="F16" s="11">
        <f t="shared" si="5"/>
        <v>-1423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467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1368558</v>
      </c>
      <c r="C39" s="150">
        <f>SUM(C8:C38)</f>
        <v>1365579</v>
      </c>
      <c r="D39" s="150">
        <f>SUM(D8:D38)</f>
        <v>111438</v>
      </c>
      <c r="E39" s="150">
        <f>SUM(E8:E38)</f>
        <v>112788</v>
      </c>
      <c r="F39" s="11">
        <f t="shared" si="5"/>
        <v>-1629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37134</v>
      </c>
      <c r="C42" s="153"/>
      <c r="D42" s="153"/>
      <c r="E42" s="153"/>
      <c r="F42" s="474">
        <v>143078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37143</v>
      </c>
      <c r="C43" s="142"/>
      <c r="D43" s="142"/>
      <c r="E43" s="142"/>
      <c r="F43" s="150">
        <f>+F42+F39</f>
        <v>141449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5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37134</v>
      </c>
      <c r="B50" s="32"/>
      <c r="C50" s="32"/>
      <c r="D50" s="469">
        <v>679247.93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37143</v>
      </c>
      <c r="B51" s="32"/>
      <c r="C51" s="32"/>
      <c r="D51" s="406">
        <f>+F39*'by type_area'!J3</f>
        <v>-3160.2599999999998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676087.67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7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7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7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7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workbookViewId="3">
      <selection activeCell="B3" sqref="B3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-115168</v>
      </c>
      <c r="C10" s="24">
        <v>-114773</v>
      </c>
      <c r="D10" s="24">
        <f t="shared" si="0"/>
        <v>395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-98089</v>
      </c>
      <c r="C11" s="24">
        <v>-97774</v>
      </c>
      <c r="D11" s="24">
        <f t="shared" si="0"/>
        <v>315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-101801</v>
      </c>
      <c r="C12" s="51">
        <v>-102186</v>
      </c>
      <c r="D12" s="24">
        <f t="shared" si="0"/>
        <v>-385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-101660</v>
      </c>
      <c r="C13" s="24">
        <v>-102186</v>
      </c>
      <c r="D13" s="24">
        <f t="shared" si="0"/>
        <v>-526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-102426</v>
      </c>
      <c r="C14" s="24">
        <v>-102249</v>
      </c>
      <c r="D14" s="24">
        <f t="shared" si="0"/>
        <v>177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-1167192</v>
      </c>
      <c r="C36" s="24">
        <f>SUM(C5:C35)</f>
        <v>-1164828</v>
      </c>
      <c r="D36" s="24">
        <f t="shared" si="0"/>
        <v>2364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37134</v>
      </c>
      <c r="C38" s="24"/>
      <c r="D38" s="468">
        <v>47553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37145</v>
      </c>
      <c r="C40" s="24"/>
      <c r="D40" s="195">
        <f>+D36+D38</f>
        <v>49917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37134</v>
      </c>
      <c r="B45" s="32"/>
      <c r="C45" s="32"/>
      <c r="D45" s="469">
        <v>-252720.37</v>
      </c>
    </row>
    <row r="46" spans="1:65" x14ac:dyDescent="0.2">
      <c r="A46" s="49">
        <f>+B40</f>
        <v>37145</v>
      </c>
      <c r="B46" s="32"/>
      <c r="C46" s="32"/>
      <c r="D46" s="406">
        <f>+D36*'by type_area'!J4</f>
        <v>4798.9199999999992</v>
      </c>
    </row>
    <row r="47" spans="1:65" x14ac:dyDescent="0.2">
      <c r="A47" s="32"/>
      <c r="B47" s="32"/>
      <c r="C47" s="32"/>
      <c r="D47" s="202">
        <f>+D46+D45</f>
        <v>-247921.44999999998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5" sqref="B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376434</v>
      </c>
      <c r="C5" s="90">
        <v>380734</v>
      </c>
      <c r="D5" s="90">
        <f>+C5-B5</f>
        <v>4300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292575</v>
      </c>
      <c r="C7" s="90">
        <v>366883</v>
      </c>
      <c r="D7" s="90">
        <f t="shared" si="0"/>
        <v>74308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216563</v>
      </c>
      <c r="C8" s="90">
        <v>259869</v>
      </c>
      <c r="D8" s="90">
        <f t="shared" si="0"/>
        <v>43306</v>
      </c>
      <c r="E8" s="285"/>
      <c r="F8" s="283"/>
    </row>
    <row r="9" spans="1:13" x14ac:dyDescent="0.2">
      <c r="A9" s="87">
        <v>500293</v>
      </c>
      <c r="B9" s="90">
        <v>154496</v>
      </c>
      <c r="C9" s="90">
        <v>224570</v>
      </c>
      <c r="D9" s="90">
        <f t="shared" si="0"/>
        <v>70074</v>
      </c>
      <c r="E9" s="285"/>
      <c r="F9" s="283"/>
    </row>
    <row r="10" spans="1:13" x14ac:dyDescent="0.2">
      <c r="A10" s="87">
        <v>500302</v>
      </c>
      <c r="B10" s="319"/>
      <c r="C10" s="319">
        <v>4158</v>
      </c>
      <c r="D10" s="90">
        <f t="shared" si="0"/>
        <v>4158</v>
      </c>
      <c r="E10" s="285"/>
      <c r="F10" s="283"/>
    </row>
    <row r="11" spans="1:13" x14ac:dyDescent="0.2">
      <c r="A11" s="87">
        <v>500303</v>
      </c>
      <c r="B11" s="319">
        <v>82257</v>
      </c>
      <c r="C11" s="90">
        <v>122673</v>
      </c>
      <c r="D11" s="90">
        <f t="shared" si="0"/>
        <v>40416</v>
      </c>
      <c r="E11" s="285"/>
      <c r="F11" s="283"/>
    </row>
    <row r="12" spans="1:13" x14ac:dyDescent="0.2">
      <c r="A12" s="91">
        <v>500305</v>
      </c>
      <c r="B12" s="319">
        <f>354168+35821</f>
        <v>389989</v>
      </c>
      <c r="C12" s="90">
        <v>487875</v>
      </c>
      <c r="D12" s="90">
        <f t="shared" si="0"/>
        <v>97886</v>
      </c>
      <c r="E12" s="286"/>
      <c r="F12" s="283"/>
    </row>
    <row r="13" spans="1:13" x14ac:dyDescent="0.2">
      <c r="A13" s="87">
        <v>500307</v>
      </c>
      <c r="B13" s="319">
        <v>18571</v>
      </c>
      <c r="C13" s="90">
        <v>24244</v>
      </c>
      <c r="D13" s="90">
        <f t="shared" si="0"/>
        <v>5673</v>
      </c>
      <c r="E13" s="285"/>
      <c r="F13" s="283"/>
    </row>
    <row r="14" spans="1:13" x14ac:dyDescent="0.2">
      <c r="A14" s="87">
        <v>500313</v>
      </c>
      <c r="B14" s="90"/>
      <c r="C14" s="319">
        <v>1153</v>
      </c>
      <c r="D14" s="90">
        <f t="shared" si="0"/>
        <v>1153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246765</v>
      </c>
      <c r="C16" s="90"/>
      <c r="D16" s="90">
        <f t="shared" si="0"/>
        <v>-246765</v>
      </c>
      <c r="E16" s="285"/>
      <c r="F16" s="283"/>
    </row>
    <row r="17" spans="1:6" x14ac:dyDescent="0.2">
      <c r="A17" s="87">
        <v>500657</v>
      </c>
      <c r="B17" s="335">
        <v>60571</v>
      </c>
      <c r="C17" s="88">
        <v>33200</v>
      </c>
      <c r="D17" s="94">
        <f t="shared" si="0"/>
        <v>-27371</v>
      </c>
      <c r="E17" s="285"/>
      <c r="F17" s="283"/>
    </row>
    <row r="18" spans="1:6" x14ac:dyDescent="0.2">
      <c r="A18" s="87"/>
      <c r="B18" s="88"/>
      <c r="C18" s="88"/>
      <c r="D18" s="88">
        <f>SUM(D5:D17)</f>
        <v>67138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2.0299999999999998</v>
      </c>
      <c r="E19" s="287"/>
      <c r="F19" s="283"/>
    </row>
    <row r="20" spans="1:6" x14ac:dyDescent="0.2">
      <c r="A20" s="87"/>
      <c r="B20" s="88"/>
      <c r="C20" s="88"/>
      <c r="D20" s="96">
        <f>+D19*D18</f>
        <v>136290.13999999998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37134</v>
      </c>
      <c r="B22" s="88"/>
      <c r="C22" s="88"/>
      <c r="D22" s="483">
        <v>-6642.45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37145</v>
      </c>
      <c r="B24" s="88"/>
      <c r="C24" s="88"/>
      <c r="D24" s="334">
        <f>+D22+D20</f>
        <v>129647.68999999999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37134</v>
      </c>
      <c r="B29" s="32"/>
      <c r="C29" s="32"/>
      <c r="D29" s="477">
        <v>-37836</v>
      </c>
    </row>
    <row r="30" spans="1:6" x14ac:dyDescent="0.2">
      <c r="A30" s="49">
        <f>+A24</f>
        <v>37145</v>
      </c>
      <c r="B30" s="32"/>
      <c r="C30" s="32"/>
      <c r="D30" s="377">
        <f>+D18</f>
        <v>67138</v>
      </c>
    </row>
    <row r="31" spans="1:6" x14ac:dyDescent="0.2">
      <c r="A31" s="32"/>
      <c r="B31" s="32"/>
      <c r="C31" s="32"/>
      <c r="D31" s="14">
        <f>+D30+D29</f>
        <v>29302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1" workbookViewId="3">
      <selection activeCell="D14" sqref="D1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44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44" t="s">
        <v>40</v>
      </c>
      <c r="I3" s="4" t="s">
        <v>20</v>
      </c>
      <c r="J3" s="4" t="s">
        <v>21</v>
      </c>
      <c r="K3" s="442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44"/>
      <c r="I4" s="14"/>
      <c r="J4" s="14"/>
      <c r="K4" s="14">
        <f t="shared" ref="K4:K9" si="0">+J4-I4</f>
        <v>0</v>
      </c>
      <c r="L4" s="388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4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4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4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28748</v>
      </c>
      <c r="C8" s="11">
        <v>27000</v>
      </c>
      <c r="D8" s="11">
        <v>29943</v>
      </c>
      <c r="E8" s="11">
        <v>29000</v>
      </c>
      <c r="F8" s="25">
        <f t="shared" si="2"/>
        <v>-2691</v>
      </c>
      <c r="G8" s="25"/>
      <c r="H8" s="44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29619</v>
      </c>
      <c r="C9" s="11">
        <v>28499</v>
      </c>
      <c r="D9" s="11">
        <v>29027</v>
      </c>
      <c r="E9" s="11">
        <v>27500</v>
      </c>
      <c r="F9" s="25">
        <f t="shared" si="2"/>
        <v>-2647</v>
      </c>
      <c r="G9" s="25"/>
      <c r="H9" s="44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30828</v>
      </c>
      <c r="C10" s="11">
        <v>25000</v>
      </c>
      <c r="D10" s="129">
        <v>31950</v>
      </c>
      <c r="E10" s="11">
        <v>30999</v>
      </c>
      <c r="F10" s="25">
        <f t="shared" si="2"/>
        <v>-6779</v>
      </c>
      <c r="G10" s="25"/>
      <c r="H10" s="444"/>
      <c r="I10" s="14"/>
      <c r="J10" s="14"/>
      <c r="K10" s="14"/>
      <c r="L10" s="388"/>
      <c r="M10" s="15"/>
      <c r="N10" s="15">
        <f>SUM(N5:N9)</f>
        <v>489002.35</v>
      </c>
    </row>
    <row r="11" spans="1:14" x14ac:dyDescent="0.2">
      <c r="A11" s="41">
        <v>8</v>
      </c>
      <c r="B11" s="11">
        <v>30687</v>
      </c>
      <c r="C11" s="11">
        <v>23000</v>
      </c>
      <c r="D11" s="11">
        <v>32614</v>
      </c>
      <c r="E11" s="11">
        <v>32999</v>
      </c>
      <c r="F11" s="25">
        <f t="shared" si="2"/>
        <v>-7302</v>
      </c>
      <c r="G11" s="25"/>
      <c r="H11" s="444"/>
      <c r="I11" s="14"/>
      <c r="J11" s="14"/>
      <c r="K11" s="15"/>
      <c r="L11" s="388"/>
      <c r="M11" s="15"/>
      <c r="N11" s="15">
        <f>SUM(M5:M9)</f>
        <v>489002.35000000003</v>
      </c>
    </row>
    <row r="12" spans="1:14" x14ac:dyDescent="0.2">
      <c r="A12" s="41">
        <v>9</v>
      </c>
      <c r="B12" s="11">
        <v>29910</v>
      </c>
      <c r="C12" s="11">
        <v>23000</v>
      </c>
      <c r="D12" s="11">
        <v>32422</v>
      </c>
      <c r="E12" s="11">
        <v>32999</v>
      </c>
      <c r="F12" s="25">
        <f t="shared" si="2"/>
        <v>-6333</v>
      </c>
      <c r="G12" s="25"/>
      <c r="H12" s="444"/>
      <c r="I12" s="24"/>
      <c r="J12" s="24"/>
      <c r="K12" s="110"/>
      <c r="L12" s="446"/>
      <c r="M12" s="110"/>
    </row>
    <row r="13" spans="1:14" x14ac:dyDescent="0.2">
      <c r="A13" s="41">
        <v>10</v>
      </c>
      <c r="B13" s="129">
        <v>27830</v>
      </c>
      <c r="C13" s="11">
        <v>23000</v>
      </c>
      <c r="D13" s="129">
        <v>31900</v>
      </c>
      <c r="E13" s="11">
        <v>32999</v>
      </c>
      <c r="F13" s="25">
        <f t="shared" si="2"/>
        <v>-3731</v>
      </c>
      <c r="G13" s="25"/>
      <c r="I13" s="24"/>
      <c r="J13" s="24"/>
      <c r="K13" s="24">
        <f>SUM(K4:K12)</f>
        <v>135930</v>
      </c>
      <c r="L13" s="446"/>
      <c r="M13" s="110">
        <f>SUM(M4:M12)</f>
        <v>489002.35000000003</v>
      </c>
    </row>
    <row r="14" spans="1:14" x14ac:dyDescent="0.2">
      <c r="A14" s="41">
        <v>11</v>
      </c>
      <c r="B14" s="11">
        <v>29936</v>
      </c>
      <c r="C14" s="11">
        <v>23000</v>
      </c>
      <c r="D14" s="11">
        <v>31208</v>
      </c>
      <c r="E14" s="11">
        <v>32999</v>
      </c>
      <c r="F14" s="25">
        <f t="shared" si="2"/>
        <v>-5145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306065</v>
      </c>
      <c r="C35" s="11">
        <f>SUM(C4:C34)</f>
        <v>282066</v>
      </c>
      <c r="D35" s="11">
        <f>SUM(D4:D34)</f>
        <v>353553</v>
      </c>
      <c r="E35" s="11">
        <f>SUM(E4:E34)</f>
        <v>360747</v>
      </c>
      <c r="F35" s="11">
        <f>+E35-D35+C35-B35</f>
        <v>-16805</v>
      </c>
    </row>
    <row r="36" spans="1:7" x14ac:dyDescent="0.2">
      <c r="A36" s="45"/>
      <c r="C36" s="14">
        <f>+C35-B35</f>
        <v>-23999</v>
      </c>
      <c r="D36" s="14"/>
      <c r="E36" s="14">
        <f>+E35-D35</f>
        <v>7194</v>
      </c>
      <c r="F36" s="47"/>
    </row>
    <row r="37" spans="1:7" x14ac:dyDescent="0.2">
      <c r="C37" s="15">
        <f>+summary!H4</f>
        <v>2.0299999999999998</v>
      </c>
      <c r="D37" s="15"/>
      <c r="E37" s="15">
        <f>+C37</f>
        <v>2.0299999999999998</v>
      </c>
      <c r="F37" s="24"/>
    </row>
    <row r="38" spans="1:7" x14ac:dyDescent="0.2">
      <c r="C38" s="48">
        <f>+C37*C36</f>
        <v>-48717.969999999994</v>
      </c>
      <c r="D38" s="47"/>
      <c r="E38" s="48">
        <f>+E37*E36</f>
        <v>14603.819999999998</v>
      </c>
      <c r="F38" s="46">
        <f>+E38+C38</f>
        <v>-34114.149999999994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81">
        <v>441786.89</v>
      </c>
      <c r="D40" s="111"/>
      <c r="E40" s="481">
        <v>100794.76</v>
      </c>
      <c r="F40" s="352">
        <f>+E40+C40</f>
        <v>542581.65</v>
      </c>
      <c r="G40" s="25"/>
    </row>
    <row r="41" spans="1:7" x14ac:dyDescent="0.2">
      <c r="A41" s="57">
        <v>37145</v>
      </c>
      <c r="C41" s="106">
        <f>+C40+C38</f>
        <v>393068.92000000004</v>
      </c>
      <c r="D41" s="106"/>
      <c r="E41" s="106">
        <f>+E40+E38</f>
        <v>115398.57999999999</v>
      </c>
      <c r="F41" s="106">
        <f>+E41+C41</f>
        <v>508467.5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479">
        <f>36388+33437</f>
        <v>69825</v>
      </c>
      <c r="E46" s="11"/>
      <c r="F46" s="11"/>
      <c r="G46" s="25"/>
    </row>
    <row r="47" spans="1:7" x14ac:dyDescent="0.2">
      <c r="A47" s="49">
        <f>+A41</f>
        <v>37145</v>
      </c>
      <c r="D47" s="377">
        <f>+F35</f>
        <v>-16805</v>
      </c>
      <c r="E47" s="11"/>
      <c r="F47" s="11"/>
      <c r="G47" s="25"/>
    </row>
    <row r="48" spans="1:7" x14ac:dyDescent="0.2">
      <c r="D48" s="14">
        <f>+D47+D46</f>
        <v>53020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" workbookViewId="3">
      <selection activeCell="E17" sqref="E1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230620</v>
      </c>
      <c r="C10" s="11">
        <v>230676</v>
      </c>
      <c r="D10" s="11"/>
      <c r="E10" s="11"/>
      <c r="F10" s="11">
        <f t="shared" si="2"/>
        <v>56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201058</v>
      </c>
      <c r="C11" s="11">
        <v>210081</v>
      </c>
      <c r="D11" s="11"/>
      <c r="E11" s="11">
        <v>-10154</v>
      </c>
      <c r="F11" s="11">
        <f t="shared" si="2"/>
        <v>-1131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169372</v>
      </c>
      <c r="C12" s="11">
        <v>171574</v>
      </c>
      <c r="D12" s="11"/>
      <c r="E12" s="11"/>
      <c r="F12" s="11">
        <f t="shared" si="2"/>
        <v>2202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160298</v>
      </c>
      <c r="C13" s="11">
        <v>167233</v>
      </c>
      <c r="D13" s="11"/>
      <c r="E13" s="11">
        <v>-7013</v>
      </c>
      <c r="F13" s="11">
        <f t="shared" si="2"/>
        <v>-78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159930</v>
      </c>
      <c r="C14" s="11">
        <v>171029</v>
      </c>
      <c r="D14" s="11"/>
      <c r="E14" s="11">
        <v>-10981</v>
      </c>
      <c r="F14" s="11">
        <f t="shared" si="2"/>
        <v>118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169213</v>
      </c>
      <c r="C15" s="11">
        <v>169874</v>
      </c>
      <c r="D15" s="11"/>
      <c r="E15" s="11">
        <v>-2245</v>
      </c>
      <c r="F15" s="11">
        <f t="shared" si="2"/>
        <v>-1584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147925</v>
      </c>
      <c r="C16" s="11">
        <v>156137</v>
      </c>
      <c r="D16" s="11"/>
      <c r="E16" s="11">
        <v>-8994</v>
      </c>
      <c r="F16" s="11">
        <f t="shared" si="2"/>
        <v>-782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2020056</v>
      </c>
      <c r="C36" s="11">
        <f>SUM(C5:C35)</f>
        <v>2099610</v>
      </c>
      <c r="D36" s="11">
        <f>SUM(D5:D35)</f>
        <v>0</v>
      </c>
      <c r="E36" s="11">
        <f>SUM(E5:E35)</f>
        <v>-82621</v>
      </c>
      <c r="F36" s="11">
        <f>SUM(F5:F35)</f>
        <v>-3067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37134</v>
      </c>
      <c r="F39" s="438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37146</v>
      </c>
      <c r="F41" s="353">
        <f>+F39+F36</f>
        <v>67065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37134</v>
      </c>
      <c r="C47" s="32"/>
      <c r="D47" s="32"/>
      <c r="E47" s="437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37146</v>
      </c>
      <c r="C48" s="32"/>
      <c r="D48" s="32"/>
      <c r="E48" s="406">
        <f>+F36*'by type_area'!J3</f>
        <v>-5949.98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-324013.98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1" workbookViewId="3">
      <selection activeCell="C42" sqref="C4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">
      <c r="A11" s="10">
        <v>4</v>
      </c>
      <c r="B11" s="11">
        <v>84773</v>
      </c>
      <c r="C11" s="11">
        <v>83676</v>
      </c>
      <c r="D11" s="11">
        <f t="shared" si="0"/>
        <v>-1097</v>
      </c>
      <c r="E11" s="10"/>
      <c r="F11" s="11"/>
      <c r="G11" s="11"/>
      <c r="H11" s="11"/>
    </row>
    <row r="12" spans="1:8" x14ac:dyDescent="0.2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">
      <c r="A13" s="10">
        <v>6</v>
      </c>
      <c r="B13" s="11">
        <v>93868</v>
      </c>
      <c r="C13" s="11">
        <v>93801</v>
      </c>
      <c r="D13" s="11">
        <f t="shared" si="0"/>
        <v>-67</v>
      </c>
      <c r="E13" s="10"/>
      <c r="F13" s="11"/>
      <c r="G13" s="11"/>
      <c r="H13" s="11"/>
    </row>
    <row r="14" spans="1:8" x14ac:dyDescent="0.2">
      <c r="A14" s="10">
        <v>7</v>
      </c>
      <c r="B14" s="11">
        <v>91997</v>
      </c>
      <c r="C14" s="11">
        <v>92787</v>
      </c>
      <c r="D14" s="11">
        <f t="shared" si="0"/>
        <v>790</v>
      </c>
      <c r="E14" s="10"/>
      <c r="F14" s="11"/>
      <c r="G14" s="11"/>
      <c r="H14" s="11"/>
    </row>
    <row r="15" spans="1:8" x14ac:dyDescent="0.2">
      <c r="A15" s="10">
        <v>8</v>
      </c>
      <c r="B15" s="11">
        <v>92287</v>
      </c>
      <c r="C15" s="11">
        <v>91788</v>
      </c>
      <c r="D15" s="11">
        <f t="shared" si="0"/>
        <v>-499</v>
      </c>
      <c r="E15" s="10"/>
      <c r="F15" s="11"/>
      <c r="G15" s="11"/>
      <c r="H15" s="11"/>
    </row>
    <row r="16" spans="1:8" x14ac:dyDescent="0.2">
      <c r="A16" s="10">
        <v>9</v>
      </c>
      <c r="B16" s="11">
        <v>92020</v>
      </c>
      <c r="C16" s="11">
        <v>91755</v>
      </c>
      <c r="D16" s="11">
        <f t="shared" si="0"/>
        <v>-265</v>
      </c>
      <c r="E16" s="10"/>
      <c r="F16" s="11"/>
      <c r="G16" s="11"/>
      <c r="H16" s="11"/>
    </row>
    <row r="17" spans="1:8" x14ac:dyDescent="0.2">
      <c r="A17" s="10">
        <v>10</v>
      </c>
      <c r="B17" s="11">
        <v>92001</v>
      </c>
      <c r="C17" s="11">
        <v>91755</v>
      </c>
      <c r="D17" s="11">
        <f t="shared" si="0"/>
        <v>-246</v>
      </c>
      <c r="E17" s="10"/>
      <c r="F17" s="11"/>
      <c r="G17" s="11"/>
      <c r="H17" s="11"/>
    </row>
    <row r="18" spans="1:8" x14ac:dyDescent="0.2">
      <c r="A18" s="10">
        <v>11</v>
      </c>
      <c r="B18" s="11">
        <v>106982</v>
      </c>
      <c r="C18" s="11">
        <v>105491</v>
      </c>
      <c r="D18" s="11">
        <f t="shared" si="0"/>
        <v>-1491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1032525</v>
      </c>
      <c r="C39" s="11">
        <f>SUM(C8:C38)</f>
        <v>1028003</v>
      </c>
      <c r="D39" s="11">
        <f>SUM(D8:D38)</f>
        <v>-4522</v>
      </c>
      <c r="E39" s="10"/>
      <c r="F39" s="11"/>
      <c r="G39" s="11"/>
      <c r="H39" s="11"/>
    </row>
    <row r="40" spans="1:8" x14ac:dyDescent="0.2">
      <c r="A40" s="26"/>
      <c r="D40" s="75">
        <f>+summary!H4</f>
        <v>2.0299999999999998</v>
      </c>
      <c r="E40" s="26"/>
      <c r="H40" s="75"/>
    </row>
    <row r="41" spans="1:8" x14ac:dyDescent="0.2">
      <c r="D41" s="197">
        <f>+D40*D39</f>
        <v>-9179.66</v>
      </c>
      <c r="F41" s="252"/>
      <c r="H41" s="197"/>
    </row>
    <row r="42" spans="1:8" x14ac:dyDescent="0.2">
      <c r="A42" s="57">
        <v>37134</v>
      </c>
      <c r="D42" s="493">
        <v>40812.85</v>
      </c>
      <c r="E42" s="57"/>
      <c r="H42" s="197"/>
    </row>
    <row r="43" spans="1:8" x14ac:dyDescent="0.2">
      <c r="A43" s="57">
        <v>37145</v>
      </c>
      <c r="D43" s="198">
        <f>+D42+D41</f>
        <v>31633.19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37134</v>
      </c>
      <c r="B48" s="32"/>
      <c r="C48" s="32"/>
      <c r="D48" s="477">
        <v>-36540</v>
      </c>
    </row>
    <row r="49" spans="1:4" x14ac:dyDescent="0.2">
      <c r="A49" s="49">
        <f>+A43</f>
        <v>37145</v>
      </c>
      <c r="B49" s="32"/>
      <c r="C49" s="32"/>
      <c r="D49" s="377">
        <f>+D39</f>
        <v>-4522</v>
      </c>
    </row>
    <row r="50" spans="1:4" x14ac:dyDescent="0.2">
      <c r="A50" s="32"/>
      <c r="B50" s="32"/>
      <c r="C50" s="32"/>
      <c r="D50" s="14">
        <f>+D49+D48</f>
        <v>-41062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C7" sqref="C7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37134</v>
      </c>
      <c r="C5" s="487">
        <v>1328416.6399999999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37142</v>
      </c>
      <c r="J7" s="32"/>
    </row>
    <row r="8" spans="1:10" x14ac:dyDescent="0.2">
      <c r="A8" s="253">
        <v>60874</v>
      </c>
      <c r="B8" s="361">
        <v>1363</v>
      </c>
      <c r="J8" s="32"/>
    </row>
    <row r="9" spans="1:10" x14ac:dyDescent="0.2">
      <c r="A9" s="253">
        <v>78169</v>
      </c>
      <c r="B9" s="361"/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/>
      <c r="J11" s="32"/>
    </row>
    <row r="12" spans="1:10" x14ac:dyDescent="0.2">
      <c r="A12" s="253">
        <v>500251</v>
      </c>
      <c r="B12" s="332">
        <f>4240-3893</f>
        <v>347</v>
      </c>
      <c r="J12" s="32"/>
    </row>
    <row r="13" spans="1:10" x14ac:dyDescent="0.2">
      <c r="A13" s="253">
        <v>500254</v>
      </c>
      <c r="B13" s="332">
        <f>960-992</f>
        <v>-32</v>
      </c>
      <c r="J13" s="32"/>
    </row>
    <row r="14" spans="1:10" x14ac:dyDescent="0.2">
      <c r="A14" s="32">
        <v>500255</v>
      </c>
      <c r="B14" s="332">
        <f>4800-4116</f>
        <v>684</v>
      </c>
      <c r="J14" s="32"/>
    </row>
    <row r="15" spans="1:10" x14ac:dyDescent="0.2">
      <c r="A15" s="32">
        <v>500262</v>
      </c>
      <c r="B15" s="332">
        <f>2080-1983</f>
        <v>97</v>
      </c>
      <c r="J15" s="32"/>
    </row>
    <row r="16" spans="1:10" x14ac:dyDescent="0.2">
      <c r="A16" s="290">
        <v>500267</v>
      </c>
      <c r="B16" s="362">
        <f>427557-443466</f>
        <v>-15909</v>
      </c>
      <c r="J16" s="32"/>
    </row>
    <row r="17" spans="1:10" x14ac:dyDescent="0.2">
      <c r="B17" s="14">
        <f>SUM(B8:B16)</f>
        <v>-13450</v>
      </c>
      <c r="J17" s="32"/>
    </row>
    <row r="18" spans="1:10" x14ac:dyDescent="0.2">
      <c r="B18" s="15">
        <f>+B31</f>
        <v>2.0299999999999998</v>
      </c>
      <c r="C18" s="201">
        <f>+B18*B17</f>
        <v>-27303.499999999996</v>
      </c>
      <c r="G18" s="32"/>
      <c r="H18" s="411"/>
      <c r="I18" s="14"/>
      <c r="J18" s="32"/>
    </row>
    <row r="19" spans="1:10" x14ac:dyDescent="0.2">
      <c r="C19" s="339">
        <f>+C18+C5</f>
        <v>1301113.1399999999</v>
      </c>
      <c r="E19" s="15"/>
      <c r="G19" s="32"/>
      <c r="H19" s="411"/>
      <c r="I19" s="14"/>
      <c r="J19" s="32"/>
    </row>
    <row r="20" spans="1:10" x14ac:dyDescent="0.2">
      <c r="E20" s="15"/>
      <c r="G20" s="32"/>
      <c r="H20" s="411"/>
      <c r="I20" s="14"/>
      <c r="J20" s="32"/>
    </row>
    <row r="21" spans="1:10" x14ac:dyDescent="0.2">
      <c r="A21" s="32" t="s">
        <v>89</v>
      </c>
      <c r="G21" s="32"/>
      <c r="H21" s="411"/>
      <c r="I21" s="14"/>
      <c r="J21" s="32"/>
    </row>
    <row r="22" spans="1:10" x14ac:dyDescent="0.2">
      <c r="A22" s="2" t="s">
        <v>76</v>
      </c>
      <c r="G22" s="32"/>
      <c r="H22" s="411"/>
      <c r="I22" s="14"/>
      <c r="J22" s="32"/>
    </row>
    <row r="23" spans="1:10" x14ac:dyDescent="0.2">
      <c r="G23" s="32"/>
      <c r="H23" s="411"/>
      <c r="I23" s="14"/>
      <c r="J23" s="32"/>
    </row>
    <row r="24" spans="1:10" x14ac:dyDescent="0.2">
      <c r="G24" s="32"/>
      <c r="H24" s="411"/>
      <c r="I24" s="14"/>
      <c r="J24" s="32"/>
    </row>
    <row r="25" spans="1:10" x14ac:dyDescent="0.2">
      <c r="A25" s="200">
        <v>37134</v>
      </c>
      <c r="C25" s="487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37142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2.0299999999999998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E35" s="15"/>
    </row>
    <row r="36" spans="1:9" x14ac:dyDescent="0.2">
      <c r="A36" s="32" t="s">
        <v>89</v>
      </c>
      <c r="E36" s="32" t="s">
        <v>157</v>
      </c>
      <c r="F36" s="379">
        <v>24268</v>
      </c>
      <c r="G36" s="379">
        <v>24693</v>
      </c>
      <c r="H36" s="379">
        <v>24361</v>
      </c>
    </row>
    <row r="37" spans="1:9" x14ac:dyDescent="0.2">
      <c r="A37" s="32" t="s">
        <v>77</v>
      </c>
      <c r="E37" s="49">
        <f>+A5</f>
        <v>37134</v>
      </c>
      <c r="F37" s="477">
        <v>281142</v>
      </c>
      <c r="G37" s="488">
        <v>117857</v>
      </c>
      <c r="H37" s="477">
        <v>148659</v>
      </c>
      <c r="I37" s="14"/>
    </row>
    <row r="38" spans="1:9" x14ac:dyDescent="0.2">
      <c r="E38" s="49">
        <f>+A7</f>
        <v>37142</v>
      </c>
      <c r="F38" s="377">
        <f>+B17</f>
        <v>-13450</v>
      </c>
      <c r="G38" s="377">
        <f>+B30</f>
        <v>0</v>
      </c>
      <c r="H38" s="377">
        <f>+B45</f>
        <v>3215</v>
      </c>
      <c r="I38" s="14"/>
    </row>
    <row r="39" spans="1:9" x14ac:dyDescent="0.2">
      <c r="A39" s="49">
        <v>37134</v>
      </c>
      <c r="C39" s="487">
        <v>760779.86</v>
      </c>
      <c r="F39" s="14">
        <f>+F38+F37</f>
        <v>267692</v>
      </c>
      <c r="G39" s="14">
        <f>+G38+G37</f>
        <v>117857</v>
      </c>
      <c r="H39" s="14">
        <f>+H38+H37</f>
        <v>151874</v>
      </c>
      <c r="I39" s="14">
        <f>+H39+G39+F39</f>
        <v>537423</v>
      </c>
    </row>
    <row r="40" spans="1:9" x14ac:dyDescent="0.2">
      <c r="G40" s="32"/>
      <c r="H40" s="15"/>
      <c r="I40" s="32"/>
    </row>
    <row r="41" spans="1:9" x14ac:dyDescent="0.2">
      <c r="A41" s="249">
        <v>37144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2488</v>
      </c>
      <c r="G43" s="32"/>
      <c r="H43" s="412"/>
      <c r="I43" s="14"/>
    </row>
    <row r="44" spans="1:9" x14ac:dyDescent="0.2">
      <c r="A44" s="32">
        <v>500392</v>
      </c>
      <c r="B44" s="257">
        <v>727</v>
      </c>
      <c r="G44" s="32"/>
      <c r="H44" s="412"/>
      <c r="I44" s="14"/>
    </row>
    <row r="45" spans="1:9" x14ac:dyDescent="0.2">
      <c r="B45" s="14">
        <f>SUM(B42:B44)</f>
        <v>3215</v>
      </c>
      <c r="G45" s="32"/>
      <c r="H45" s="412"/>
      <c r="I45" s="14"/>
    </row>
    <row r="46" spans="1:9" x14ac:dyDescent="0.2">
      <c r="B46" s="201">
        <f>+B31</f>
        <v>2.0299999999999998</v>
      </c>
      <c r="C46" s="201">
        <f>+B46*B45</f>
        <v>6526.45</v>
      </c>
      <c r="H46" s="412"/>
      <c r="I46" s="14"/>
    </row>
    <row r="47" spans="1:9" x14ac:dyDescent="0.2">
      <c r="C47" s="339">
        <f>+C46+C39</f>
        <v>767306.30999999994</v>
      </c>
      <c r="E47" s="206"/>
      <c r="H47" s="412"/>
      <c r="I47" s="14"/>
    </row>
    <row r="48" spans="1:9" x14ac:dyDescent="0.2">
      <c r="E48" s="216"/>
      <c r="H48" s="412"/>
      <c r="I48" s="14"/>
    </row>
    <row r="49" spans="1:9" x14ac:dyDescent="0.2">
      <c r="E49" s="206"/>
      <c r="H49" s="412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85">
        <v>73449.16</v>
      </c>
      <c r="D52" s="32" t="s">
        <v>123</v>
      </c>
      <c r="E52" s="50"/>
      <c r="H52" s="412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86">
        <v>23612.35</v>
      </c>
      <c r="D53" s="32" t="s">
        <v>124</v>
      </c>
      <c r="H53" s="412">
        <v>22664</v>
      </c>
      <c r="I53" s="208">
        <v>18932</v>
      </c>
    </row>
    <row r="54" spans="1:9" x14ac:dyDescent="0.2">
      <c r="H54" s="413"/>
      <c r="I54" s="16"/>
    </row>
    <row r="55" spans="1:9" x14ac:dyDescent="0.2">
      <c r="C55" s="459"/>
    </row>
    <row r="56" spans="1:9" x14ac:dyDescent="0.2">
      <c r="C56" s="331">
        <f>+C53+C52+C47+C32+C19</f>
        <v>2440794.6799999997</v>
      </c>
      <c r="I56" s="14">
        <f>SUM(I39:I53)</f>
        <v>592758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C31" workbookViewId="3">
      <selection activeCell="F44" sqref="F44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24784</v>
      </c>
      <c r="E5" s="11">
        <v>22824</v>
      </c>
      <c r="F5" s="11">
        <f t="shared" ref="F5:F34" si="0">+E5+C5-D5-B5</f>
        <v>-1960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24557</v>
      </c>
      <c r="E7" s="11">
        <v>24000</v>
      </c>
      <c r="F7" s="11">
        <f t="shared" si="0"/>
        <v>-557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24078</v>
      </c>
      <c r="E8" s="11">
        <v>24000</v>
      </c>
      <c r="F8" s="11">
        <f t="shared" si="0"/>
        <v>-78</v>
      </c>
      <c r="G8" s="11"/>
      <c r="I8" s="11"/>
      <c r="J8" s="24"/>
    </row>
    <row r="9" spans="1:10" x14ac:dyDescent="0.2">
      <c r="A9" s="10">
        <v>6</v>
      </c>
      <c r="B9" s="11">
        <v>458</v>
      </c>
      <c r="C9" s="11"/>
      <c r="D9" s="11">
        <v>24837</v>
      </c>
      <c r="E9" s="11">
        <v>24000</v>
      </c>
      <c r="F9" s="11">
        <f t="shared" si="0"/>
        <v>-1295</v>
      </c>
      <c r="G9" s="11"/>
      <c r="I9" s="11"/>
      <c r="J9" s="24"/>
    </row>
    <row r="10" spans="1:10" x14ac:dyDescent="0.2">
      <c r="A10" s="10">
        <v>7</v>
      </c>
      <c r="B10" s="11">
        <v>2841</v>
      </c>
      <c r="C10" s="11"/>
      <c r="D10" s="11">
        <v>24858</v>
      </c>
      <c r="E10" s="11">
        <v>24000</v>
      </c>
      <c r="F10" s="11">
        <f t="shared" si="0"/>
        <v>-3699</v>
      </c>
      <c r="G10" s="11"/>
      <c r="I10" s="11"/>
      <c r="J10" s="24"/>
    </row>
    <row r="11" spans="1:10" x14ac:dyDescent="0.2">
      <c r="A11" s="10">
        <v>8</v>
      </c>
      <c r="B11" s="11">
        <v>4785</v>
      </c>
      <c r="C11" s="11"/>
      <c r="D11" s="11">
        <v>24955</v>
      </c>
      <c r="E11" s="11">
        <v>24000</v>
      </c>
      <c r="F11" s="11">
        <f t="shared" si="0"/>
        <v>-5740</v>
      </c>
      <c r="G11" s="11"/>
      <c r="I11" s="11"/>
      <c r="J11" s="24"/>
    </row>
    <row r="12" spans="1:10" x14ac:dyDescent="0.2">
      <c r="A12" s="10">
        <v>9</v>
      </c>
      <c r="B12" s="11">
        <v>3622</v>
      </c>
      <c r="C12" s="11"/>
      <c r="D12" s="11">
        <v>24838</v>
      </c>
      <c r="E12" s="11">
        <v>24000</v>
      </c>
      <c r="F12" s="11">
        <f t="shared" si="0"/>
        <v>-4460</v>
      </c>
      <c r="G12" s="11"/>
      <c r="I12" s="11"/>
      <c r="J12" s="24"/>
    </row>
    <row r="13" spans="1:10" x14ac:dyDescent="0.2">
      <c r="A13" s="10">
        <v>10</v>
      </c>
      <c r="B13" s="11">
        <v>1852</v>
      </c>
      <c r="C13" s="11"/>
      <c r="D13" s="11">
        <v>24699</v>
      </c>
      <c r="E13" s="11">
        <v>24000</v>
      </c>
      <c r="F13" s="11">
        <f t="shared" si="0"/>
        <v>-2551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79">
        <v>23995</v>
      </c>
      <c r="J33" s="379">
        <v>22051</v>
      </c>
      <c r="K33" s="379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477">
        <v>-178485</v>
      </c>
      <c r="J34" s="477">
        <v>-46545</v>
      </c>
      <c r="K34" s="14"/>
      <c r="L34" s="14"/>
    </row>
    <row r="35" spans="1:13" x14ac:dyDescent="0.2">
      <c r="A35" s="10"/>
      <c r="B35" s="11">
        <f>SUM(B4:B34)</f>
        <v>13558</v>
      </c>
      <c r="C35" s="11">
        <f>SUM(C4:C34)</f>
        <v>0</v>
      </c>
      <c r="D35" s="11">
        <f>SUM(D4:D34)</f>
        <v>248258</v>
      </c>
      <c r="E35" s="11">
        <f>SUM(E4:E34)</f>
        <v>238201</v>
      </c>
      <c r="F35" s="11">
        <f>SUM(F4:F34)</f>
        <v>-23615</v>
      </c>
      <c r="G35" s="11"/>
      <c r="H35" s="49">
        <f>+A40</f>
        <v>37144</v>
      </c>
      <c r="I35" s="377">
        <f>+C36</f>
        <v>-13558</v>
      </c>
      <c r="J35" s="377">
        <f>+E36</f>
        <v>-10057</v>
      </c>
      <c r="K35" s="208"/>
      <c r="L35" s="14"/>
    </row>
    <row r="36" spans="1:13" x14ac:dyDescent="0.2">
      <c r="C36" s="25">
        <f>+C35-B35</f>
        <v>-13558</v>
      </c>
      <c r="E36" s="25">
        <f>+E35-D35</f>
        <v>-10057</v>
      </c>
      <c r="F36" s="25">
        <f>+E36+C36</f>
        <v>-23615</v>
      </c>
      <c r="H36" s="32"/>
      <c r="I36" s="14">
        <f>+I35+I34</f>
        <v>-192043</v>
      </c>
      <c r="J36" s="14">
        <f>+J35+J34</f>
        <v>-56602</v>
      </c>
      <c r="K36" s="14">
        <f>+J36+I36</f>
        <v>-248645</v>
      </c>
      <c r="L36" s="14"/>
    </row>
    <row r="37" spans="1:13" x14ac:dyDescent="0.2">
      <c r="C37" s="329">
        <f>+summary!H5</f>
        <v>2.0699999999999998</v>
      </c>
      <c r="E37" s="104">
        <f>+C37</f>
        <v>2.0699999999999998</v>
      </c>
      <c r="F37" s="138">
        <f>+F36*E37</f>
        <v>-48883.049999999996</v>
      </c>
    </row>
    <row r="38" spans="1:13" x14ac:dyDescent="0.2">
      <c r="C38" s="138">
        <f>+C37*C36</f>
        <v>-28065.059999999998</v>
      </c>
      <c r="E38" s="136">
        <f>+E37*E36</f>
        <v>-20817.989999999998</v>
      </c>
      <c r="F38" s="138">
        <f>+E38+C38</f>
        <v>-48883.049999999996</v>
      </c>
    </row>
    <row r="39" spans="1:13" x14ac:dyDescent="0.2">
      <c r="A39" s="57">
        <v>37134</v>
      </c>
      <c r="B39" s="2" t="s">
        <v>46</v>
      </c>
      <c r="C39" s="489">
        <v>-1023166.39</v>
      </c>
      <c r="D39" s="338"/>
      <c r="E39" s="475">
        <v>-399182.01</v>
      </c>
      <c r="F39" s="337">
        <f>+E39+C39</f>
        <v>-1422348.4</v>
      </c>
    </row>
    <row r="40" spans="1:13" x14ac:dyDescent="0.2">
      <c r="A40" s="57">
        <v>37144</v>
      </c>
      <c r="B40" s="2" t="s">
        <v>46</v>
      </c>
      <c r="C40" s="330">
        <f>+C39+C38</f>
        <v>-1051231.45</v>
      </c>
      <c r="D40" s="259"/>
      <c r="E40" s="330">
        <f>+E39+E38</f>
        <v>-420000</v>
      </c>
      <c r="F40" s="330">
        <f>+E40+C40</f>
        <v>-1471231.45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87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87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490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87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91">
        <v>-933276.39</v>
      </c>
      <c r="G48" s="254" t="s">
        <v>125</v>
      </c>
      <c r="J48" s="12">
        <v>24532</v>
      </c>
      <c r="K48" s="212">
        <v>-42250</v>
      </c>
    </row>
    <row r="49" spans="3:13" x14ac:dyDescent="0.2">
      <c r="C49" s="250"/>
      <c r="D49" s="250"/>
      <c r="F49" s="349">
        <f>SUM(F40:F48)</f>
        <v>-2409058.37</v>
      </c>
      <c r="G49" s="250"/>
      <c r="K49" s="14">
        <f>SUM(K36:K48)</f>
        <v>-249853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2440794.6799999997</v>
      </c>
      <c r="M51" s="14">
        <f>+Duke!I56</f>
        <v>592758</v>
      </c>
    </row>
    <row r="53" spans="3:13" x14ac:dyDescent="0.2">
      <c r="F53" s="104">
        <f>+F51+F49</f>
        <v>31736.30999999959</v>
      </c>
      <c r="M53" s="16">
        <f>+M51+K49</f>
        <v>342905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D47" sqref="D47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6275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-133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4296</v>
      </c>
      <c r="C13" s="11">
        <v>6386</v>
      </c>
      <c r="D13" s="11"/>
      <c r="E13" s="11"/>
      <c r="F13" s="11">
        <v>964</v>
      </c>
      <c r="G13" s="11">
        <v>1674</v>
      </c>
      <c r="H13" s="11">
        <v>2158</v>
      </c>
      <c r="I13" s="11">
        <v>1258</v>
      </c>
      <c r="J13" s="25">
        <f t="shared" si="0"/>
        <v>1900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6323</v>
      </c>
      <c r="C14" s="11">
        <v>6386</v>
      </c>
      <c r="D14" s="11"/>
      <c r="E14" s="11"/>
      <c r="F14" s="11">
        <v>965</v>
      </c>
      <c r="G14" s="11">
        <v>1674</v>
      </c>
      <c r="H14" s="11">
        <v>2108</v>
      </c>
      <c r="I14" s="129">
        <v>1258</v>
      </c>
      <c r="J14" s="25">
        <f t="shared" si="0"/>
        <v>-78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6044</v>
      </c>
      <c r="C15" s="11">
        <v>6386</v>
      </c>
      <c r="D15" s="11"/>
      <c r="E15" s="11"/>
      <c r="F15" s="11">
        <v>952</v>
      </c>
      <c r="G15" s="11">
        <v>1674</v>
      </c>
      <c r="H15" s="11">
        <v>2096</v>
      </c>
      <c r="I15" s="11">
        <v>1258</v>
      </c>
      <c r="J15" s="25">
        <f t="shared" si="0"/>
        <v>226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5784</v>
      </c>
      <c r="C16" s="11">
        <v>6386</v>
      </c>
      <c r="D16" s="11"/>
      <c r="E16" s="11"/>
      <c r="F16" s="11">
        <v>1054</v>
      </c>
      <c r="G16" s="11">
        <v>1674</v>
      </c>
      <c r="H16" s="11">
        <v>2065</v>
      </c>
      <c r="I16" s="11">
        <v>1258</v>
      </c>
      <c r="J16" s="25">
        <f t="shared" si="0"/>
        <v>415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5604</v>
      </c>
      <c r="C17" s="11">
        <v>6386</v>
      </c>
      <c r="D17" s="11"/>
      <c r="E17" s="11"/>
      <c r="F17" s="11">
        <v>906</v>
      </c>
      <c r="G17" s="11">
        <v>1674</v>
      </c>
      <c r="H17" s="11">
        <v>2040</v>
      </c>
      <c r="I17" s="11">
        <v>1258</v>
      </c>
      <c r="J17" s="25">
        <f t="shared" si="0"/>
        <v>768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59869</v>
      </c>
      <c r="C39" s="11">
        <f t="shared" si="1"/>
        <v>63848</v>
      </c>
      <c r="D39" s="11">
        <f t="shared" si="1"/>
        <v>0</v>
      </c>
      <c r="E39" s="11">
        <f t="shared" si="1"/>
        <v>0</v>
      </c>
      <c r="F39" s="11">
        <f t="shared" si="1"/>
        <v>9602</v>
      </c>
      <c r="G39" s="11">
        <f t="shared" si="1"/>
        <v>16309</v>
      </c>
      <c r="H39" s="11">
        <f t="shared" si="1"/>
        <v>20676</v>
      </c>
      <c r="I39" s="11">
        <f t="shared" si="1"/>
        <v>12580</v>
      </c>
      <c r="J39" s="25">
        <f t="shared" si="1"/>
        <v>2590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2.0299999999999998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5257.7</v>
      </c>
      <c r="L41"/>
      <c r="R41" s="138"/>
      <c r="X41" s="138"/>
    </row>
    <row r="42" spans="1:24" x14ac:dyDescent="0.2">
      <c r="A42" s="57">
        <v>37134</v>
      </c>
      <c r="C42" s="15"/>
      <c r="J42" s="484">
        <v>343565.75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37144</v>
      </c>
      <c r="C43" s="48"/>
      <c r="J43" s="138">
        <f>+J42+J41</f>
        <v>348823.45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37134</v>
      </c>
      <c r="B47" s="32"/>
      <c r="C47" s="32"/>
      <c r="D47" s="477">
        <v>135836</v>
      </c>
      <c r="L47"/>
    </row>
    <row r="48" spans="1:24" x14ac:dyDescent="0.2">
      <c r="A48" s="49">
        <f>+A43</f>
        <v>37144</v>
      </c>
      <c r="B48" s="32"/>
      <c r="C48" s="32"/>
      <c r="D48" s="377">
        <f>+J39</f>
        <v>2590</v>
      </c>
      <c r="L48"/>
    </row>
    <row r="49" spans="1:12" x14ac:dyDescent="0.2">
      <c r="A49" s="32"/>
      <c r="B49" s="32"/>
      <c r="C49" s="32"/>
      <c r="D49" s="14">
        <f>+D48+D47</f>
        <v>138426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11274</v>
      </c>
      <c r="C11" s="11">
        <v>11294</v>
      </c>
      <c r="D11" s="11">
        <v>-381</v>
      </c>
      <c r="E11" s="11"/>
      <c r="F11" s="25">
        <f t="shared" si="0"/>
        <v>401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11569</v>
      </c>
      <c r="C12" s="11">
        <v>11294</v>
      </c>
      <c r="D12" s="11">
        <v>-831</v>
      </c>
      <c r="E12" s="11"/>
      <c r="F12" s="25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11037</v>
      </c>
      <c r="C13" s="11">
        <v>11295</v>
      </c>
      <c r="D13" s="11">
        <v>-49</v>
      </c>
      <c r="E13" s="11"/>
      <c r="F13" s="25">
        <f t="shared" si="0"/>
        <v>307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11390</v>
      </c>
      <c r="C14" s="11">
        <v>11295</v>
      </c>
      <c r="D14" s="11"/>
      <c r="E14" s="11"/>
      <c r="F14" s="25">
        <f t="shared" si="0"/>
        <v>-95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11316</v>
      </c>
      <c r="C15" s="11">
        <v>11294</v>
      </c>
      <c r="D15" s="11"/>
      <c r="E15" s="11"/>
      <c r="F15" s="25">
        <f t="shared" si="0"/>
        <v>-22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11201</v>
      </c>
      <c r="C16" s="11">
        <v>11294</v>
      </c>
      <c r="D16" s="11"/>
      <c r="E16" s="11"/>
      <c r="F16" s="25">
        <f t="shared" si="0"/>
        <v>93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12643</v>
      </c>
      <c r="C17" s="11">
        <v>11294</v>
      </c>
      <c r="D17" s="11">
        <v>-704</v>
      </c>
      <c r="E17" s="11"/>
      <c r="F17" s="25">
        <f t="shared" si="0"/>
        <v>-645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12233</v>
      </c>
      <c r="C18" s="11">
        <v>11294</v>
      </c>
      <c r="D18" s="11">
        <v>-352</v>
      </c>
      <c r="E18" s="11"/>
      <c r="F18" s="25">
        <f t="shared" si="0"/>
        <v>-587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12021</v>
      </c>
      <c r="C19" s="11">
        <v>11294</v>
      </c>
      <c r="D19" s="11">
        <v>-226</v>
      </c>
      <c r="E19" s="11"/>
      <c r="F19" s="25">
        <f t="shared" si="0"/>
        <v>-501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138592</v>
      </c>
      <c r="C39" s="11">
        <f>SUM(C8:C38)</f>
        <v>135530</v>
      </c>
      <c r="D39" s="11">
        <f>SUM(D8:D38)</f>
        <v>-2827</v>
      </c>
      <c r="E39" s="11">
        <f>SUM(E8:E38)</f>
        <v>0</v>
      </c>
      <c r="F39" s="11">
        <f>SUM(F8:F38)</f>
        <v>-235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2.0299999999999998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-477.04999999999995</v>
      </c>
      <c r="J41" s="138"/>
      <c r="N41" s="138"/>
      <c r="R41" s="138"/>
      <c r="V41" s="138"/>
      <c r="Z41" s="138"/>
    </row>
    <row r="42" spans="1:26" x14ac:dyDescent="0.2">
      <c r="A42" s="57">
        <v>37134</v>
      </c>
      <c r="C42" s="15"/>
      <c r="D42" s="15"/>
      <c r="E42" s="15"/>
      <c r="F42" s="478">
        <v>429151.98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37146</v>
      </c>
      <c r="C43" s="48"/>
      <c r="D43" s="48"/>
      <c r="E43" s="48"/>
      <c r="F43" s="110">
        <f>+F42+F41</f>
        <v>428674.93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37134</v>
      </c>
      <c r="B47" s="32"/>
      <c r="C47" s="32"/>
      <c r="D47" s="477">
        <v>-240480</v>
      </c>
      <c r="E47" s="11"/>
    </row>
    <row r="48" spans="1:26" x14ac:dyDescent="0.2">
      <c r="A48" s="49">
        <f>+A43</f>
        <v>37146</v>
      </c>
      <c r="B48" s="32"/>
      <c r="C48" s="32"/>
      <c r="D48" s="377">
        <f>+F39</f>
        <v>-235</v>
      </c>
      <c r="E48" s="11"/>
    </row>
    <row r="49" spans="1:5" x14ac:dyDescent="0.2">
      <c r="A49" s="32"/>
      <c r="B49" s="32"/>
      <c r="C49" s="32"/>
      <c r="D49" s="14">
        <f>+D48+D47</f>
        <v>-240715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16" workbookViewId="0">
      <selection activeCell="B15" sqref="B15"/>
    </sheetView>
    <sheetView tabSelected="1" topLeftCell="A7" workbookViewId="1">
      <selection activeCell="B16" sqref="B16"/>
    </sheetView>
    <sheetView tabSelected="1" topLeftCell="A19" workbookViewId="2">
      <selection activeCell="J34" sqref="J34"/>
    </sheetView>
    <sheetView tabSelected="1" workbookViewId="3">
      <selection activeCell="E17" sqref="E17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4" t="s">
        <v>81</v>
      </c>
      <c r="H2" s="371"/>
    </row>
    <row r="3" spans="1:32" ht="15" customHeight="1" x14ac:dyDescent="0.2">
      <c r="G3" s="299" t="s">
        <v>30</v>
      </c>
      <c r="H3" s="370">
        <f>+'[1]0901'!$K$39</f>
        <v>1.94</v>
      </c>
      <c r="I3" s="405">
        <f ca="1">NOW()</f>
        <v>37147.830071759257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+'[1]0901'!$M$39</f>
        <v>2.0299999999999998</v>
      </c>
    </row>
    <row r="5" spans="1:32" ht="15" customHeight="1" x14ac:dyDescent="0.2">
      <c r="B5" s="367"/>
      <c r="G5" s="299" t="s">
        <v>120</v>
      </c>
      <c r="H5" s="370">
        <f>+'[1]0901'!$H$39</f>
        <v>2.0699999999999998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2" t="s">
        <v>90</v>
      </c>
      <c r="B8" s="373">
        <f>+NNG!$D$24</f>
        <v>562126.1</v>
      </c>
      <c r="C8" s="285">
        <f t="shared" ref="C8:C15" si="0">+B8/$H$4</f>
        <v>276909.40886699507</v>
      </c>
      <c r="D8" s="395">
        <f>+NNG!A24</f>
        <v>37145</v>
      </c>
      <c r="E8" s="206" t="s">
        <v>88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3">
        <f>+Conoco!$F$41</f>
        <v>508467.5</v>
      </c>
      <c r="C9" s="285">
        <f>+B9/$H$4</f>
        <v>250476.60098522171</v>
      </c>
      <c r="D9" s="395">
        <f>+Conoco!A41</f>
        <v>37145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154</v>
      </c>
      <c r="B10" s="373">
        <f>+PGETX!$H$39</f>
        <v>455150.02</v>
      </c>
      <c r="C10" s="285">
        <f t="shared" si="0"/>
        <v>224211.8325123153</v>
      </c>
      <c r="D10" s="396">
        <f>+PGETX!E39</f>
        <v>37145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372" t="s">
        <v>29</v>
      </c>
      <c r="B11" s="373">
        <f>+C11*$H$3</f>
        <v>444058.24</v>
      </c>
      <c r="C11" s="285">
        <f>+williams!J40</f>
        <v>228896</v>
      </c>
      <c r="D11" s="395">
        <f>+williams!A40</f>
        <v>37145</v>
      </c>
      <c r="E11" s="206" t="s">
        <v>87</v>
      </c>
      <c r="F11" s="206" t="s">
        <v>151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3</v>
      </c>
      <c r="B12" s="373">
        <f>+'Amoco Abo'!$F$43</f>
        <v>428674.93</v>
      </c>
      <c r="C12" s="285">
        <f t="shared" si="0"/>
        <v>211169.91625615765</v>
      </c>
      <c r="D12" s="396">
        <f>+'Amoco Abo'!A43</f>
        <v>37146</v>
      </c>
      <c r="E12" s="32" t="s">
        <v>88</v>
      </c>
      <c r="F12" s="32" t="s">
        <v>118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3">
        <f>+CIG!$D$43</f>
        <v>392514.77</v>
      </c>
      <c r="C13" s="285">
        <f t="shared" si="0"/>
        <v>193357.02955665026</v>
      </c>
      <c r="D13" s="396">
        <f>+CIG!A43</f>
        <v>37144</v>
      </c>
      <c r="E13" s="32" t="s">
        <v>88</v>
      </c>
      <c r="F13" s="32" t="s">
        <v>116</v>
      </c>
      <c r="G13" s="32" t="s">
        <v>205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110</v>
      </c>
      <c r="B14" s="373">
        <f>+KN_Westar!F41</f>
        <v>366544.3</v>
      </c>
      <c r="C14" s="285">
        <f t="shared" si="0"/>
        <v>180563.69458128081</v>
      </c>
      <c r="D14" s="396">
        <f>+KN_Westar!A41</f>
        <v>37142</v>
      </c>
      <c r="E14" s="32" t="s">
        <v>88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2</v>
      </c>
      <c r="B15" s="373">
        <f>+mewborne!$J$43</f>
        <v>348823.45</v>
      </c>
      <c r="C15" s="285">
        <f t="shared" si="0"/>
        <v>171834.21182266012</v>
      </c>
      <c r="D15" s="396">
        <f>+mewborne!A43</f>
        <v>37144</v>
      </c>
      <c r="E15" s="32" t="s">
        <v>88</v>
      </c>
      <c r="F15" s="32" t="s">
        <v>102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372" t="s">
        <v>33</v>
      </c>
      <c r="B16" s="373">
        <f>+C16*$H$4</f>
        <v>332225.74</v>
      </c>
      <c r="C16" s="208">
        <f>+SoCal!F40</f>
        <v>163658</v>
      </c>
      <c r="D16" s="395">
        <f>+SoCal!A40</f>
        <v>37146</v>
      </c>
      <c r="E16" s="206" t="s">
        <v>87</v>
      </c>
      <c r="F16" s="206" t="s">
        <v>105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91</v>
      </c>
      <c r="B17" s="373">
        <f>+C17*$H$4</f>
        <v>312644.36</v>
      </c>
      <c r="C17" s="285">
        <f>+NGPL!F38</f>
        <v>154012</v>
      </c>
      <c r="D17" s="396">
        <f>+NGPL!A38</f>
        <v>37146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97</v>
      </c>
      <c r="B18" s="373">
        <f>+C18*$H$4</f>
        <v>296759.61</v>
      </c>
      <c r="C18" s="285">
        <f>+Mojave!D40</f>
        <v>146187</v>
      </c>
      <c r="D18" s="396">
        <f>+Mojave!A40</f>
        <v>37146</v>
      </c>
      <c r="E18" s="32" t="s">
        <v>87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24</v>
      </c>
      <c r="B19" s="441">
        <f>+C19*$H$3</f>
        <v>274411.06</v>
      </c>
      <c r="C19" s="375">
        <f>+'Red C'!F43</f>
        <v>141449</v>
      </c>
      <c r="D19" s="395">
        <f>+'Red C'!B43</f>
        <v>37143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32</v>
      </c>
      <c r="B20" s="373">
        <f>+C20*$H$4</f>
        <v>159868.59</v>
      </c>
      <c r="C20" s="285">
        <f>+Lonestar!F42</f>
        <v>78753</v>
      </c>
      <c r="D20" s="395">
        <f>+Lonestar!B42</f>
        <v>37145</v>
      </c>
      <c r="E20" s="32" t="s">
        <v>87</v>
      </c>
      <c r="F20" s="32" t="s">
        <v>105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148</v>
      </c>
      <c r="B21" s="374">
        <f>+C21*$H$4</f>
        <v>133027.93</v>
      </c>
      <c r="C21" s="375">
        <f>+PEPL!D41</f>
        <v>65531</v>
      </c>
      <c r="D21" s="396">
        <f>+PEPL!A41</f>
        <v>37145</v>
      </c>
      <c r="E21" s="32" t="s">
        <v>87</v>
      </c>
      <c r="F21" s="32" t="s">
        <v>103</v>
      </c>
      <c r="G21" s="32" t="s">
        <v>147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</v>
      </c>
      <c r="B22" s="373">
        <f>+C22*$H$3</f>
        <v>130106.09999999999</v>
      </c>
      <c r="C22" s="208">
        <f>+NW!$F$41</f>
        <v>67065</v>
      </c>
      <c r="D22" s="395">
        <f>+NW!B41</f>
        <v>37146</v>
      </c>
      <c r="E22" s="32" t="s">
        <v>87</v>
      </c>
      <c r="F22" s="32" t="s">
        <v>118</v>
      </c>
      <c r="G22" s="379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372" t="s">
        <v>82</v>
      </c>
      <c r="B23" s="373">
        <f>+Agave!$D$24</f>
        <v>129647.68999999999</v>
      </c>
      <c r="C23" s="208">
        <f>+B23/$H$4</f>
        <v>63865.857142857145</v>
      </c>
      <c r="D23" s="395">
        <f>+Agave!A24</f>
        <v>37145</v>
      </c>
      <c r="E23" s="206" t="s">
        <v>88</v>
      </c>
      <c r="F23" s="206" t="s">
        <v>105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6</v>
      </c>
      <c r="B24" s="373">
        <f>+C24*$H$3</f>
        <v>128142.81999999999</v>
      </c>
      <c r="C24" s="285">
        <f>+Amoco!D40</f>
        <v>66053</v>
      </c>
      <c r="D24" s="396">
        <f>+Amoco!A40</f>
        <v>37146</v>
      </c>
      <c r="E24" s="32" t="s">
        <v>87</v>
      </c>
      <c r="F24" s="32" t="s">
        <v>118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117</v>
      </c>
      <c r="B25" s="373">
        <f>+C25*$H$4</f>
        <v>111345.49999999999</v>
      </c>
      <c r="C25" s="208">
        <f>+'PG&amp;E'!D40</f>
        <v>54850</v>
      </c>
      <c r="D25" s="396">
        <f>+'PG&amp;E'!A40</f>
        <v>37146</v>
      </c>
      <c r="E25" s="32" t="s">
        <v>87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7</v>
      </c>
      <c r="B26" s="373">
        <f>+C26*$H$4</f>
        <v>101331.51</v>
      </c>
      <c r="C26" s="208">
        <f>+Oasis!D40</f>
        <v>49917</v>
      </c>
      <c r="D26" s="396">
        <f>+Oasis!B40</f>
        <v>37145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372" t="s">
        <v>132</v>
      </c>
      <c r="B27" s="373">
        <f>+Calpine!D41</f>
        <v>96412.459999999992</v>
      </c>
      <c r="C27" s="208">
        <f t="shared" ref="C27:C32" si="1">+B27/$H$4</f>
        <v>47493.822660098522</v>
      </c>
      <c r="D27" s="395">
        <f>+Calpine!A41</f>
        <v>37146</v>
      </c>
      <c r="E27" s="206" t="s">
        <v>88</v>
      </c>
      <c r="F27" s="206" t="s">
        <v>102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85</v>
      </c>
      <c r="B28" s="373">
        <f>+PNM!$D$23</f>
        <v>85615.260000000009</v>
      </c>
      <c r="C28" s="285">
        <f t="shared" si="1"/>
        <v>42175.004926108384</v>
      </c>
      <c r="D28" s="396">
        <f>+PNM!A23</f>
        <v>37145</v>
      </c>
      <c r="E28" s="32" t="s">
        <v>88</v>
      </c>
      <c r="F28" s="32" t="s">
        <v>118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3">
        <f>+EOG!J41</f>
        <v>71037.61</v>
      </c>
      <c r="C29" s="285">
        <f t="shared" si="1"/>
        <v>34993.896551724145</v>
      </c>
      <c r="D29" s="395">
        <f>+EOG!A41</f>
        <v>37144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253" t="s">
        <v>136</v>
      </c>
      <c r="B30" s="373">
        <f>+SidR!D41</f>
        <v>52857.93</v>
      </c>
      <c r="C30" s="285">
        <f t="shared" si="1"/>
        <v>26038.38916256158</v>
      </c>
      <c r="D30" s="396">
        <f>+SidR!A41</f>
        <v>37145</v>
      </c>
      <c r="E30" s="32" t="s">
        <v>88</v>
      </c>
      <c r="F30" s="32" t="s">
        <v>105</v>
      </c>
      <c r="G30" s="32" t="s">
        <v>168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5" customHeight="1" x14ac:dyDescent="0.2">
      <c r="A31" s="253" t="s">
        <v>131</v>
      </c>
      <c r="B31" s="373">
        <f>+DEFS!F53</f>
        <v>31736.30999999959</v>
      </c>
      <c r="C31" s="208">
        <f t="shared" si="1"/>
        <v>15633.650246305218</v>
      </c>
      <c r="D31" s="396">
        <f>+DEFS!A40</f>
        <v>37144</v>
      </c>
      <c r="E31" s="32" t="s">
        <v>88</v>
      </c>
      <c r="F31" s="32" t="s">
        <v>103</v>
      </c>
      <c r="G31" s="32" t="s">
        <v>121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s="304" customFormat="1" ht="12.95" customHeight="1" x14ac:dyDescent="0.2">
      <c r="A32" s="372" t="s">
        <v>74</v>
      </c>
      <c r="B32" s="374">
        <f>+transcol!$D$43</f>
        <v>31633.19</v>
      </c>
      <c r="C32" s="375">
        <f t="shared" si="1"/>
        <v>15582.85221674877</v>
      </c>
      <c r="D32" s="395">
        <f>+transcol!A43</f>
        <v>37145</v>
      </c>
      <c r="E32" s="206" t="s">
        <v>88</v>
      </c>
      <c r="F32" s="206" t="s">
        <v>118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">
      <c r="A33" s="372" t="s">
        <v>98</v>
      </c>
      <c r="B33" s="373">
        <f>+burlington!D42</f>
        <v>6363.2</v>
      </c>
      <c r="C33" s="285">
        <f>+B33/$H$3</f>
        <v>3280</v>
      </c>
      <c r="D33" s="395">
        <f>+burlington!A42</f>
        <v>37145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72" t="s">
        <v>112</v>
      </c>
      <c r="B34" s="376">
        <f>+Continental!F43</f>
        <v>6269.89</v>
      </c>
      <c r="C34" s="377">
        <f>+B34/$H$4</f>
        <v>3088.6157635467985</v>
      </c>
      <c r="D34" s="395">
        <f>+Continental!A43</f>
        <v>37145</v>
      </c>
      <c r="E34" s="206" t="s">
        <v>88</v>
      </c>
      <c r="F34" s="206" t="s">
        <v>118</v>
      </c>
      <c r="G34" s="206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">
      <c r="A35" s="32" t="s">
        <v>99</v>
      </c>
      <c r="B35" s="47">
        <f>SUM(B8:B34)</f>
        <v>5997796.0699999984</v>
      </c>
      <c r="C35" s="69">
        <f>SUM(C8:C34)</f>
        <v>2977045.7832512315</v>
      </c>
      <c r="D35" s="205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2"/>
      <c r="B36" s="47"/>
      <c r="C36" s="69"/>
      <c r="D36" s="205"/>
      <c r="E36" s="32"/>
      <c r="F36" s="378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55" t="s">
        <v>92</v>
      </c>
      <c r="B37" s="356" t="s">
        <v>17</v>
      </c>
      <c r="C37" s="357" t="s">
        <v>0</v>
      </c>
      <c r="D37" s="366" t="s">
        <v>153</v>
      </c>
      <c r="E37" s="355" t="s">
        <v>93</v>
      </c>
      <c r="F37" s="358" t="s">
        <v>104</v>
      </c>
      <c r="G37" s="355" t="s">
        <v>101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372" t="s">
        <v>140</v>
      </c>
      <c r="B38" s="373">
        <f>+Citizens!D18</f>
        <v>-683291.37</v>
      </c>
      <c r="C38" s="208">
        <f>+B38/$H$4</f>
        <v>-336596.73399014783</v>
      </c>
      <c r="D38" s="395">
        <f>+Citizens!A18</f>
        <v>37145</v>
      </c>
      <c r="E38" s="206" t="s">
        <v>88</v>
      </c>
      <c r="F38" s="206" t="s">
        <v>102</v>
      </c>
      <c r="G38" s="379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138</v>
      </c>
      <c r="B39" s="373">
        <f>+'NS Steel'!D41</f>
        <v>-433759.02</v>
      </c>
      <c r="C39" s="208">
        <f>+B39/$H$4</f>
        <v>-213674.39408866997</v>
      </c>
      <c r="D39" s="396">
        <f>+'NS Steel'!A41</f>
        <v>37145</v>
      </c>
      <c r="E39" s="32" t="s">
        <v>88</v>
      </c>
      <c r="F39" s="32" t="s">
        <v>103</v>
      </c>
      <c r="G39" s="379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3" t="s">
        <v>144</v>
      </c>
      <c r="B40" s="373">
        <f>+'Citizens-Griffith'!D41</f>
        <v>-111576.32000000001</v>
      </c>
      <c r="C40" s="285">
        <f>+B40/$H$4</f>
        <v>-54963.704433497544</v>
      </c>
      <c r="D40" s="395">
        <f>+'Citizens-Griffith'!A41</f>
        <v>37145</v>
      </c>
      <c r="E40" s="32" t="s">
        <v>88</v>
      </c>
      <c r="F40" s="32" t="s">
        <v>102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34</v>
      </c>
      <c r="B41" s="373">
        <f>+'El Paso'!C39*summary!H4+'El Paso'!E39*summary!H3</f>
        <v>-28947.919999999998</v>
      </c>
      <c r="C41" s="285">
        <f>+'El Paso'!H39</f>
        <v>-17902</v>
      </c>
      <c r="D41" s="396">
        <f>+'El Paso'!A39</f>
        <v>37145</v>
      </c>
      <c r="E41" s="32" t="s">
        <v>87</v>
      </c>
      <c r="F41" s="32" t="s">
        <v>103</v>
      </c>
      <c r="G41" s="32" t="s">
        <v>122</v>
      </c>
      <c r="H41" s="206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3.5" customHeight="1" x14ac:dyDescent="0.2">
      <c r="A42" s="253" t="s">
        <v>134</v>
      </c>
      <c r="B42" s="376">
        <f>+EPFS!D41</f>
        <v>-6383.6000000000022</v>
      </c>
      <c r="C42" s="377">
        <f>+B42/$H$5</f>
        <v>-3083.8647342995182</v>
      </c>
      <c r="D42" s="395">
        <f>+EPFS!A41</f>
        <v>37145</v>
      </c>
      <c r="E42" s="32" t="s">
        <v>88</v>
      </c>
      <c r="F42" s="32" t="s">
        <v>105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3">
        <f>SUM(B38:B42)</f>
        <v>-1263958.2300000002</v>
      </c>
      <c r="C43" s="208">
        <f>SUM(C38:C42)</f>
        <v>-626220.69724661484</v>
      </c>
      <c r="D43" s="38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6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1">
        <f>+B43+B35</f>
        <v>4733837.839999998</v>
      </c>
      <c r="C45" s="382">
        <f>+C43+C35</f>
        <v>2350825.0860046167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3"/>
      <c r="C60" s="384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6"/>
      <c r="E66" s="387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88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88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89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0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1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1"/>
      <c r="C72" s="69"/>
      <c r="D72" s="385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2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2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1"/>
      <c r="C75" s="14"/>
      <c r="D75" s="385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1"/>
      <c r="C76" s="69"/>
      <c r="D76" s="385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1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3"/>
      <c r="C78" s="393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4" workbookViewId="3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-259331</v>
      </c>
      <c r="C6" s="80"/>
      <c r="D6" s="80">
        <f t="shared" ref="D6:D14" si="0">+C6-B6</f>
        <v>259331</v>
      </c>
    </row>
    <row r="7" spans="1:8" x14ac:dyDescent="0.2">
      <c r="A7" s="32">
        <v>3531</v>
      </c>
      <c r="B7" s="323">
        <v>-319498</v>
      </c>
      <c r="C7" s="80">
        <v>-149371</v>
      </c>
      <c r="D7" s="80">
        <f t="shared" si="0"/>
        <v>170127</v>
      </c>
    </row>
    <row r="8" spans="1:8" x14ac:dyDescent="0.2">
      <c r="A8" s="32">
        <v>60667</v>
      </c>
      <c r="B8" s="323">
        <v>-56869</v>
      </c>
      <c r="C8" s="80">
        <v>-13597</v>
      </c>
      <c r="D8" s="80">
        <f t="shared" si="0"/>
        <v>43272</v>
      </c>
      <c r="H8" s="254"/>
    </row>
    <row r="9" spans="1:8" x14ac:dyDescent="0.2">
      <c r="A9" s="32">
        <v>60749</v>
      </c>
      <c r="B9" s="323">
        <v>493050</v>
      </c>
      <c r="C9" s="80">
        <v>99846</v>
      </c>
      <c r="D9" s="80">
        <f t="shared" si="0"/>
        <v>-393204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/>
      <c r="C11" s="80"/>
      <c r="D11" s="80">
        <f t="shared" si="0"/>
        <v>0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79526</v>
      </c>
    </row>
    <row r="19" spans="1:5" x14ac:dyDescent="0.2">
      <c r="A19" s="32" t="s">
        <v>84</v>
      </c>
      <c r="B19" s="69"/>
      <c r="C19" s="69"/>
      <c r="D19" s="73">
        <f>+summary!H4</f>
        <v>2.0299999999999998</v>
      </c>
    </row>
    <row r="20" spans="1:5" x14ac:dyDescent="0.2">
      <c r="B20" s="69"/>
      <c r="C20" s="69"/>
      <c r="D20" s="75">
        <f>+D19*D18</f>
        <v>161437.78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76">
        <v>400688.32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37145</v>
      </c>
      <c r="B24" s="69"/>
      <c r="C24" s="69"/>
      <c r="D24" s="351">
        <f>+D22+D20</f>
        <v>562126.1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-29477</v>
      </c>
    </row>
    <row r="33" spans="1:4" x14ac:dyDescent="0.2">
      <c r="A33" s="49">
        <f>+A24</f>
        <v>37145</v>
      </c>
      <c r="D33" s="377">
        <f>+D18</f>
        <v>79526</v>
      </c>
    </row>
    <row r="34" spans="1:4" x14ac:dyDescent="0.2">
      <c r="D34" s="14">
        <f>+D33+D32</f>
        <v>50049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9" sqref="C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-20562</v>
      </c>
      <c r="C5" s="90">
        <v>-12552</v>
      </c>
      <c r="D5" s="90">
        <f t="shared" ref="D5:D13" si="0">+C5-B5</f>
        <v>8010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-1381896</v>
      </c>
      <c r="C7" s="90">
        <v>-1322019</v>
      </c>
      <c r="D7" s="90">
        <f t="shared" si="0"/>
        <v>59877</v>
      </c>
      <c r="E7" s="285"/>
      <c r="F7" s="70"/>
    </row>
    <row r="8" spans="1:13" x14ac:dyDescent="0.2">
      <c r="A8" s="87">
        <v>58710</v>
      </c>
      <c r="B8" s="364">
        <v>-2</v>
      </c>
      <c r="C8" s="90">
        <v>-506</v>
      </c>
      <c r="D8" s="90">
        <f t="shared" si="0"/>
        <v>-504</v>
      </c>
      <c r="E8" s="285"/>
      <c r="F8" s="70"/>
    </row>
    <row r="9" spans="1:13" x14ac:dyDescent="0.2">
      <c r="A9" s="87">
        <v>60921</v>
      </c>
      <c r="B9" s="319">
        <v>725660</v>
      </c>
      <c r="C9" s="90">
        <v>598111</v>
      </c>
      <c r="D9" s="90">
        <f t="shared" si="0"/>
        <v>-127549</v>
      </c>
      <c r="E9" s="285"/>
      <c r="F9" s="70"/>
    </row>
    <row r="10" spans="1:13" x14ac:dyDescent="0.2">
      <c r="A10" s="87">
        <v>78026</v>
      </c>
      <c r="B10" s="364"/>
      <c r="C10" s="90">
        <v>39947</v>
      </c>
      <c r="D10" s="90">
        <f t="shared" si="0"/>
        <v>39947</v>
      </c>
      <c r="E10" s="285"/>
      <c r="F10" s="283"/>
    </row>
    <row r="11" spans="1:13" x14ac:dyDescent="0.2">
      <c r="A11" s="87">
        <v>500084</v>
      </c>
      <c r="B11" s="364">
        <v>-5999</v>
      </c>
      <c r="C11" s="90">
        <v>-11000</v>
      </c>
      <c r="D11" s="90">
        <f t="shared" si="0"/>
        <v>-5001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-3741</v>
      </c>
      <c r="C13" s="90"/>
      <c r="D13" s="90">
        <f t="shared" si="0"/>
        <v>3741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-21479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2.0299999999999998</v>
      </c>
      <c r="E18" s="287"/>
      <c r="F18" s="283"/>
    </row>
    <row r="19" spans="1:7" x14ac:dyDescent="0.2">
      <c r="A19" s="87"/>
      <c r="B19" s="88"/>
      <c r="C19" s="88"/>
      <c r="D19" s="96">
        <f>+D18*D17</f>
        <v>-43602.369999999995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37134</v>
      </c>
      <c r="B21" s="88"/>
      <c r="C21" s="88"/>
      <c r="D21" s="483">
        <v>129217.63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37145</v>
      </c>
      <c r="B23" s="88"/>
      <c r="C23" s="88"/>
      <c r="D23" s="334">
        <f>+D21+D19</f>
        <v>85615.260000000009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37134</v>
      </c>
      <c r="B28" s="32"/>
      <c r="C28" s="32"/>
      <c r="D28" s="477">
        <v>7128</v>
      </c>
    </row>
    <row r="29" spans="1:7" x14ac:dyDescent="0.2">
      <c r="A29" s="49">
        <f>+A23</f>
        <v>37145</v>
      </c>
      <c r="B29" s="32"/>
      <c r="C29" s="32"/>
      <c r="D29" s="377">
        <f>+D17</f>
        <v>-21479</v>
      </c>
    </row>
    <row r="30" spans="1:7" x14ac:dyDescent="0.2">
      <c r="A30" s="32"/>
      <c r="B30" s="32"/>
      <c r="C30" s="32"/>
      <c r="D30" s="14">
        <f>+D29+D28</f>
        <v>-14351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C15" sqref="C15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54408</v>
      </c>
      <c r="C3" s="90">
        <v>54435</v>
      </c>
      <c r="D3" s="90">
        <v>-44839</v>
      </c>
      <c r="E3" s="90">
        <v>-19695</v>
      </c>
      <c r="F3" s="90">
        <f>+E3-D3+C3-B3</f>
        <v>25171</v>
      </c>
    </row>
    <row r="4" spans="1:6" x14ac:dyDescent="0.2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">
      <c r="A6">
        <v>4</v>
      </c>
      <c r="B6" s="90">
        <v>53199</v>
      </c>
      <c r="C6" s="90">
        <v>54711</v>
      </c>
      <c r="D6" s="90">
        <v>-10156</v>
      </c>
      <c r="E6" s="90">
        <v>-19695</v>
      </c>
      <c r="F6" s="90">
        <f t="shared" ref="F6:F33" si="0">+E6-D6+C6-B6</f>
        <v>-8027</v>
      </c>
    </row>
    <row r="7" spans="1:6" x14ac:dyDescent="0.2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">
      <c r="A8">
        <v>6</v>
      </c>
      <c r="B8" s="90">
        <v>47560</v>
      </c>
      <c r="C8" s="90">
        <v>47583</v>
      </c>
      <c r="D8" s="90">
        <v>-55424</v>
      </c>
      <c r="E8" s="90">
        <v>-63907</v>
      </c>
      <c r="F8" s="90">
        <f t="shared" si="0"/>
        <v>-8460</v>
      </c>
    </row>
    <row r="9" spans="1:6" x14ac:dyDescent="0.2">
      <c r="A9">
        <v>7</v>
      </c>
      <c r="B9" s="90">
        <v>39727</v>
      </c>
      <c r="C9" s="90">
        <v>39751</v>
      </c>
      <c r="D9" s="90">
        <v>-14089</v>
      </c>
      <c r="E9" s="90">
        <v>-22398</v>
      </c>
      <c r="F9" s="90">
        <f t="shared" si="0"/>
        <v>-8285</v>
      </c>
    </row>
    <row r="10" spans="1:6" x14ac:dyDescent="0.2">
      <c r="A10">
        <v>8</v>
      </c>
      <c r="B10" s="90">
        <v>39566</v>
      </c>
      <c r="C10" s="90">
        <v>39634</v>
      </c>
      <c r="D10" s="90">
        <v>-51249</v>
      </c>
      <c r="E10" s="90">
        <v>-49937</v>
      </c>
      <c r="F10" s="90">
        <f t="shared" si="0"/>
        <v>1380</v>
      </c>
    </row>
    <row r="11" spans="1:6" x14ac:dyDescent="0.2">
      <c r="A11">
        <v>9</v>
      </c>
      <c r="B11" s="90">
        <v>39696</v>
      </c>
      <c r="C11" s="90">
        <v>39751</v>
      </c>
      <c r="D11" s="90">
        <v>-51249</v>
      </c>
      <c r="E11" s="90">
        <v>-49937</v>
      </c>
      <c r="F11" s="90">
        <f t="shared" si="0"/>
        <v>1367</v>
      </c>
    </row>
    <row r="12" spans="1:6" x14ac:dyDescent="0.2">
      <c r="A12">
        <v>10</v>
      </c>
      <c r="B12" s="90">
        <v>39685</v>
      </c>
      <c r="C12" s="90">
        <v>39751</v>
      </c>
      <c r="D12" s="90">
        <v>-52771</v>
      </c>
      <c r="E12" s="90">
        <v>-49937</v>
      </c>
      <c r="F12" s="90">
        <f t="shared" si="0"/>
        <v>2900</v>
      </c>
    </row>
    <row r="13" spans="1:6" x14ac:dyDescent="0.2">
      <c r="A13">
        <v>11</v>
      </c>
      <c r="B13" s="90">
        <v>39693</v>
      </c>
      <c r="C13" s="90">
        <v>39751</v>
      </c>
      <c r="D13" s="90">
        <v>-51660</v>
      </c>
      <c r="E13" s="90">
        <v>-54790</v>
      </c>
      <c r="F13" s="90">
        <f t="shared" si="0"/>
        <v>-3072</v>
      </c>
    </row>
    <row r="14" spans="1:6" x14ac:dyDescent="0.2">
      <c r="A14">
        <v>12</v>
      </c>
      <c r="B14" s="88">
        <v>39687</v>
      </c>
      <c r="C14" s="90">
        <v>39751</v>
      </c>
      <c r="D14" s="88">
        <v>-66887</v>
      </c>
      <c r="E14" s="88">
        <v>-65762</v>
      </c>
      <c r="F14" s="90">
        <f t="shared" si="0"/>
        <v>1189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46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550446</v>
      </c>
      <c r="C34" s="297">
        <f>SUM(C3:C33)</f>
        <v>552314</v>
      </c>
      <c r="D34" s="14">
        <f>SUM(D3:D33)</f>
        <v>-478205</v>
      </c>
      <c r="E34" s="14">
        <f>SUM(E3:E33)</f>
        <v>-465738</v>
      </c>
      <c r="F34" s="14">
        <f>SUM(F3:F33)</f>
        <v>14335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37134</v>
      </c>
      <c r="B37" s="14"/>
      <c r="C37" s="14"/>
      <c r="D37" s="14"/>
      <c r="E37" s="14"/>
      <c r="F37" s="474">
        <f>12393+127284</f>
        <v>139677</v>
      </c>
    </row>
    <row r="38" spans="1:6" x14ac:dyDescent="0.2">
      <c r="A38" s="263">
        <v>37146</v>
      </c>
      <c r="B38" s="14"/>
      <c r="C38" s="14"/>
      <c r="D38" s="14"/>
      <c r="E38" s="14"/>
      <c r="F38" s="150">
        <f>+F37+F34</f>
        <v>154012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37134</v>
      </c>
      <c r="B43" s="32"/>
      <c r="C43" s="32"/>
      <c r="D43" s="475">
        <f>151845.69+204392.22</f>
        <v>356237.91000000003</v>
      </c>
      <c r="F43" s="304"/>
    </row>
    <row r="44" spans="1:6" x14ac:dyDescent="0.2">
      <c r="A44" s="49">
        <f>+A38</f>
        <v>37146</v>
      </c>
      <c r="B44" s="32"/>
      <c r="C44" s="32"/>
      <c r="D44" s="406">
        <f>+F34*'by type_area'!J4</f>
        <v>29100.049999999996</v>
      </c>
      <c r="F44" s="304"/>
    </row>
    <row r="45" spans="1:6" x14ac:dyDescent="0.2">
      <c r="A45" s="32"/>
      <c r="B45" s="32"/>
      <c r="C45" s="32"/>
      <c r="D45" s="202">
        <f>+D44+D43</f>
        <v>385337.96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">
      <c r="A9" s="10">
        <v>6</v>
      </c>
      <c r="B9" s="11">
        <v>-20004</v>
      </c>
      <c r="C9" s="11">
        <v>-20000</v>
      </c>
      <c r="D9" s="25">
        <f t="shared" si="0"/>
        <v>4</v>
      </c>
    </row>
    <row r="10" spans="1:4" x14ac:dyDescent="0.2">
      <c r="A10" s="10">
        <v>7</v>
      </c>
      <c r="B10" s="129">
        <v>-20329</v>
      </c>
      <c r="C10" s="11">
        <v>-20000</v>
      </c>
      <c r="D10" s="25">
        <f t="shared" si="0"/>
        <v>329</v>
      </c>
    </row>
    <row r="11" spans="1:4" x14ac:dyDescent="0.2">
      <c r="A11" s="10">
        <v>8</v>
      </c>
      <c r="B11" s="11">
        <v>-20015</v>
      </c>
      <c r="C11" s="11">
        <v>-20000</v>
      </c>
      <c r="D11" s="25">
        <f t="shared" si="0"/>
        <v>15</v>
      </c>
    </row>
    <row r="12" spans="1:4" x14ac:dyDescent="0.2">
      <c r="A12" s="10">
        <v>9</v>
      </c>
      <c r="B12" s="11">
        <v>-20003</v>
      </c>
      <c r="C12" s="11">
        <v>-20000</v>
      </c>
      <c r="D12" s="25">
        <f t="shared" si="0"/>
        <v>3</v>
      </c>
    </row>
    <row r="13" spans="1:4" x14ac:dyDescent="0.2">
      <c r="A13" s="10">
        <v>10</v>
      </c>
      <c r="B13" s="11">
        <v>-26813</v>
      </c>
      <c r="C13" s="11">
        <v>-25815</v>
      </c>
      <c r="D13" s="25">
        <f t="shared" si="0"/>
        <v>998</v>
      </c>
    </row>
    <row r="14" spans="1:4" x14ac:dyDescent="0.2">
      <c r="A14" s="10">
        <v>11</v>
      </c>
      <c r="B14" s="11">
        <v>-19899</v>
      </c>
      <c r="C14" s="11">
        <v>-20000</v>
      </c>
      <c r="D14" s="25">
        <f t="shared" si="0"/>
        <v>-101</v>
      </c>
    </row>
    <row r="15" spans="1:4" x14ac:dyDescent="0.2">
      <c r="A15" s="10">
        <v>12</v>
      </c>
      <c r="B15" s="11">
        <v>-23341</v>
      </c>
      <c r="C15" s="11">
        <v>-23611</v>
      </c>
      <c r="D15" s="25">
        <f t="shared" si="0"/>
        <v>-270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-245556</v>
      </c>
      <c r="C35" s="11">
        <f>SUM(C4:C34)</f>
        <v>-250833</v>
      </c>
      <c r="D35" s="11">
        <f>SUM(D4:D34)</f>
        <v>-5277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37134</v>
      </c>
      <c r="D38" s="479">
        <v>151464</v>
      </c>
    </row>
    <row r="39" spans="1:4" x14ac:dyDescent="0.2">
      <c r="A39" s="2"/>
      <c r="D39" s="24"/>
    </row>
    <row r="40" spans="1:4" x14ac:dyDescent="0.2">
      <c r="A40" s="57">
        <v>37146</v>
      </c>
      <c r="D40" s="51">
        <f>+D38+D35</f>
        <v>146187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37134</v>
      </c>
      <c r="B45" s="32"/>
      <c r="C45" s="32"/>
      <c r="D45" s="202">
        <v>125521</v>
      </c>
    </row>
    <row r="46" spans="1:4" x14ac:dyDescent="0.2">
      <c r="A46" s="49">
        <f>+A40</f>
        <v>37146</v>
      </c>
      <c r="B46" s="32"/>
      <c r="C46" s="32"/>
      <c r="D46" s="406">
        <f>+D35*'by type_area'!J4</f>
        <v>-10712.31</v>
      </c>
    </row>
    <row r="47" spans="1:4" x14ac:dyDescent="0.2">
      <c r="A47" s="32"/>
      <c r="B47" s="32"/>
      <c r="C47" s="32"/>
      <c r="D47" s="202">
        <f>+D46+D45</f>
        <v>114808.69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4" workbookViewId="3">
      <selection activeCell="E15" sqref="E1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20477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-943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20570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-3852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20460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-286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20200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-277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19480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58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19664</v>
      </c>
      <c r="C9" s="11">
        <v>19264</v>
      </c>
      <c r="D9" s="11">
        <v>8659</v>
      </c>
      <c r="E9" s="11">
        <v>9000</v>
      </c>
      <c r="F9" s="11"/>
      <c r="G9" s="11"/>
      <c r="H9" s="11"/>
      <c r="I9" s="11"/>
      <c r="J9" s="11">
        <f t="shared" si="0"/>
        <v>-59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19522</v>
      </c>
      <c r="C10" s="11">
        <v>19264</v>
      </c>
      <c r="D10" s="129">
        <v>8267</v>
      </c>
      <c r="E10" s="11">
        <v>9000</v>
      </c>
      <c r="F10" s="11"/>
      <c r="G10" s="11"/>
      <c r="H10" s="11"/>
      <c r="I10" s="11"/>
      <c r="J10" s="11">
        <f t="shared" si="0"/>
        <v>475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19534</v>
      </c>
      <c r="C11" s="11">
        <v>18764</v>
      </c>
      <c r="D11" s="11">
        <v>8970</v>
      </c>
      <c r="E11" s="11">
        <v>8500</v>
      </c>
      <c r="F11" s="11"/>
      <c r="G11" s="11"/>
      <c r="H11" s="11"/>
      <c r="I11" s="11"/>
      <c r="J11" s="11">
        <f t="shared" si="0"/>
        <v>-1240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19377</v>
      </c>
      <c r="C12" s="11">
        <v>18764</v>
      </c>
      <c r="D12" s="11">
        <v>8969</v>
      </c>
      <c r="E12" s="11">
        <v>8500</v>
      </c>
      <c r="F12" s="11"/>
      <c r="G12" s="11"/>
      <c r="H12" s="11"/>
      <c r="I12" s="11"/>
      <c r="J12" s="11">
        <f t="shared" si="0"/>
        <v>-1082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19196</v>
      </c>
      <c r="C13" s="11">
        <v>18764</v>
      </c>
      <c r="D13" s="11">
        <v>8684</v>
      </c>
      <c r="E13" s="11">
        <v>8500</v>
      </c>
      <c r="F13" s="11"/>
      <c r="G13" s="11"/>
      <c r="H13" s="11"/>
      <c r="I13" s="11"/>
      <c r="J13" s="11">
        <f t="shared" si="0"/>
        <v>-616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>
        <v>8639</v>
      </c>
      <c r="E14" s="11">
        <v>8500</v>
      </c>
      <c r="F14" s="11"/>
      <c r="G14" s="11"/>
      <c r="H14" s="11"/>
      <c r="I14" s="11"/>
      <c r="J14" s="11">
        <f t="shared" si="0"/>
        <v>-139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198480</v>
      </c>
      <c r="C35" s="11">
        <f t="shared" ref="C35:I35" si="1">SUM(C4:C34)</f>
        <v>191140</v>
      </c>
      <c r="D35" s="11">
        <f t="shared" si="1"/>
        <v>94347</v>
      </c>
      <c r="E35" s="11">
        <f t="shared" si="1"/>
        <v>97000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-7961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2.0299999999999998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-16160.829999999998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37134</v>
      </c>
      <c r="C39" s="25"/>
      <c r="E39" s="25"/>
      <c r="G39" s="25"/>
      <c r="I39" s="25"/>
      <c r="J39" s="475">
        <v>87198.44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37144</v>
      </c>
      <c r="J41" s="337">
        <f>+J39+J37</f>
        <v>71037.61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37134</v>
      </c>
      <c r="B46" s="32"/>
      <c r="C46" s="32"/>
      <c r="D46" s="477">
        <v>-82729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37144</v>
      </c>
      <c r="B47" s="32"/>
      <c r="C47" s="32"/>
      <c r="D47" s="377">
        <f>+J35</f>
        <v>-7961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-90690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-13751-16</f>
        <v>-13767</v>
      </c>
      <c r="E6" s="24">
        <v>-30508</v>
      </c>
      <c r="F6" s="24">
        <f>+C6+E6-B6-D6</f>
        <v>-16741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>-6539-22239</f>
        <v>-28778</v>
      </c>
      <c r="E7" s="24">
        <v>-32145</v>
      </c>
      <c r="F7" s="24">
        <f t="shared" ref="F7:F36" si="0">+C7+E7-B7-D7</f>
        <v>-3367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>-17873-14141</f>
        <v>-32014</v>
      </c>
      <c r="E8" s="24">
        <v>-31067</v>
      </c>
      <c r="F8" s="24">
        <f t="shared" si="0"/>
        <v>947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>
        <v>-30032</v>
      </c>
      <c r="E9" s="24">
        <v>-30437</v>
      </c>
      <c r="F9" s="24">
        <f t="shared" si="0"/>
        <v>-405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>
        <v>-6183</v>
      </c>
      <c r="E10" s="24">
        <v>-4178</v>
      </c>
      <c r="F10" s="24">
        <f t="shared" si="0"/>
        <v>2005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-380</v>
      </c>
      <c r="E11" s="24">
        <v>2360</v>
      </c>
      <c r="F11" s="24">
        <f t="shared" si="0"/>
        <v>2740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-22796</v>
      </c>
      <c r="E12" s="24">
        <v>-22549</v>
      </c>
      <c r="F12" s="24">
        <f t="shared" si="0"/>
        <v>247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>
        <v>4988</v>
      </c>
      <c r="F13" s="24">
        <f t="shared" si="0"/>
        <v>4988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-133950</v>
      </c>
      <c r="E37" s="24">
        <f>SUM(E6:E36)</f>
        <v>-143536</v>
      </c>
      <c r="F37" s="24">
        <f>SUM(F6:F36)</f>
        <v>-9586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2.0299999999999998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-19459.579999999998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4">
        <v>37134</v>
      </c>
      <c r="E40" s="14"/>
      <c r="F40" s="482">
        <v>386003.88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4">
        <v>37142</v>
      </c>
      <c r="E41" s="14"/>
      <c r="F41" s="104">
        <f>+F40+F39</f>
        <v>366544.3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477">
        <v>-1212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37142</v>
      </c>
      <c r="B47" s="32"/>
      <c r="C47" s="32"/>
      <c r="D47" s="377">
        <f>+F37</f>
        <v>-9586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-10798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12" workbookViewId="3">
      <selection activeCell="E19" sqref="E1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>
        <v>50</v>
      </c>
      <c r="C17" s="11"/>
      <c r="D17" s="11">
        <v>133</v>
      </c>
      <c r="E17" s="11"/>
      <c r="F17" s="25">
        <f t="shared" si="0"/>
        <v>-183</v>
      </c>
      <c r="J17" s="341"/>
    </row>
    <row r="18" spans="1:10" x14ac:dyDescent="0.2">
      <c r="A18" s="10">
        <v>11</v>
      </c>
      <c r="B18" s="11">
        <v>6398</v>
      </c>
      <c r="C18" s="11">
        <v>6000</v>
      </c>
      <c r="D18" s="11">
        <v>4497</v>
      </c>
      <c r="E18" s="11">
        <v>5210</v>
      </c>
      <c r="F18" s="25">
        <f t="shared" si="0"/>
        <v>315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6448</v>
      </c>
      <c r="C39" s="11">
        <f>SUM(C8:C38)</f>
        <v>6000</v>
      </c>
      <c r="D39" s="11">
        <f>SUM(D8:D38)</f>
        <v>4630</v>
      </c>
      <c r="E39" s="11">
        <f>SUM(E8:E38)</f>
        <v>5210</v>
      </c>
      <c r="F39" s="25">
        <f>SUM(F8:F38)</f>
        <v>132</v>
      </c>
    </row>
    <row r="40" spans="1:6" x14ac:dyDescent="0.2">
      <c r="A40" s="26"/>
      <c r="C40" s="14"/>
      <c r="F40" s="260">
        <f>+summary!H4</f>
        <v>2.0299999999999998</v>
      </c>
    </row>
    <row r="41" spans="1:6" x14ac:dyDescent="0.2">
      <c r="F41" s="138">
        <f>+F40*F39</f>
        <v>267.95999999999998</v>
      </c>
    </row>
    <row r="42" spans="1:6" x14ac:dyDescent="0.2">
      <c r="A42" s="57">
        <v>37134</v>
      </c>
      <c r="C42" s="15"/>
      <c r="F42" s="484">
        <v>6001.93</v>
      </c>
    </row>
    <row r="43" spans="1:6" x14ac:dyDescent="0.2">
      <c r="A43" s="57">
        <v>37145</v>
      </c>
      <c r="C43" s="48"/>
      <c r="F43" s="138">
        <f>+F42+F41</f>
        <v>6269.89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37134</v>
      </c>
      <c r="B48" s="32"/>
      <c r="C48" s="32"/>
      <c r="D48" s="477">
        <v>-13252</v>
      </c>
    </row>
    <row r="49" spans="1:4" x14ac:dyDescent="0.2">
      <c r="A49" s="49">
        <f>+A43</f>
        <v>37145</v>
      </c>
      <c r="B49" s="32"/>
      <c r="C49" s="32"/>
      <c r="D49" s="377">
        <f>+F39</f>
        <v>132</v>
      </c>
    </row>
    <row r="50" spans="1:4" x14ac:dyDescent="0.2">
      <c r="A50" s="32"/>
      <c r="B50" s="32"/>
      <c r="C50" s="32"/>
      <c r="D50" s="14">
        <f>+D49+D48</f>
        <v>-13120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D36" sqref="D36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11969</v>
      </c>
      <c r="C8" s="11"/>
      <c r="D8" s="25">
        <f>+C8-B8</f>
        <v>-11969</v>
      </c>
    </row>
    <row r="9" spans="1:4" x14ac:dyDescent="0.2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">
      <c r="A40" s="26"/>
      <c r="C40" s="14"/>
      <c r="D40" s="260">
        <f>+summary!H4</f>
        <v>2.0299999999999998</v>
      </c>
    </row>
    <row r="41" spans="1:4" x14ac:dyDescent="0.2">
      <c r="D41" s="138">
        <f>+D40*D39</f>
        <v>-57735.229999999996</v>
      </c>
    </row>
    <row r="42" spans="1:4" x14ac:dyDescent="0.2">
      <c r="A42" s="57">
        <v>37134</v>
      </c>
      <c r="C42" s="15"/>
      <c r="D42" s="368">
        <v>450250</v>
      </c>
    </row>
    <row r="43" spans="1:4" x14ac:dyDescent="0.2">
      <c r="A43" s="57">
        <v>37144</v>
      </c>
      <c r="C43" s="48"/>
      <c r="D43" s="138">
        <f>+D42+D41</f>
        <v>392514.77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37134</v>
      </c>
      <c r="B47" s="32"/>
      <c r="C47" s="32"/>
      <c r="D47" s="14">
        <v>50872</v>
      </c>
    </row>
    <row r="48" spans="1:4" x14ac:dyDescent="0.2">
      <c r="A48" s="49">
        <f>+A43</f>
        <v>37144</v>
      </c>
      <c r="B48" s="32"/>
      <c r="C48" s="32"/>
      <c r="D48" s="377">
        <f>+D39</f>
        <v>-28441</v>
      </c>
    </row>
    <row r="49" spans="1:4" x14ac:dyDescent="0.2">
      <c r="A49" s="32"/>
      <c r="B49" s="32"/>
      <c r="C49" s="32"/>
      <c r="D49" s="14">
        <f>+D48+D47</f>
        <v>22431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">
      <c r="A7" s="10">
        <v>2</v>
      </c>
      <c r="B7" s="11">
        <v>-74222</v>
      </c>
      <c r="C7" s="11">
        <v>-85101</v>
      </c>
      <c r="D7" s="25">
        <f t="shared" ref="D7:D36" si="0">+C7-B7</f>
        <v>-10879</v>
      </c>
    </row>
    <row r="8" spans="1:4" x14ac:dyDescent="0.2">
      <c r="A8" s="10">
        <v>3</v>
      </c>
      <c r="B8" s="11">
        <v>-78756</v>
      </c>
      <c r="C8" s="11">
        <v>-71658</v>
      </c>
      <c r="D8" s="25">
        <f t="shared" si="0"/>
        <v>7098</v>
      </c>
    </row>
    <row r="9" spans="1:4" x14ac:dyDescent="0.2">
      <c r="A9" s="10">
        <v>4</v>
      </c>
      <c r="B9" s="11">
        <v>-82484</v>
      </c>
      <c r="C9" s="11">
        <v>-65890</v>
      </c>
      <c r="D9" s="25">
        <f t="shared" si="0"/>
        <v>16594</v>
      </c>
    </row>
    <row r="10" spans="1:4" x14ac:dyDescent="0.2">
      <c r="A10" s="10">
        <v>5</v>
      </c>
      <c r="B10" s="11">
        <v>-72415</v>
      </c>
      <c r="C10" s="11">
        <v>-62441</v>
      </c>
      <c r="D10" s="25">
        <f t="shared" si="0"/>
        <v>9974</v>
      </c>
    </row>
    <row r="11" spans="1:4" x14ac:dyDescent="0.2">
      <c r="A11" s="10">
        <v>6</v>
      </c>
      <c r="B11" s="11">
        <v>-77980</v>
      </c>
      <c r="C11" s="11">
        <v>-71332</v>
      </c>
      <c r="D11" s="25">
        <f t="shared" si="0"/>
        <v>6648</v>
      </c>
    </row>
    <row r="12" spans="1:4" x14ac:dyDescent="0.2">
      <c r="A12" s="10">
        <v>7</v>
      </c>
      <c r="B12" s="11">
        <v>-76345</v>
      </c>
      <c r="C12" s="11">
        <v>-81863</v>
      </c>
      <c r="D12" s="25">
        <f t="shared" si="0"/>
        <v>-5518</v>
      </c>
    </row>
    <row r="13" spans="1:4" x14ac:dyDescent="0.2">
      <c r="A13" s="10">
        <v>8</v>
      </c>
      <c r="B13" s="11">
        <v>-78285</v>
      </c>
      <c r="C13" s="11">
        <v>-81938</v>
      </c>
      <c r="D13" s="25">
        <f t="shared" si="0"/>
        <v>-3653</v>
      </c>
    </row>
    <row r="14" spans="1:4" x14ac:dyDescent="0.2">
      <c r="A14" s="10">
        <v>9</v>
      </c>
      <c r="B14" s="11">
        <v>-79383</v>
      </c>
      <c r="C14" s="11">
        <v>-81100</v>
      </c>
      <c r="D14" s="25">
        <f t="shared" si="0"/>
        <v>-1717</v>
      </c>
    </row>
    <row r="15" spans="1:4" x14ac:dyDescent="0.2">
      <c r="A15" s="10">
        <v>10</v>
      </c>
      <c r="B15" s="11">
        <v>-80612</v>
      </c>
      <c r="C15" s="11">
        <v>-80889</v>
      </c>
      <c r="D15" s="25">
        <f t="shared" si="0"/>
        <v>-277</v>
      </c>
    </row>
    <row r="16" spans="1:4" x14ac:dyDescent="0.2">
      <c r="A16" s="10">
        <v>11</v>
      </c>
      <c r="B16" s="11">
        <v>-77102</v>
      </c>
      <c r="C16" s="11">
        <v>-79550</v>
      </c>
      <c r="D16" s="25">
        <f t="shared" si="0"/>
        <v>-2448</v>
      </c>
    </row>
    <row r="17" spans="1:4" x14ac:dyDescent="0.2">
      <c r="A17" s="10">
        <v>12</v>
      </c>
      <c r="B17" s="11">
        <v>-80401</v>
      </c>
      <c r="C17" s="11">
        <v>-81880</v>
      </c>
      <c r="D17" s="25">
        <f t="shared" si="0"/>
        <v>-1479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08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08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08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-936224</v>
      </c>
      <c r="C37" s="11">
        <f>SUM(C6:C36)</f>
        <v>-928942</v>
      </c>
      <c r="D37" s="25">
        <f>SUM(D6:D36)</f>
        <v>7282</v>
      </c>
    </row>
    <row r="38" spans="1:4" x14ac:dyDescent="0.2">
      <c r="A38" s="26"/>
      <c r="C38" s="14"/>
      <c r="D38" s="345">
        <f>+summary!H4</f>
        <v>2.0299999999999998</v>
      </c>
    </row>
    <row r="39" spans="1:4" x14ac:dyDescent="0.2">
      <c r="D39" s="138">
        <f>+D38*D37</f>
        <v>14782.46</v>
      </c>
    </row>
    <row r="40" spans="1:4" x14ac:dyDescent="0.2">
      <c r="A40" s="57">
        <v>37134</v>
      </c>
      <c r="C40" s="15"/>
      <c r="D40" s="440">
        <v>81630</v>
      </c>
    </row>
    <row r="41" spans="1:4" x14ac:dyDescent="0.2">
      <c r="A41" s="57">
        <v>37146</v>
      </c>
      <c r="C41" s="48"/>
      <c r="D41" s="138">
        <f>+D40+D39</f>
        <v>96412.459999999992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130472</v>
      </c>
    </row>
    <row r="46" spans="1:4" x14ac:dyDescent="0.2">
      <c r="A46" s="49">
        <f>+A41</f>
        <v>37146</v>
      </c>
      <c r="B46" s="32"/>
      <c r="C46" s="32"/>
      <c r="D46" s="377">
        <f>+D37</f>
        <v>7282</v>
      </c>
    </row>
    <row r="47" spans="1:4" x14ac:dyDescent="0.2">
      <c r="A47" s="32"/>
      <c r="B47" s="32"/>
      <c r="C47" s="32"/>
      <c r="D47" s="14">
        <f>+D46+D45</f>
        <v>137754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">
      <c r="A11" s="10">
        <v>6</v>
      </c>
      <c r="B11" s="129">
        <v>36108</v>
      </c>
      <c r="C11" s="11">
        <v>36700</v>
      </c>
      <c r="D11" s="25">
        <f t="shared" si="0"/>
        <v>592</v>
      </c>
    </row>
    <row r="12" spans="1:4" x14ac:dyDescent="0.2">
      <c r="A12" s="10">
        <v>7</v>
      </c>
      <c r="B12" s="129">
        <v>35863</v>
      </c>
      <c r="C12" s="11">
        <v>32076</v>
      </c>
      <c r="D12" s="25">
        <f t="shared" si="0"/>
        <v>-3787</v>
      </c>
    </row>
    <row r="13" spans="1:4" x14ac:dyDescent="0.2">
      <c r="A13" s="10">
        <v>8</v>
      </c>
      <c r="B13" s="129">
        <v>36319</v>
      </c>
      <c r="C13" s="11">
        <v>36700</v>
      </c>
      <c r="D13" s="25">
        <f t="shared" si="0"/>
        <v>381</v>
      </c>
    </row>
    <row r="14" spans="1:4" x14ac:dyDescent="0.2">
      <c r="A14" s="10">
        <v>9</v>
      </c>
      <c r="B14" s="129">
        <v>35937</v>
      </c>
      <c r="C14" s="11">
        <v>36700</v>
      </c>
      <c r="D14" s="25">
        <f t="shared" si="0"/>
        <v>763</v>
      </c>
    </row>
    <row r="15" spans="1:4" x14ac:dyDescent="0.2">
      <c r="A15" s="10">
        <v>10</v>
      </c>
      <c r="B15" s="129">
        <v>35688</v>
      </c>
      <c r="C15" s="11">
        <v>36700</v>
      </c>
      <c r="D15" s="25">
        <f t="shared" si="0"/>
        <v>1012</v>
      </c>
    </row>
    <row r="16" spans="1:4" x14ac:dyDescent="0.2">
      <c r="A16" s="10">
        <v>11</v>
      </c>
      <c r="B16" s="129">
        <v>29460</v>
      </c>
      <c r="C16" s="11">
        <v>36700</v>
      </c>
      <c r="D16" s="25">
        <f t="shared" si="0"/>
        <v>7240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380508</v>
      </c>
      <c r="C37" s="11">
        <f>SUM(C6:C36)</f>
        <v>394828</v>
      </c>
      <c r="D37" s="25">
        <f>SUM(D6:D36)</f>
        <v>14320</v>
      </c>
    </row>
    <row r="38" spans="1:4" x14ac:dyDescent="0.2">
      <c r="A38" s="26"/>
      <c r="C38" s="14"/>
      <c r="D38" s="345">
        <f>+summary!H5</f>
        <v>2.0699999999999998</v>
      </c>
    </row>
    <row r="39" spans="1:4" x14ac:dyDescent="0.2">
      <c r="D39" s="138">
        <f>+D38*D37</f>
        <v>29642.399999999998</v>
      </c>
    </row>
    <row r="40" spans="1:4" x14ac:dyDescent="0.2">
      <c r="A40" s="57">
        <v>37134</v>
      </c>
      <c r="C40" s="15"/>
      <c r="D40" s="359">
        <v>-36026</v>
      </c>
    </row>
    <row r="41" spans="1:4" x14ac:dyDescent="0.2">
      <c r="A41" s="57">
        <v>37145</v>
      </c>
      <c r="C41" s="48"/>
      <c r="D41" s="138">
        <f>+D40+D39</f>
        <v>-6383.6000000000022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-1369</v>
      </c>
    </row>
    <row r="46" spans="1:4" x14ac:dyDescent="0.2">
      <c r="A46" s="49">
        <f>+A41</f>
        <v>37145</v>
      </c>
      <c r="B46" s="32"/>
      <c r="C46" s="32"/>
      <c r="D46" s="377">
        <f>+D37</f>
        <v>14320</v>
      </c>
    </row>
    <row r="47" spans="1:4" x14ac:dyDescent="0.2">
      <c r="A47" s="32"/>
      <c r="B47" s="32"/>
      <c r="C47" s="32"/>
      <c r="D47" s="14">
        <f>+D46+D45</f>
        <v>12951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workbookViewId="3">
      <selection activeCell="C16" sqref="C16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45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8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44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44" t="s">
        <v>40</v>
      </c>
      <c r="N4" s="4" t="s">
        <v>20</v>
      </c>
      <c r="O4" s="4" t="s">
        <v>21</v>
      </c>
      <c r="P4" s="442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44"/>
      <c r="N5" s="14"/>
      <c r="O5" s="14"/>
      <c r="P5" s="14">
        <f t="shared" ref="P5:P13" si="1">+O5-N5</f>
        <v>0</v>
      </c>
      <c r="Q5" s="388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294630</v>
      </c>
      <c r="C6" s="11">
        <v>290625</v>
      </c>
      <c r="D6" s="11">
        <v>56674</v>
      </c>
      <c r="E6" s="11">
        <v>72956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8053</v>
      </c>
      <c r="M6" s="444">
        <v>36861</v>
      </c>
      <c r="N6" s="24">
        <v>19698194</v>
      </c>
      <c r="O6" s="24">
        <v>19662410</v>
      </c>
      <c r="P6" s="14">
        <f t="shared" si="1"/>
        <v>-35784</v>
      </c>
      <c r="Q6" s="388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50926</v>
      </c>
      <c r="G7" s="11">
        <v>56783</v>
      </c>
      <c r="H7" s="11">
        <v>70201</v>
      </c>
      <c r="I7" s="11">
        <v>59892</v>
      </c>
      <c r="J7" s="11">
        <f t="shared" si="0"/>
        <v>-3303</v>
      </c>
      <c r="M7" s="444">
        <v>36892</v>
      </c>
      <c r="N7" s="24">
        <v>18949781</v>
      </c>
      <c r="O7" s="14">
        <v>18975457</v>
      </c>
      <c r="P7" s="14">
        <f t="shared" si="1"/>
        <v>25676</v>
      </c>
      <c r="Q7" s="388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44">
        <v>36923</v>
      </c>
      <c r="N8" s="24">
        <v>15193330</v>
      </c>
      <c r="O8" s="14">
        <v>15256233</v>
      </c>
      <c r="P8" s="14">
        <f t="shared" si="1"/>
        <v>62903</v>
      </c>
      <c r="Q8" s="388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321837</v>
      </c>
      <c r="C9" s="11">
        <v>320618</v>
      </c>
      <c r="D9" s="11">
        <v>73894</v>
      </c>
      <c r="E9" s="11">
        <v>72956</v>
      </c>
      <c r="F9" s="11">
        <v>59574</v>
      </c>
      <c r="G9" s="11">
        <v>58414</v>
      </c>
      <c r="H9" s="11">
        <v>97078</v>
      </c>
      <c r="I9" s="11">
        <v>96567</v>
      </c>
      <c r="J9" s="11">
        <f t="shared" si="0"/>
        <v>-3828</v>
      </c>
      <c r="M9" s="444">
        <v>36951</v>
      </c>
      <c r="N9" s="24">
        <v>17049350</v>
      </c>
      <c r="O9" s="14">
        <v>17089226</v>
      </c>
      <c r="P9" s="14">
        <f t="shared" si="1"/>
        <v>39876</v>
      </c>
      <c r="Q9" s="388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294336</v>
      </c>
      <c r="C10" s="11">
        <v>288119</v>
      </c>
      <c r="D10" s="129">
        <v>73085</v>
      </c>
      <c r="E10" s="11">
        <v>72956</v>
      </c>
      <c r="F10" s="129">
        <v>66209</v>
      </c>
      <c r="G10" s="11">
        <v>59520</v>
      </c>
      <c r="H10" s="129">
        <v>102596</v>
      </c>
      <c r="I10" s="11">
        <v>108994</v>
      </c>
      <c r="J10" s="11">
        <f t="shared" si="0"/>
        <v>-6637</v>
      </c>
      <c r="M10" s="444">
        <v>36982</v>
      </c>
      <c r="N10" s="24">
        <v>17652369</v>
      </c>
      <c r="O10" s="14">
        <v>17743987</v>
      </c>
      <c r="P10" s="14">
        <f t="shared" si="1"/>
        <v>91618</v>
      </c>
      <c r="Q10" s="388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335913</v>
      </c>
      <c r="C11" s="11">
        <v>313363</v>
      </c>
      <c r="D11" s="11">
        <v>41184</v>
      </c>
      <c r="E11" s="11">
        <v>57956</v>
      </c>
      <c r="F11" s="11">
        <v>60789</v>
      </c>
      <c r="G11" s="11">
        <v>60685</v>
      </c>
      <c r="H11" s="11">
        <v>114585</v>
      </c>
      <c r="I11" s="11">
        <v>113362</v>
      </c>
      <c r="J11" s="11">
        <f t="shared" si="0"/>
        <v>-7105</v>
      </c>
      <c r="M11" s="444">
        <v>37012</v>
      </c>
      <c r="N11" s="24">
        <v>16124989</v>
      </c>
      <c r="O11" s="14">
        <v>16282021</v>
      </c>
      <c r="P11" s="14">
        <f t="shared" si="1"/>
        <v>157032</v>
      </c>
      <c r="Q11" s="388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324398</v>
      </c>
      <c r="C12" s="11">
        <v>316977</v>
      </c>
      <c r="D12" s="11">
        <v>71825</v>
      </c>
      <c r="E12" s="11">
        <v>72956</v>
      </c>
      <c r="F12" s="11">
        <v>62342</v>
      </c>
      <c r="G12" s="11">
        <v>62897</v>
      </c>
      <c r="H12" s="11">
        <v>118352</v>
      </c>
      <c r="I12" s="11">
        <v>115056</v>
      </c>
      <c r="J12" s="11">
        <f t="shared" si="0"/>
        <v>-9031</v>
      </c>
      <c r="M12" s="444">
        <v>37043</v>
      </c>
      <c r="N12" s="24">
        <v>15928675</v>
      </c>
      <c r="O12" s="14">
        <v>15936227</v>
      </c>
      <c r="P12" s="14">
        <f t="shared" si="1"/>
        <v>7552</v>
      </c>
      <c r="Q12" s="388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297356</v>
      </c>
      <c r="C13" s="11">
        <v>324409</v>
      </c>
      <c r="D13" s="129">
        <v>71852</v>
      </c>
      <c r="E13" s="11">
        <v>72956</v>
      </c>
      <c r="F13" s="129">
        <v>61608</v>
      </c>
      <c r="G13" s="11">
        <v>63378</v>
      </c>
      <c r="H13" s="129">
        <v>130859</v>
      </c>
      <c r="I13" s="11">
        <v>119204</v>
      </c>
      <c r="J13" s="11">
        <f t="shared" si="0"/>
        <v>18272</v>
      </c>
      <c r="M13" s="444">
        <v>37073</v>
      </c>
      <c r="N13" s="24">
        <v>16669639</v>
      </c>
      <c r="O13" s="14">
        <v>16693576</v>
      </c>
      <c r="P13" s="14">
        <f t="shared" si="1"/>
        <v>23937</v>
      </c>
      <c r="Q13" s="388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282398</v>
      </c>
      <c r="C14" s="11">
        <v>250750</v>
      </c>
      <c r="D14" s="11">
        <v>72080</v>
      </c>
      <c r="E14" s="11">
        <v>72956</v>
      </c>
      <c r="F14" s="11">
        <v>70350</v>
      </c>
      <c r="G14" s="11">
        <v>64373</v>
      </c>
      <c r="H14" s="11">
        <v>107979</v>
      </c>
      <c r="I14" s="11">
        <v>115292</v>
      </c>
      <c r="J14" s="11">
        <f t="shared" si="0"/>
        <v>-29436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307301</v>
      </c>
      <c r="C15" s="11">
        <v>313278</v>
      </c>
      <c r="D15" s="11">
        <v>73384</v>
      </c>
      <c r="E15" s="11">
        <v>72956</v>
      </c>
      <c r="F15" s="11">
        <v>73230</v>
      </c>
      <c r="G15" s="11">
        <v>69483</v>
      </c>
      <c r="H15" s="11">
        <v>136385</v>
      </c>
      <c r="I15" s="11">
        <v>129079</v>
      </c>
      <c r="J15" s="11">
        <f t="shared" si="0"/>
        <v>-5504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44"/>
      <c r="N17" s="24"/>
      <c r="O17" s="14"/>
      <c r="P17" s="14">
        <f>+O17-N17</f>
        <v>0</v>
      </c>
      <c r="Q17" s="388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44"/>
      <c r="N18" s="24"/>
      <c r="O18" s="14"/>
      <c r="P18" s="14"/>
      <c r="Q18" s="388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44"/>
      <c r="N19" s="14"/>
      <c r="O19" s="14"/>
      <c r="P19" s="14"/>
      <c r="Q19" s="388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44"/>
      <c r="N20" s="14"/>
      <c r="O20" s="14"/>
      <c r="P20" s="15"/>
      <c r="Q20" s="388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44"/>
      <c r="N21" s="24"/>
      <c r="O21" s="24"/>
      <c r="P21" s="110"/>
      <c r="Q21" s="44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4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46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46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4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4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4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4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4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4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4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3621814</v>
      </c>
      <c r="C35" s="11">
        <f t="shared" ref="C35:I35" si="3">SUM(C4:C34)</f>
        <v>3583180</v>
      </c>
      <c r="D35" s="11">
        <f t="shared" si="3"/>
        <v>784311</v>
      </c>
      <c r="E35" s="11">
        <f t="shared" si="3"/>
        <v>860471</v>
      </c>
      <c r="F35" s="11">
        <f t="shared" si="3"/>
        <v>753074</v>
      </c>
      <c r="G35" s="11">
        <f t="shared" si="3"/>
        <v>726259</v>
      </c>
      <c r="H35" s="11">
        <f t="shared" si="3"/>
        <v>1219783</v>
      </c>
      <c r="I35" s="11">
        <f t="shared" si="3"/>
        <v>1162578</v>
      </c>
      <c r="J35" s="11">
        <f>SUM(J4:J34)</f>
        <v>-46494</v>
      </c>
      <c r="M35" s="32"/>
      <c r="N35" s="24"/>
      <c r="O35" s="32"/>
      <c r="P35" s="15"/>
      <c r="Q35" s="38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8"/>
      <c r="R37" s="110"/>
      <c r="S37" s="19"/>
      <c r="T37" s="104"/>
      <c r="U37" s="16"/>
      <c r="V37" s="15"/>
      <c r="W37" s="13"/>
    </row>
    <row r="38" spans="1:23" x14ac:dyDescent="0.2">
      <c r="A38" s="56">
        <v>37134</v>
      </c>
      <c r="C38" s="25"/>
      <c r="E38" s="25"/>
      <c r="G38" s="25"/>
      <c r="I38" s="25"/>
      <c r="J38" s="468">
        <v>275390</v>
      </c>
      <c r="M38" s="32"/>
      <c r="N38" s="24"/>
      <c r="O38" s="32"/>
      <c r="P38" s="15"/>
      <c r="Q38" s="38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8"/>
      <c r="R39" s="110"/>
      <c r="S39" s="19"/>
      <c r="T39" s="104"/>
      <c r="U39" s="16"/>
      <c r="V39" s="15"/>
      <c r="W39" s="13"/>
    </row>
    <row r="40" spans="1:23" x14ac:dyDescent="0.2">
      <c r="A40" s="33">
        <v>37145</v>
      </c>
      <c r="J40" s="51">
        <f>+J38+J35</f>
        <v>228896</v>
      </c>
      <c r="M40" s="32"/>
      <c r="N40" s="24"/>
      <c r="O40" s="32"/>
      <c r="P40" s="15"/>
      <c r="Q40" s="38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8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8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8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37134</v>
      </c>
      <c r="B46" s="32"/>
      <c r="C46" s="32"/>
      <c r="D46" s="469">
        <v>1288237.99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37145</v>
      </c>
      <c r="B47" s="32"/>
      <c r="C47" s="32"/>
      <c r="D47" s="406">
        <f>+J35*'by type_area'!J3</f>
        <v>-90198.36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1198039.6299999999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8"/>
      <c r="R48" s="15"/>
      <c r="S48" s="19"/>
      <c r="T48" s="32"/>
    </row>
    <row r="49" spans="1:20" x14ac:dyDescent="0.2">
      <c r="A49" s="139"/>
      <c r="B49" s="119"/>
      <c r="C49" s="140"/>
      <c r="D49" s="407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8"/>
      <c r="R49" s="15"/>
      <c r="S49" s="32"/>
      <c r="T49" s="32"/>
    </row>
    <row r="50" spans="1:20" x14ac:dyDescent="0.2">
      <c r="A50" s="10"/>
      <c r="B50" s="11"/>
      <c r="C50" s="11"/>
      <c r="D50" s="408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4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4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46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46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46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4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4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4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4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4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4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4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4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4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4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4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4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4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4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4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4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4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8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4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42"/>
      <c r="Q255" s="143"/>
      <c r="R255" s="44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43"/>
      <c r="Q256" s="448"/>
      <c r="R256" s="44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4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4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4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4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4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4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4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4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4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4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4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4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4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4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4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4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4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4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4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4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4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4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4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4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4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4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4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4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4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4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4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4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47"/>
      <c r="S295" s="1"/>
    </row>
    <row r="296" spans="9:21" x14ac:dyDescent="0.2">
      <c r="K296" s="2"/>
      <c r="M296" s="30"/>
      <c r="N296" s="4"/>
      <c r="O296" s="4"/>
      <c r="P296" s="442"/>
      <c r="Q296" s="143"/>
      <c r="R296" s="44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43"/>
      <c r="Q297" s="448"/>
      <c r="R297" s="44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4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4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4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4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4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4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4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4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4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4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4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4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4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4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4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4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4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4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4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4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4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4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4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4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4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4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4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4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4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4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4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4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47"/>
      <c r="S337" s="1"/>
    </row>
    <row r="338" spans="11:21" x14ac:dyDescent="0.2">
      <c r="K338" s="2"/>
      <c r="M338" s="30"/>
      <c r="N338" s="4"/>
      <c r="O338" s="4"/>
      <c r="P338" s="442"/>
      <c r="Q338" s="143"/>
      <c r="R338" s="44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43"/>
      <c r="Q339" s="448"/>
      <c r="R339" s="44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4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4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4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4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4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4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4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4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4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4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4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4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4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4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4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4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4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4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4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4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4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4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4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4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4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4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4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4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4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4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4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4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47"/>
      <c r="S379" s="1"/>
    </row>
    <row r="380" spans="11:21" x14ac:dyDescent="0.2">
      <c r="K380" s="2"/>
      <c r="M380" s="30"/>
      <c r="N380" s="4"/>
      <c r="O380" s="4"/>
      <c r="P380" s="442"/>
      <c r="Q380" s="143"/>
      <c r="R380" s="44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43"/>
      <c r="Q381" s="448"/>
      <c r="R381" s="44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4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4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4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4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4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4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4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4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4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4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4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4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4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4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4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4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4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4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4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4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4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4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4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4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4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4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4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4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4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4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4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4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47"/>
      <c r="S423" s="1"/>
    </row>
    <row r="424" spans="11:21" x14ac:dyDescent="0.2">
      <c r="K424" s="2"/>
      <c r="M424" s="30"/>
      <c r="N424" s="4"/>
      <c r="O424" s="4"/>
      <c r="P424" s="442"/>
      <c r="Q424" s="143"/>
      <c r="R424" s="44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43"/>
      <c r="Q425" s="448"/>
      <c r="R425" s="44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4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4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4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4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4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4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4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4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4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4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4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4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4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4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4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4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4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4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4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4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4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4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4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4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4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4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4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4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4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4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4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4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4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42"/>
      <c r="Q466" s="143"/>
      <c r="R466" s="44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43"/>
      <c r="Q467" s="448"/>
      <c r="R467" s="44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4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4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4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4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4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4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4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4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4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4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4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4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4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4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4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4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4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4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4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4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4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4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4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4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4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4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4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4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4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4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4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4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C40" sqref="C40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">
      <c r="A11" s="10">
        <v>6</v>
      </c>
      <c r="B11" s="11">
        <v>54155</v>
      </c>
      <c r="C11" s="11">
        <v>54685</v>
      </c>
      <c r="D11" s="25">
        <f t="shared" si="0"/>
        <v>530</v>
      </c>
    </row>
    <row r="12" spans="1:4" x14ac:dyDescent="0.2">
      <c r="A12" s="10">
        <v>7</v>
      </c>
      <c r="B12" s="11">
        <v>64066</v>
      </c>
      <c r="C12" s="11">
        <v>62444</v>
      </c>
      <c r="D12" s="25">
        <f t="shared" si="0"/>
        <v>-1622</v>
      </c>
    </row>
    <row r="13" spans="1:4" x14ac:dyDescent="0.2">
      <c r="A13" s="10">
        <v>8</v>
      </c>
      <c r="B13" s="11">
        <v>58452</v>
      </c>
      <c r="C13" s="11">
        <v>62839</v>
      </c>
      <c r="D13" s="25">
        <f t="shared" si="0"/>
        <v>4387</v>
      </c>
    </row>
    <row r="14" spans="1:4" x14ac:dyDescent="0.2">
      <c r="A14" s="10">
        <v>9</v>
      </c>
      <c r="B14" s="11">
        <v>59525</v>
      </c>
      <c r="C14" s="11">
        <v>62898</v>
      </c>
      <c r="D14" s="25">
        <f t="shared" si="0"/>
        <v>3373</v>
      </c>
    </row>
    <row r="15" spans="1:4" x14ac:dyDescent="0.2">
      <c r="A15" s="10">
        <v>10</v>
      </c>
      <c r="B15" s="11">
        <v>58572</v>
      </c>
      <c r="C15" s="11">
        <v>62898</v>
      </c>
      <c r="D15" s="25">
        <f t="shared" si="0"/>
        <v>4326</v>
      </c>
    </row>
    <row r="16" spans="1:4" x14ac:dyDescent="0.2">
      <c r="A16" s="10">
        <v>11</v>
      </c>
      <c r="B16" s="11">
        <v>64462</v>
      </c>
      <c r="C16" s="11">
        <v>63297</v>
      </c>
      <c r="D16" s="25">
        <f t="shared" si="0"/>
        <v>-1165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641231</v>
      </c>
      <c r="C37" s="11">
        <f>SUM(C6:C36)</f>
        <v>659560</v>
      </c>
      <c r="D37" s="25">
        <f>SUM(D6:D36)</f>
        <v>18329</v>
      </c>
    </row>
    <row r="38" spans="1:4" x14ac:dyDescent="0.2">
      <c r="A38" s="26"/>
      <c r="C38" s="14"/>
      <c r="D38" s="345">
        <f>+summary!H5</f>
        <v>2.0699999999999998</v>
      </c>
    </row>
    <row r="39" spans="1:4" x14ac:dyDescent="0.2">
      <c r="D39" s="138">
        <f>+D38*D37</f>
        <v>37941.03</v>
      </c>
    </row>
    <row r="40" spans="1:4" x14ac:dyDescent="0.2">
      <c r="A40" s="57">
        <v>37134</v>
      </c>
      <c r="C40" s="15"/>
      <c r="D40" s="492">
        <v>14916.9</v>
      </c>
    </row>
    <row r="41" spans="1:4" x14ac:dyDescent="0.2">
      <c r="A41" s="57">
        <v>37145</v>
      </c>
      <c r="C41" s="48"/>
      <c r="D41" s="138">
        <f>+D40+D39</f>
        <v>52857.93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477">
        <v>5234</v>
      </c>
    </row>
    <row r="47" spans="1:4" x14ac:dyDescent="0.2">
      <c r="A47" s="49">
        <f>+A41</f>
        <v>37145</v>
      </c>
      <c r="B47" s="32"/>
      <c r="C47" s="32"/>
      <c r="D47" s="377">
        <f>+D37</f>
        <v>18329</v>
      </c>
    </row>
    <row r="48" spans="1:4" x14ac:dyDescent="0.2">
      <c r="A48" s="32"/>
      <c r="B48" s="32"/>
      <c r="C48" s="32"/>
      <c r="D48" s="14">
        <f>+D47+D46</f>
        <v>23563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2" workbookViewId="3">
      <selection activeCell="C17" sqref="C1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">
      <c r="A11" s="10">
        <v>6</v>
      </c>
      <c r="B11" s="11">
        <v>-1043</v>
      </c>
      <c r="C11" s="11">
        <v>-2139</v>
      </c>
      <c r="D11" s="25">
        <f t="shared" si="0"/>
        <v>-1096</v>
      </c>
    </row>
    <row r="12" spans="1:13" x14ac:dyDescent="0.2">
      <c r="A12" s="10">
        <v>7</v>
      </c>
      <c r="B12" s="11"/>
      <c r="C12" s="11">
        <v>-438</v>
      </c>
      <c r="D12" s="25">
        <f t="shared" si="0"/>
        <v>-438</v>
      </c>
    </row>
    <row r="13" spans="1:13" x14ac:dyDescent="0.2">
      <c r="A13" s="10">
        <v>8</v>
      </c>
      <c r="B13" s="11"/>
      <c r="C13" s="11">
        <v>-438</v>
      </c>
      <c r="D13" s="25">
        <f t="shared" si="0"/>
        <v>-438</v>
      </c>
      <c r="H13" s="118"/>
      <c r="I13" s="34"/>
      <c r="J13" s="34"/>
      <c r="K13" s="189"/>
      <c r="L13" s="450" t="s">
        <v>197</v>
      </c>
      <c r="M13" s="189"/>
    </row>
    <row r="14" spans="1:13" x14ac:dyDescent="0.2">
      <c r="A14" s="10">
        <v>9</v>
      </c>
      <c r="B14" s="11"/>
      <c r="C14" s="11">
        <v>-438</v>
      </c>
      <c r="D14" s="25">
        <f t="shared" si="0"/>
        <v>-438</v>
      </c>
      <c r="H14" s="118" t="s">
        <v>40</v>
      </c>
      <c r="I14" s="451" t="s">
        <v>20</v>
      </c>
      <c r="J14" s="451" t="s">
        <v>21</v>
      </c>
      <c r="K14" s="452" t="s">
        <v>51</v>
      </c>
      <c r="L14" s="450" t="s">
        <v>16</v>
      </c>
      <c r="M14" s="189" t="s">
        <v>28</v>
      </c>
    </row>
    <row r="15" spans="1:13" x14ac:dyDescent="0.2">
      <c r="A15" s="10">
        <v>10</v>
      </c>
      <c r="B15" s="11"/>
      <c r="C15" s="11">
        <v>-438</v>
      </c>
      <c r="D15" s="25">
        <f t="shared" si="0"/>
        <v>-438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>
        <v>-438</v>
      </c>
      <c r="D16" s="25">
        <f t="shared" si="0"/>
        <v>-438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50">
        <v>8.2100000000000009</v>
      </c>
      <c r="M16" s="45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50">
        <v>5.62</v>
      </c>
      <c r="M17" s="45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50">
        <v>4.9800000000000004</v>
      </c>
      <c r="M18" s="45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50">
        <v>4.87</v>
      </c>
      <c r="M19" s="455">
        <f t="shared" si="2"/>
        <v>63012.93</v>
      </c>
      <c r="O19" s="267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50">
        <v>3.82</v>
      </c>
      <c r="M20" s="45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50">
        <v>3.2</v>
      </c>
      <c r="M21" s="45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50">
        <v>2.77</v>
      </c>
      <c r="M22" s="45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53"/>
      <c r="M23" s="454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-8976</v>
      </c>
      <c r="C37" s="11">
        <f>SUM(C6:C36)</f>
        <v>-15024</v>
      </c>
      <c r="D37" s="25">
        <f>SUM(D6:D36)</f>
        <v>-6048</v>
      </c>
    </row>
    <row r="38" spans="1:4" x14ac:dyDescent="0.2">
      <c r="A38" s="26"/>
      <c r="C38" s="14"/>
      <c r="D38" s="345">
        <f>+summary!H4</f>
        <v>2.0299999999999998</v>
      </c>
    </row>
    <row r="39" spans="1:4" x14ac:dyDescent="0.2">
      <c r="D39" s="138">
        <f>+D38*D37</f>
        <v>-12277.439999999999</v>
      </c>
    </row>
    <row r="40" spans="1:4" x14ac:dyDescent="0.2">
      <c r="A40" s="57">
        <v>37134</v>
      </c>
      <c r="C40" s="15"/>
      <c r="D40" s="484">
        <v>-421481.58</v>
      </c>
    </row>
    <row r="41" spans="1:4" x14ac:dyDescent="0.2">
      <c r="A41" s="57">
        <v>37145</v>
      </c>
      <c r="C41" s="48"/>
      <c r="D41" s="138">
        <f>+D40+D39</f>
        <v>-433759.02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37134</v>
      </c>
      <c r="B48" s="32"/>
      <c r="C48" s="32"/>
      <c r="D48" s="477">
        <v>-77754</v>
      </c>
    </row>
    <row r="49" spans="1:4" x14ac:dyDescent="0.2">
      <c r="A49" s="49">
        <f>+A41</f>
        <v>37145</v>
      </c>
      <c r="B49" s="32"/>
      <c r="C49" s="32"/>
      <c r="D49" s="377">
        <f>+D37</f>
        <v>-6048</v>
      </c>
    </row>
    <row r="50" spans="1:4" x14ac:dyDescent="0.2">
      <c r="A50" s="32"/>
      <c r="B50" s="32"/>
      <c r="C50" s="32"/>
      <c r="D50" s="14">
        <f>+D49+D48</f>
        <v>-83802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">
      <c r="A9" s="10">
        <v>4</v>
      </c>
      <c r="B9" s="108">
        <v>-5</v>
      </c>
      <c r="C9" s="11">
        <v>-5000</v>
      </c>
      <c r="D9" s="25">
        <f t="shared" si="0"/>
        <v>-4995</v>
      </c>
    </row>
    <row r="10" spans="1:4" x14ac:dyDescent="0.2">
      <c r="A10" s="10">
        <v>5</v>
      </c>
      <c r="B10" s="108">
        <v>-31</v>
      </c>
      <c r="C10" s="11"/>
      <c r="D10" s="25">
        <f t="shared" si="0"/>
        <v>31</v>
      </c>
    </row>
    <row r="11" spans="1:4" x14ac:dyDescent="0.2">
      <c r="A11" s="10">
        <v>6</v>
      </c>
      <c r="B11" s="108">
        <v>0</v>
      </c>
      <c r="C11" s="11"/>
      <c r="D11" s="25">
        <f t="shared" si="0"/>
        <v>0</v>
      </c>
    </row>
    <row r="12" spans="1:4" x14ac:dyDescent="0.2">
      <c r="A12" s="10">
        <v>7</v>
      </c>
      <c r="B12" s="11">
        <v>-3</v>
      </c>
      <c r="C12" s="11"/>
      <c r="D12" s="25">
        <f t="shared" si="0"/>
        <v>3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-243806</v>
      </c>
      <c r="C37" s="11">
        <f>SUM(C6:C36)</f>
        <v>-213250</v>
      </c>
      <c r="D37" s="25">
        <f>SUM(D6:D36)</f>
        <v>30556</v>
      </c>
    </row>
    <row r="38" spans="1:4" x14ac:dyDescent="0.2">
      <c r="A38" s="26"/>
      <c r="C38" s="14"/>
      <c r="D38" s="345">
        <f>+summary!H4</f>
        <v>2.0299999999999998</v>
      </c>
    </row>
    <row r="39" spans="1:4" x14ac:dyDescent="0.2">
      <c r="D39" s="138">
        <f>+D38*D37</f>
        <v>62028.679999999993</v>
      </c>
    </row>
    <row r="40" spans="1:4" x14ac:dyDescent="0.2">
      <c r="A40" s="57">
        <v>37134</v>
      </c>
      <c r="C40" s="15"/>
      <c r="D40" s="359">
        <v>-173605</v>
      </c>
    </row>
    <row r="41" spans="1:4" x14ac:dyDescent="0.2">
      <c r="A41" s="57">
        <v>37145</v>
      </c>
      <c r="C41" s="48"/>
      <c r="D41" s="138">
        <f>+D40+D39</f>
        <v>-111576.32000000001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-86184</v>
      </c>
    </row>
    <row r="47" spans="1:4" x14ac:dyDescent="0.2">
      <c r="A47" s="49">
        <f>+A41</f>
        <v>37145</v>
      </c>
      <c r="B47" s="32"/>
      <c r="C47" s="32"/>
      <c r="D47" s="377">
        <f>+D37</f>
        <v>30556</v>
      </c>
    </row>
    <row r="48" spans="1:4" x14ac:dyDescent="0.2">
      <c r="A48" s="32"/>
      <c r="B48" s="32"/>
      <c r="C48" s="32"/>
      <c r="D48" s="14">
        <f>+D47+D46</f>
        <v>-55628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4" workbookViewId="3">
      <selection activeCell="B9" sqref="B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-11978</v>
      </c>
      <c r="C5" s="90">
        <v>-1386</v>
      </c>
      <c r="D5" s="90">
        <f>+C5-B5</f>
        <v>10592</v>
      </c>
      <c r="E5" s="285"/>
      <c r="F5" s="283"/>
    </row>
    <row r="6" spans="1:13" x14ac:dyDescent="0.2">
      <c r="A6" s="87">
        <v>500046</v>
      </c>
      <c r="B6" s="90">
        <v>-259</v>
      </c>
      <c r="C6" s="90"/>
      <c r="D6" s="90">
        <f t="shared" ref="D6:D11" si="0">+C6-B6</f>
        <v>259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-25849</v>
      </c>
      <c r="C8" s="90"/>
      <c r="D8" s="90">
        <f t="shared" si="0"/>
        <v>25849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36700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2.0299999999999998</v>
      </c>
      <c r="E13" s="287"/>
      <c r="F13" s="283"/>
    </row>
    <row r="14" spans="1:13" x14ac:dyDescent="0.2">
      <c r="A14" s="87"/>
      <c r="B14" s="88"/>
      <c r="C14" s="88"/>
      <c r="D14" s="96">
        <f>+D13*D12</f>
        <v>74501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37134</v>
      </c>
      <c r="B16" s="88"/>
      <c r="C16" s="88"/>
      <c r="D16" s="439">
        <v>-757792.37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37145</v>
      </c>
      <c r="B18" s="88"/>
      <c r="C18" s="88"/>
      <c r="D18" s="334">
        <f>+D16+D14</f>
        <v>-683291.37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37134</v>
      </c>
      <c r="B22" s="32"/>
      <c r="C22" s="32"/>
      <c r="D22" s="212">
        <v>-152176</v>
      </c>
    </row>
    <row r="23" spans="1:7" x14ac:dyDescent="0.2">
      <c r="A23" s="49">
        <f>+A18</f>
        <v>37145</v>
      </c>
      <c r="B23" s="32"/>
      <c r="C23" s="32"/>
      <c r="D23" s="377">
        <f>+D12</f>
        <v>36700</v>
      </c>
    </row>
    <row r="24" spans="1:7" x14ac:dyDescent="0.2">
      <c r="A24" s="32"/>
      <c r="B24" s="32"/>
      <c r="C24" s="32"/>
      <c r="D24" s="14">
        <f>+D23+D22</f>
        <v>-115476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7" workbookViewId="3">
      <selection activeCell="B38" sqref="B38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">
      <c r="A11" s="10">
        <v>6</v>
      </c>
      <c r="B11" s="11">
        <v>-38711</v>
      </c>
      <c r="C11" s="11">
        <v>-31073</v>
      </c>
      <c r="D11" s="25">
        <f t="shared" si="0"/>
        <v>7638</v>
      </c>
    </row>
    <row r="12" spans="1:4" x14ac:dyDescent="0.2">
      <c r="A12" s="10">
        <v>7</v>
      </c>
      <c r="B12" s="11">
        <v>-28581</v>
      </c>
      <c r="C12" s="11">
        <v>-25328</v>
      </c>
      <c r="D12" s="25">
        <f t="shared" si="0"/>
        <v>3253</v>
      </c>
    </row>
    <row r="13" spans="1:4" x14ac:dyDescent="0.2">
      <c r="A13" s="10">
        <v>8</v>
      </c>
      <c r="B13" s="11">
        <v>-22482</v>
      </c>
      <c r="C13" s="11">
        <v>-16116</v>
      </c>
      <c r="D13" s="25">
        <f t="shared" si="0"/>
        <v>6366</v>
      </c>
    </row>
    <row r="14" spans="1:4" x14ac:dyDescent="0.2">
      <c r="A14" s="10">
        <v>9</v>
      </c>
      <c r="B14" s="11">
        <v>-24134</v>
      </c>
      <c r="C14" s="11">
        <v>-16116</v>
      </c>
      <c r="D14" s="25">
        <f t="shared" si="0"/>
        <v>8018</v>
      </c>
    </row>
    <row r="15" spans="1:4" x14ac:dyDescent="0.2">
      <c r="A15" s="10">
        <v>10</v>
      </c>
      <c r="B15" s="11">
        <v>-9103</v>
      </c>
      <c r="C15" s="11">
        <v>-16116</v>
      </c>
      <c r="D15" s="25">
        <f t="shared" si="0"/>
        <v>-7013</v>
      </c>
    </row>
    <row r="16" spans="1:4" x14ac:dyDescent="0.2">
      <c r="A16" s="10">
        <v>11</v>
      </c>
      <c r="B16" s="11">
        <v>-32225</v>
      </c>
      <c r="C16" s="11">
        <v>-45000</v>
      </c>
      <c r="D16" s="25">
        <f t="shared" si="0"/>
        <v>-12775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-301292</v>
      </c>
      <c r="C37" s="11">
        <f>SUM(C6:C36)</f>
        <v>-284749</v>
      </c>
      <c r="D37" s="25">
        <f>SUM(D6:D36)</f>
        <v>16543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37134</v>
      </c>
      <c r="C40" s="15"/>
      <c r="D40" s="468">
        <v>48988</v>
      </c>
    </row>
    <row r="41" spans="1:4" x14ac:dyDescent="0.2">
      <c r="A41" s="57">
        <v>37145</v>
      </c>
      <c r="C41" s="48"/>
      <c r="D41" s="25">
        <f>+D40+D37</f>
        <v>65531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37134</v>
      </c>
      <c r="B45" s="32"/>
      <c r="C45" s="32"/>
      <c r="D45" s="469">
        <v>265496.81</v>
      </c>
    </row>
    <row r="46" spans="1:4" x14ac:dyDescent="0.2">
      <c r="A46" s="49">
        <f>+A41</f>
        <v>37145</v>
      </c>
      <c r="B46" s="32"/>
      <c r="C46" s="32"/>
      <c r="D46" s="406">
        <f>+D37*'by type_area'!J4</f>
        <v>33582.289999999994</v>
      </c>
    </row>
    <row r="47" spans="1:4" x14ac:dyDescent="0.2">
      <c r="A47" s="32"/>
      <c r="B47" s="32"/>
      <c r="C47" s="32"/>
      <c r="D47" s="202">
        <f>+D46+D45</f>
        <v>299079.09999999998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9" workbookViewId="3">
      <selection activeCell="C18" sqref="C1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">
      <c r="A10" s="10">
        <v>4</v>
      </c>
      <c r="B10" s="11">
        <v>149888</v>
      </c>
      <c r="C10" s="11">
        <v>152957</v>
      </c>
      <c r="D10" s="25">
        <f t="shared" si="0"/>
        <v>3069</v>
      </c>
    </row>
    <row r="11" spans="1:4" x14ac:dyDescent="0.2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">
      <c r="A12" s="10">
        <v>6</v>
      </c>
      <c r="B12" s="11">
        <v>124012</v>
      </c>
      <c r="C12" s="11">
        <v>124223</v>
      </c>
      <c r="D12" s="25">
        <f t="shared" si="0"/>
        <v>211</v>
      </c>
    </row>
    <row r="13" spans="1:4" x14ac:dyDescent="0.2">
      <c r="A13" s="10">
        <v>7</v>
      </c>
      <c r="B13" s="129">
        <v>151138</v>
      </c>
      <c r="C13" s="11">
        <v>157505</v>
      </c>
      <c r="D13" s="25">
        <f t="shared" si="0"/>
        <v>6367</v>
      </c>
    </row>
    <row r="14" spans="1:4" x14ac:dyDescent="0.2">
      <c r="A14" s="10">
        <v>8</v>
      </c>
      <c r="B14" s="11">
        <v>131748</v>
      </c>
      <c r="C14" s="11">
        <v>131556</v>
      </c>
      <c r="D14" s="25">
        <f t="shared" si="0"/>
        <v>-192</v>
      </c>
    </row>
    <row r="15" spans="1:4" x14ac:dyDescent="0.2">
      <c r="A15" s="10">
        <v>9</v>
      </c>
      <c r="B15" s="11">
        <v>130001</v>
      </c>
      <c r="C15" s="11">
        <v>129381</v>
      </c>
      <c r="D15" s="25">
        <f t="shared" si="0"/>
        <v>-620</v>
      </c>
    </row>
    <row r="16" spans="1:4" x14ac:dyDescent="0.2">
      <c r="A16" s="10">
        <v>10</v>
      </c>
      <c r="B16" s="11">
        <v>134993</v>
      </c>
      <c r="C16" s="11">
        <v>134783</v>
      </c>
      <c r="D16" s="25">
        <f t="shared" si="0"/>
        <v>-210</v>
      </c>
    </row>
    <row r="17" spans="1:4" x14ac:dyDescent="0.2">
      <c r="A17" s="10">
        <v>11</v>
      </c>
      <c r="B17" s="11">
        <v>113234</v>
      </c>
      <c r="C17" s="11">
        <v>109304</v>
      </c>
      <c r="D17" s="25">
        <f t="shared" si="0"/>
        <v>-3930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1502131</v>
      </c>
      <c r="C38" s="11">
        <f>SUM(C7:C37)</f>
        <v>1505411</v>
      </c>
      <c r="D38" s="11">
        <f>SUM(D7:D37)</f>
        <v>3280</v>
      </c>
    </row>
    <row r="39" spans="1:4" x14ac:dyDescent="0.2">
      <c r="A39" s="26"/>
      <c r="C39" s="14"/>
      <c r="D39" s="106">
        <f>+summary!H3</f>
        <v>1.94</v>
      </c>
    </row>
    <row r="40" spans="1:4" x14ac:dyDescent="0.2">
      <c r="D40" s="138">
        <f>+D39*D38</f>
        <v>6363.2</v>
      </c>
    </row>
    <row r="41" spans="1:4" x14ac:dyDescent="0.2">
      <c r="A41" s="57">
        <v>37134</v>
      </c>
      <c r="C41" s="15"/>
      <c r="D41" s="369">
        <v>0</v>
      </c>
    </row>
    <row r="42" spans="1:4" x14ac:dyDescent="0.2">
      <c r="A42" s="57">
        <v>37145</v>
      </c>
      <c r="D42" s="337">
        <f>+D41+D40</f>
        <v>6363.2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37134</v>
      </c>
      <c r="B47" s="32"/>
      <c r="C47" s="32"/>
      <c r="D47" s="212">
        <v>0</v>
      </c>
    </row>
    <row r="48" spans="1:4" x14ac:dyDescent="0.2">
      <c r="A48" s="49">
        <f>+A42</f>
        <v>37145</v>
      </c>
      <c r="B48" s="32"/>
      <c r="C48" s="32"/>
      <c r="D48" s="377">
        <f>+D38</f>
        <v>3280</v>
      </c>
    </row>
    <row r="49" spans="1:4" x14ac:dyDescent="0.2">
      <c r="A49" s="32"/>
      <c r="B49" s="32"/>
      <c r="C49" s="32"/>
      <c r="D49" s="14">
        <f>+D48+D47</f>
        <v>3280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B39" sqref="B39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-28067</v>
      </c>
      <c r="C9" s="11"/>
      <c r="D9" s="11">
        <v>-19</v>
      </c>
      <c r="E9" s="11">
        <v>-27302</v>
      </c>
      <c r="F9" s="11">
        <f t="shared" si="0"/>
        <v>784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-32603</v>
      </c>
      <c r="C10" s="11">
        <v>-6315</v>
      </c>
      <c r="D10" s="11">
        <v>-4</v>
      </c>
      <c r="E10" s="11">
        <v>-25302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-28184</v>
      </c>
      <c r="C11" s="11"/>
      <c r="D11" s="129">
        <v>-2</v>
      </c>
      <c r="E11" s="11">
        <v>-27904</v>
      </c>
      <c r="F11" s="11">
        <f t="shared" si="0"/>
        <v>282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-40209</v>
      </c>
      <c r="C12" s="11">
        <v>-14724</v>
      </c>
      <c r="D12" s="11"/>
      <c r="E12" s="11">
        <v>-24700</v>
      </c>
      <c r="F12" s="11">
        <f t="shared" si="0"/>
        <v>785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-40733</v>
      </c>
      <c r="C13" s="11">
        <v>-14724</v>
      </c>
      <c r="D13" s="129"/>
      <c r="E13" s="11">
        <v>-24700</v>
      </c>
      <c r="F13" s="11">
        <f t="shared" si="0"/>
        <v>1309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-40617</v>
      </c>
      <c r="C14" s="11">
        <v>-14724</v>
      </c>
      <c r="D14" s="129">
        <v>-9</v>
      </c>
      <c r="E14" s="11">
        <v>-24700</v>
      </c>
      <c r="F14" s="11">
        <f t="shared" si="0"/>
        <v>1202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-23227</v>
      </c>
      <c r="C15" s="11"/>
      <c r="D15" s="11"/>
      <c r="E15" s="11">
        <v>-24200</v>
      </c>
      <c r="F15" s="11">
        <f t="shared" si="0"/>
        <v>-973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-306219</v>
      </c>
      <c r="C36" s="44">
        <f>SUM(C5:C35)</f>
        <v>-52487</v>
      </c>
      <c r="D36" s="43">
        <f>SUM(D5:D35)</f>
        <v>-34</v>
      </c>
      <c r="E36" s="44">
        <f>SUM(E5:E35)</f>
        <v>-248016</v>
      </c>
      <c r="F36" s="11">
        <f>SUM(F5:F35)</f>
        <v>5750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-253732</v>
      </c>
      <c r="D37" s="24"/>
      <c r="E37" s="24">
        <f>+D36-E36</f>
        <v>247982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37134</v>
      </c>
      <c r="C41" s="14"/>
      <c r="D41" s="50"/>
      <c r="E41" s="50"/>
      <c r="F41" s="479">
        <v>73003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37145</v>
      </c>
      <c r="C42" s="14"/>
      <c r="D42" s="50"/>
      <c r="E42" s="50"/>
      <c r="F42" s="51">
        <f>+F41+F36</f>
        <v>78753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37134</v>
      </c>
      <c r="B47" s="32"/>
      <c r="C47" s="32"/>
      <c r="D47" s="480">
        <v>71590.87</v>
      </c>
    </row>
    <row r="48" spans="1:12" x14ac:dyDescent="0.2">
      <c r="A48" s="49">
        <f>+B42</f>
        <v>37145</v>
      </c>
      <c r="B48" s="32"/>
      <c r="C48" s="32"/>
      <c r="D48" s="406">
        <f>+F36*'by type_area'!J4</f>
        <v>11672.499999999998</v>
      </c>
    </row>
    <row r="49" spans="1:4" x14ac:dyDescent="0.2">
      <c r="A49" s="32"/>
      <c r="B49" s="32"/>
      <c r="C49" s="32"/>
      <c r="D49" s="202">
        <f>+D48+D47</f>
        <v>83263.37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39" sqref="C3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">
      <c r="A8" s="10">
        <v>5</v>
      </c>
      <c r="B8" s="129">
        <v>-172148</v>
      </c>
      <c r="C8" s="11">
        <v>-171442</v>
      </c>
      <c r="D8" s="25">
        <f t="shared" si="0"/>
        <v>706</v>
      </c>
    </row>
    <row r="9" spans="1:4" x14ac:dyDescent="0.2">
      <c r="A9" s="10">
        <v>6</v>
      </c>
      <c r="B9" s="129">
        <v>-167318</v>
      </c>
      <c r="C9" s="11">
        <v>-166625</v>
      </c>
      <c r="D9" s="25">
        <f t="shared" si="0"/>
        <v>693</v>
      </c>
    </row>
    <row r="10" spans="1:4" x14ac:dyDescent="0.2">
      <c r="A10" s="10">
        <v>7</v>
      </c>
      <c r="B10" s="129">
        <v>-146770</v>
      </c>
      <c r="C10" s="11">
        <v>-148471</v>
      </c>
      <c r="D10" s="25">
        <f t="shared" si="0"/>
        <v>-1701</v>
      </c>
    </row>
    <row r="11" spans="1:4" x14ac:dyDescent="0.2">
      <c r="A11" s="10">
        <v>8</v>
      </c>
      <c r="B11" s="11">
        <v>-167550</v>
      </c>
      <c r="C11" s="11">
        <v>-166769</v>
      </c>
      <c r="D11" s="25">
        <f t="shared" si="0"/>
        <v>781</v>
      </c>
    </row>
    <row r="12" spans="1:4" x14ac:dyDescent="0.2">
      <c r="A12" s="10">
        <v>9</v>
      </c>
      <c r="B12" s="11">
        <v>-166261</v>
      </c>
      <c r="C12" s="11">
        <v>-164629</v>
      </c>
      <c r="D12" s="25">
        <f t="shared" si="0"/>
        <v>1632</v>
      </c>
    </row>
    <row r="13" spans="1:4" x14ac:dyDescent="0.2">
      <c r="A13" s="10">
        <v>10</v>
      </c>
      <c r="B13" s="11">
        <v>-158639</v>
      </c>
      <c r="C13" s="11">
        <v>-157063</v>
      </c>
      <c r="D13" s="25">
        <f t="shared" si="0"/>
        <v>1576</v>
      </c>
    </row>
    <row r="14" spans="1:4" x14ac:dyDescent="0.2">
      <c r="A14" s="10">
        <v>11</v>
      </c>
      <c r="B14" s="11">
        <v>-154740</v>
      </c>
      <c r="C14" s="11">
        <v>-154588</v>
      </c>
      <c r="D14" s="25">
        <f t="shared" si="0"/>
        <v>152</v>
      </c>
    </row>
    <row r="15" spans="1:4" x14ac:dyDescent="0.2">
      <c r="A15" s="10">
        <v>12</v>
      </c>
      <c r="B15" s="11">
        <v>-175579</v>
      </c>
      <c r="C15" s="11">
        <v>-174787</v>
      </c>
      <c r="D15" s="25">
        <f t="shared" si="0"/>
        <v>792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08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08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08"/>
      <c r="C32" s="11"/>
      <c r="D32" s="25">
        <f t="shared" si="0"/>
        <v>0</v>
      </c>
    </row>
    <row r="33" spans="1:30" x14ac:dyDescent="0.2">
      <c r="A33" s="10">
        <v>30</v>
      </c>
      <c r="B33" s="108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-1931362</v>
      </c>
      <c r="C35" s="11">
        <f>SUM(C4:C34)</f>
        <v>-1920054</v>
      </c>
      <c r="D35" s="11">
        <f>SUM(D4:D34)</f>
        <v>11308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37134</v>
      </c>
      <c r="D38" s="247">
        <v>43542</v>
      </c>
    </row>
    <row r="39" spans="1:30" x14ac:dyDescent="0.2">
      <c r="A39" s="12"/>
      <c r="D39" s="24"/>
    </row>
    <row r="40" spans="1:30" x14ac:dyDescent="0.2">
      <c r="A40" s="249">
        <v>37146</v>
      </c>
      <c r="D40" s="24">
        <f>+D38+D35</f>
        <v>54850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37134</v>
      </c>
      <c r="B45" s="32"/>
      <c r="C45" s="32"/>
      <c r="D45" s="437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37146</v>
      </c>
      <c r="B46" s="32"/>
      <c r="C46" s="32"/>
      <c r="D46" s="406">
        <f>+D35*'by type_area'!J4</f>
        <v>22955.239999999998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-81489.760000000009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6" workbookViewId="3">
      <selection activeCell="C38" sqref="C3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">
      <c r="A7" s="10">
        <v>4</v>
      </c>
      <c r="B7" s="11">
        <v>-684927</v>
      </c>
      <c r="C7" s="11">
        <v>-709416</v>
      </c>
      <c r="D7" s="11">
        <v>-23707</v>
      </c>
      <c r="E7" s="11">
        <v>-25000</v>
      </c>
      <c r="F7" s="25">
        <f t="shared" si="0"/>
        <v>-25782</v>
      </c>
      <c r="H7" s="10"/>
      <c r="I7" s="11"/>
      <c r="K7" s="25"/>
    </row>
    <row r="8" spans="1:11" x14ac:dyDescent="0.2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">
      <c r="A9" s="10">
        <v>6</v>
      </c>
      <c r="B9" s="11">
        <v>-713428</v>
      </c>
      <c r="C9" s="11">
        <v>-714110</v>
      </c>
      <c r="D9" s="11">
        <v>-25002</v>
      </c>
      <c r="E9" s="11">
        <v>-25000</v>
      </c>
      <c r="F9" s="25">
        <f t="shared" si="0"/>
        <v>-680</v>
      </c>
      <c r="H9" s="10"/>
      <c r="I9" s="11"/>
    </row>
    <row r="10" spans="1:11" x14ac:dyDescent="0.2">
      <c r="A10" s="10">
        <v>7</v>
      </c>
      <c r="B10" s="129">
        <v>-720273</v>
      </c>
      <c r="C10" s="11">
        <v>-719066</v>
      </c>
      <c r="D10" s="129">
        <v>-25488</v>
      </c>
      <c r="E10" s="11">
        <v>-25000</v>
      </c>
      <c r="F10" s="25">
        <f t="shared" si="0"/>
        <v>1695</v>
      </c>
      <c r="H10" s="10"/>
      <c r="I10" s="11"/>
    </row>
    <row r="11" spans="1:11" x14ac:dyDescent="0.2">
      <c r="A11" s="10">
        <v>8</v>
      </c>
      <c r="B11" s="11">
        <v>-709442</v>
      </c>
      <c r="C11" s="11">
        <v>-697388</v>
      </c>
      <c r="D11" s="11">
        <v>-24057</v>
      </c>
      <c r="E11" s="11">
        <v>-25000</v>
      </c>
      <c r="F11" s="25">
        <f t="shared" si="0"/>
        <v>11111</v>
      </c>
      <c r="H11" s="10"/>
      <c r="I11" s="11"/>
    </row>
    <row r="12" spans="1:11" x14ac:dyDescent="0.2">
      <c r="A12" s="10">
        <v>9</v>
      </c>
      <c r="B12" s="11">
        <v>-702534</v>
      </c>
      <c r="C12" s="11">
        <v>-702433</v>
      </c>
      <c r="D12" s="11">
        <v>-24999</v>
      </c>
      <c r="E12" s="11">
        <v>-25000</v>
      </c>
      <c r="F12" s="25">
        <f t="shared" si="0"/>
        <v>100</v>
      </c>
      <c r="H12" s="10"/>
      <c r="I12" s="11"/>
    </row>
    <row r="13" spans="1:11" x14ac:dyDescent="0.2">
      <c r="A13" s="10">
        <v>10</v>
      </c>
      <c r="B13" s="11">
        <v>-673048</v>
      </c>
      <c r="C13" s="11">
        <v>-701948</v>
      </c>
      <c r="D13" s="129">
        <v>-43196</v>
      </c>
      <c r="E13" s="11">
        <v>-25000</v>
      </c>
      <c r="F13" s="25">
        <f t="shared" si="0"/>
        <v>-10704</v>
      </c>
      <c r="H13" s="10"/>
      <c r="I13" s="11"/>
    </row>
    <row r="14" spans="1:11" x14ac:dyDescent="0.2">
      <c r="A14" s="10">
        <v>11</v>
      </c>
      <c r="B14" s="11">
        <v>-717759</v>
      </c>
      <c r="C14" s="11">
        <v>-710462</v>
      </c>
      <c r="D14" s="11">
        <v>-25501</v>
      </c>
      <c r="E14" s="11">
        <v>-25000</v>
      </c>
      <c r="F14" s="25">
        <f t="shared" si="0"/>
        <v>7798</v>
      </c>
      <c r="H14" s="10"/>
      <c r="I14" s="11"/>
    </row>
    <row r="15" spans="1:11" x14ac:dyDescent="0.2">
      <c r="A15" s="10">
        <v>12</v>
      </c>
      <c r="B15" s="11">
        <v>-695728</v>
      </c>
      <c r="C15" s="11">
        <v>-695888</v>
      </c>
      <c r="D15" s="11">
        <v>-62</v>
      </c>
      <c r="E15" s="11"/>
      <c r="F15" s="25">
        <f t="shared" si="0"/>
        <v>-98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08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-8223922</v>
      </c>
      <c r="C35" s="11">
        <f>SUM(C4:C34)</f>
        <v>-8229467</v>
      </c>
      <c r="D35" s="11">
        <f>SUM(D4:D34)</f>
        <v>-293070</v>
      </c>
      <c r="E35" s="11">
        <f>SUM(E4:E34)</f>
        <v>-275000</v>
      </c>
      <c r="F35" s="11">
        <f>SUM(F4:F34)</f>
        <v>12525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37134</v>
      </c>
      <c r="F38" s="474">
        <v>151133</v>
      </c>
    </row>
    <row r="39" spans="1:45" x14ac:dyDescent="0.2">
      <c r="A39" s="2"/>
      <c r="F39" s="24"/>
    </row>
    <row r="40" spans="1:45" x14ac:dyDescent="0.2">
      <c r="A40" s="57">
        <v>37146</v>
      </c>
      <c r="F40" s="51">
        <f>+F38+F35</f>
        <v>163658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37134</v>
      </c>
      <c r="B45" s="32"/>
      <c r="C45" s="32"/>
      <c r="D45" s="437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37146</v>
      </c>
      <c r="B46" s="32"/>
      <c r="C46" s="32"/>
      <c r="D46" s="406">
        <f>+F35*'by type_area'!J4</f>
        <v>25425.749999999996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490545.75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5" workbookViewId="3">
      <selection activeCell="C35" sqref="C3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49"/>
      <c r="L4" s="449"/>
      <c r="M4" s="449"/>
      <c r="N4" s="449"/>
      <c r="O4" s="295"/>
      <c r="P4" s="295"/>
    </row>
    <row r="5" spans="1:17" ht="12.75" x14ac:dyDescent="0.2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50" t="s">
        <v>197</v>
      </c>
      <c r="P5" s="189"/>
      <c r="Q5" s="2"/>
    </row>
    <row r="6" spans="1:17" ht="12.75" x14ac:dyDescent="0.2">
      <c r="A6" s="41">
        <v>3</v>
      </c>
      <c r="B6" s="11">
        <v>-97824</v>
      </c>
      <c r="C6" s="11">
        <v>-72220</v>
      </c>
      <c r="D6" s="11"/>
      <c r="E6" s="11">
        <v>-24950</v>
      </c>
      <c r="F6" s="11"/>
      <c r="G6" s="11"/>
      <c r="H6" s="11">
        <f t="shared" si="0"/>
        <v>654</v>
      </c>
      <c r="I6" s="11"/>
      <c r="J6" s="102"/>
      <c r="K6" s="118" t="s">
        <v>40</v>
      </c>
      <c r="L6" s="451" t="s">
        <v>20</v>
      </c>
      <c r="M6" s="451" t="s">
        <v>21</v>
      </c>
      <c r="N6" s="452" t="s">
        <v>51</v>
      </c>
      <c r="O6" s="45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-102043</v>
      </c>
      <c r="C7" s="11">
        <v>-77338</v>
      </c>
      <c r="D7" s="129"/>
      <c r="E7" s="11">
        <v>-24624</v>
      </c>
      <c r="F7" s="11"/>
      <c r="G7" s="11"/>
      <c r="H7" s="11">
        <f t="shared" si="0"/>
        <v>81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-85354</v>
      </c>
      <c r="C8" s="11">
        <v>-69960</v>
      </c>
      <c r="D8" s="11"/>
      <c r="E8" s="11">
        <v>-14933</v>
      </c>
      <c r="F8" s="11"/>
      <c r="G8" s="11"/>
      <c r="H8" s="11">
        <f t="shared" si="0"/>
        <v>461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-48847</v>
      </c>
      <c r="C9" s="11">
        <v>-43328</v>
      </c>
      <c r="D9" s="11"/>
      <c r="E9" s="11">
        <v>-4968</v>
      </c>
      <c r="F9" s="11"/>
      <c r="G9" s="11"/>
      <c r="H9" s="11">
        <f t="shared" si="0"/>
        <v>551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50">
        <v>8.2100000000000009</v>
      </c>
      <c r="P9" s="45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-92703</v>
      </c>
      <c r="C10" s="11">
        <v>-80852</v>
      </c>
      <c r="D10" s="11"/>
      <c r="E10" s="11">
        <v>-11848</v>
      </c>
      <c r="F10" s="11"/>
      <c r="G10" s="11"/>
      <c r="H10" s="11">
        <f t="shared" si="0"/>
        <v>3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50">
        <v>5.62</v>
      </c>
      <c r="P10" s="45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-118238</v>
      </c>
      <c r="C11" s="11">
        <v>-73499</v>
      </c>
      <c r="D11" s="129"/>
      <c r="E11" s="11">
        <v>-44100</v>
      </c>
      <c r="F11" s="11"/>
      <c r="G11" s="11"/>
      <c r="H11" s="11">
        <f t="shared" si="0"/>
        <v>639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50">
        <v>4.9800000000000004</v>
      </c>
      <c r="P11" s="45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-108131</v>
      </c>
      <c r="C12" s="11">
        <v>-67831</v>
      </c>
      <c r="D12" s="11"/>
      <c r="E12" s="11">
        <v>-44100</v>
      </c>
      <c r="F12" s="11"/>
      <c r="G12" s="11"/>
      <c r="H12" s="11">
        <f t="shared" si="0"/>
        <v>-3800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50">
        <v>4.87</v>
      </c>
      <c r="P12" s="45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-117446</v>
      </c>
      <c r="C13" s="11">
        <v>-72624</v>
      </c>
      <c r="D13" s="11"/>
      <c r="E13" s="129">
        <v>-44100</v>
      </c>
      <c r="F13" s="11"/>
      <c r="G13" s="11"/>
      <c r="H13" s="11">
        <f t="shared" si="0"/>
        <v>722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50">
        <v>3.82</v>
      </c>
      <c r="P13" s="45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-71297</v>
      </c>
      <c r="C14" s="11">
        <v>-71801</v>
      </c>
      <c r="D14" s="11"/>
      <c r="E14" s="11"/>
      <c r="F14" s="11"/>
      <c r="G14" s="11"/>
      <c r="H14" s="11">
        <f t="shared" si="0"/>
        <v>-504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50">
        <v>3.2</v>
      </c>
      <c r="P14" s="45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50">
        <v>2.77</v>
      </c>
      <c r="P15" s="45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53"/>
      <c r="P16" s="454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-1028044</v>
      </c>
      <c r="C35" s="44">
        <f t="shared" si="3"/>
        <v>-773893</v>
      </c>
      <c r="D35" s="11">
        <f t="shared" si="3"/>
        <v>0</v>
      </c>
      <c r="E35" s="44">
        <f t="shared" si="3"/>
        <v>-255523</v>
      </c>
      <c r="F35" s="11">
        <f t="shared" si="3"/>
        <v>0</v>
      </c>
      <c r="G35" s="11">
        <f t="shared" si="3"/>
        <v>0</v>
      </c>
      <c r="H35" s="11">
        <f t="shared" si="3"/>
        <v>-1372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2.0299999999999998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-2785.16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484">
        <v>457935.18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37145</v>
      </c>
      <c r="F39" s="47"/>
      <c r="G39" s="47"/>
      <c r="H39" s="137">
        <f>+H38+H37</f>
        <v>455150.02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110189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37145</v>
      </c>
      <c r="E47" s="377">
        <f>+H35</f>
        <v>-1372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108817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6" workbookViewId="3">
      <selection activeCell="F12" sqref="F1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-292953</v>
      </c>
      <c r="E9" s="11">
        <v>-307670</v>
      </c>
      <c r="F9" s="11"/>
      <c r="G9" s="11"/>
      <c r="H9" s="24">
        <f t="shared" si="0"/>
        <v>-14717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-302287</v>
      </c>
      <c r="E10" s="11">
        <v>-324302</v>
      </c>
      <c r="F10" s="11"/>
      <c r="G10" s="11"/>
      <c r="H10" s="24">
        <f t="shared" si="0"/>
        <v>-22015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25</v>
      </c>
      <c r="C11" s="11"/>
      <c r="D11" s="11">
        <v>-316556</v>
      </c>
      <c r="E11" s="11">
        <v>-315034</v>
      </c>
      <c r="F11" s="11">
        <v>25</v>
      </c>
      <c r="G11" s="11"/>
      <c r="H11" s="24">
        <f t="shared" si="0"/>
        <v>1497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-299575</v>
      </c>
      <c r="E12" s="11">
        <v>-292964</v>
      </c>
      <c r="F12" s="11"/>
      <c r="G12" s="11"/>
      <c r="H12" s="24">
        <f t="shared" si="0"/>
        <v>6611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-299393</v>
      </c>
      <c r="E13" s="11">
        <v>-300098</v>
      </c>
      <c r="F13" s="11"/>
      <c r="G13" s="11"/>
      <c r="H13" s="24">
        <f t="shared" si="0"/>
        <v>-705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-304849</v>
      </c>
      <c r="E14" s="11">
        <v>-290831</v>
      </c>
      <c r="F14" s="11"/>
      <c r="G14" s="11"/>
      <c r="H14" s="24">
        <f t="shared" si="0"/>
        <v>14018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-311901</v>
      </c>
      <c r="E15" s="11">
        <v>-310222</v>
      </c>
      <c r="F15" s="11"/>
      <c r="G15" s="11"/>
      <c r="H15" s="24">
        <f t="shared" si="0"/>
        <v>1679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25</v>
      </c>
      <c r="C36" s="11">
        <f t="shared" si="15"/>
        <v>0</v>
      </c>
      <c r="D36" s="11">
        <f t="shared" si="15"/>
        <v>-3195398</v>
      </c>
      <c r="E36" s="11">
        <f t="shared" si="15"/>
        <v>-3211570</v>
      </c>
      <c r="F36" s="11">
        <f t="shared" si="15"/>
        <v>25</v>
      </c>
      <c r="G36" s="11">
        <f t="shared" si="15"/>
        <v>0</v>
      </c>
      <c r="H36" s="11">
        <f t="shared" si="15"/>
        <v>-16197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-25</v>
      </c>
      <c r="E37" s="25">
        <f>+E36-D36</f>
        <v>-16172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37134</v>
      </c>
      <c r="B38" s="2" t="s">
        <v>46</v>
      </c>
      <c r="C38" s="471">
        <v>64269</v>
      </c>
      <c r="D38" s="338"/>
      <c r="E38" s="470">
        <v>-65974</v>
      </c>
      <c r="F38" s="24"/>
      <c r="G38" s="24"/>
      <c r="H38" s="240">
        <f>+C38+E38+G38</f>
        <v>-1705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37145</v>
      </c>
      <c r="B39" s="2" t="s">
        <v>46</v>
      </c>
      <c r="C39" s="131">
        <f>+C38+C37</f>
        <v>64244</v>
      </c>
      <c r="D39" s="259"/>
      <c r="E39" s="131">
        <f>+E38+E37</f>
        <v>-82146</v>
      </c>
      <c r="F39" s="259"/>
      <c r="G39" s="131"/>
      <c r="H39" s="131">
        <f>+H38+H36</f>
        <v>-17902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37134</v>
      </c>
      <c r="B44" s="32"/>
      <c r="C44" s="472">
        <v>-1582961.01</v>
      </c>
      <c r="D44" s="207"/>
      <c r="E44" s="473">
        <v>942518.92</v>
      </c>
      <c r="F44" s="47">
        <f>+E44+C44</f>
        <v>-640442.09</v>
      </c>
      <c r="G44" s="252"/>
      <c r="H44" s="410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37145</v>
      </c>
      <c r="B45" s="32"/>
      <c r="C45" s="47">
        <f>+C37*summary!H4</f>
        <v>-50.749999999999993</v>
      </c>
      <c r="D45" s="207"/>
      <c r="E45" s="408">
        <f>+E37*summary!H3</f>
        <v>-31373.68</v>
      </c>
      <c r="F45" s="47">
        <f>+E45+C45</f>
        <v>-31424.43</v>
      </c>
      <c r="G45" s="252"/>
      <c r="H45" s="410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-1583011.76</v>
      </c>
      <c r="D46" s="207"/>
      <c r="E46" s="408">
        <f>+E45+E44</f>
        <v>911145.24</v>
      </c>
      <c r="F46" s="47">
        <f>+E46+C46</f>
        <v>-671866.52</v>
      </c>
      <c r="G46" s="252"/>
      <c r="H46" s="410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8"/>
      <c r="D47" s="408"/>
      <c r="E47" s="408"/>
      <c r="F47" s="47"/>
      <c r="G47" s="252"/>
      <c r="H47" s="410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5" workbookViewId="3">
      <selection activeCell="C41" sqref="C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139552</v>
      </c>
      <c r="C9" s="11">
        <v>143874</v>
      </c>
      <c r="D9" s="25">
        <f t="shared" si="0"/>
        <v>4322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107543</v>
      </c>
      <c r="C10" s="11">
        <v>105917</v>
      </c>
      <c r="D10" s="25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84585</v>
      </c>
      <c r="C11" s="11">
        <v>78803</v>
      </c>
      <c r="D11" s="25">
        <f t="shared" si="0"/>
        <v>-5782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91306</v>
      </c>
      <c r="C12" s="11">
        <v>89095</v>
      </c>
      <c r="D12" s="25">
        <f t="shared" si="0"/>
        <v>-2211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137167</v>
      </c>
      <c r="C13" s="11">
        <v>135312</v>
      </c>
      <c r="D13" s="25">
        <f t="shared" si="0"/>
        <v>-1855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137690</v>
      </c>
      <c r="C14" s="11">
        <v>134643</v>
      </c>
      <c r="D14" s="25">
        <f t="shared" si="0"/>
        <v>-3047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128225</v>
      </c>
      <c r="C15" s="11">
        <v>130397</v>
      </c>
      <c r="D15" s="25">
        <f t="shared" si="0"/>
        <v>2172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136545</v>
      </c>
      <c r="C16" s="11">
        <v>132866</v>
      </c>
      <c r="D16" s="25">
        <f t="shared" si="0"/>
        <v>-3679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127883</v>
      </c>
      <c r="C17" s="11">
        <v>126132</v>
      </c>
      <c r="D17" s="25">
        <f t="shared" si="0"/>
        <v>-1751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1506380</v>
      </c>
      <c r="C37" s="11">
        <f>SUM(C6:C36)</f>
        <v>1485363</v>
      </c>
      <c r="D37" s="11">
        <f>SUM(D6:D36)</f>
        <v>-21017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479">
        <v>87070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37146</v>
      </c>
      <c r="C40" s="48"/>
      <c r="D40" s="25">
        <f>+D39+D37</f>
        <v>66053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480">
        <v>495759.6</v>
      </c>
    </row>
    <row r="46" spans="1:16" x14ac:dyDescent="0.2">
      <c r="A46" s="49">
        <f>+A40</f>
        <v>37146</v>
      </c>
      <c r="B46" s="32"/>
      <c r="C46" s="32"/>
      <c r="D46" s="406">
        <f>+D37*'by type_area'!J3</f>
        <v>-40772.979999999996</v>
      </c>
    </row>
    <row r="47" spans="1:16" x14ac:dyDescent="0.2">
      <c r="A47" s="32"/>
      <c r="B47" s="32"/>
      <c r="C47" s="32"/>
      <c r="D47" s="202">
        <f>+D46+D45</f>
        <v>454986.62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2001-09-13T19:52:08Z</cp:lastPrinted>
  <dcterms:created xsi:type="dcterms:W3CDTF">2000-03-28T16:52:23Z</dcterms:created>
  <dcterms:modified xsi:type="dcterms:W3CDTF">2023-09-14T18:08:37Z</dcterms:modified>
</cp:coreProperties>
</file>