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42A090-3FE0-47BA-8841-E7079D4C8A20}" xr6:coauthVersionLast="47" xr6:coauthVersionMax="47" xr10:uidLastSave="{00000000-0000-0000-0000-000000000000}"/>
  <bookViews>
    <workbookView xWindow="-120" yWindow="-120" windowWidth="38640" windowHeight="15720" tabRatio="686" firstSheet="8" activeTab="15"/>
    <workbookView xWindow="-120" yWindow="-120" windowWidth="38640" windowHeight="15720" tabRatio="895" activeTab="2"/>
    <workbookView xWindow="-120" yWindow="-120" windowWidth="38640" windowHeight="15720" firstSheet="1" activeTab="1"/>
    <workbookView xWindow="-120" yWindow="-120" windowWidth="38640" windowHeight="15720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Abo'!$A$5:$F$44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H4" i="80"/>
  <c r="H5" i="80"/>
  <c r="B8" i="80"/>
  <c r="C8" i="80"/>
  <c r="D8" i="80"/>
  <c r="B9" i="80"/>
  <c r="C9" i="80"/>
  <c r="D9" i="80"/>
  <c r="B10" i="80"/>
  <c r="C10" i="80"/>
  <c r="D10" i="80"/>
  <c r="B11" i="80"/>
  <c r="C11" i="80"/>
  <c r="D11" i="80"/>
  <c r="B12" i="80"/>
  <c r="C12" i="80"/>
  <c r="D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B32" i="80"/>
  <c r="C32" i="80"/>
  <c r="D32" i="80"/>
  <c r="B33" i="80"/>
  <c r="C33" i="80"/>
  <c r="D33" i="80"/>
  <c r="B34" i="80"/>
  <c r="C34" i="80"/>
  <c r="D34" i="80"/>
  <c r="B35" i="80"/>
  <c r="C35" i="80"/>
  <c r="D35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B45" i="80"/>
  <c r="C45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H35" i="73"/>
  <c r="C36" i="73"/>
  <c r="H36" i="73"/>
  <c r="C37" i="73"/>
  <c r="H37" i="73"/>
  <c r="C38" i="73"/>
  <c r="H38" i="73"/>
  <c r="H39" i="73"/>
  <c r="J39" i="73"/>
  <c r="C40" i="73"/>
  <c r="G40" i="73"/>
  <c r="H40" i="73"/>
  <c r="J40" i="73"/>
  <c r="H50" i="73"/>
  <c r="H52" i="73"/>
  <c r="H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H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<sst xmlns="http://schemas.openxmlformats.org/spreadsheetml/2006/main" count="589" uniqueCount="170">
  <si>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</si>
  <si>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</si>
  <si>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</si>
  <si>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</si>
  <si>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</si>
  <si>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</si>
  <si>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</si>
  <si>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</si>
  <si>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</si>
  <si>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</si>
  <si>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</si>
  <si>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</si>
  <si>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</si>
  <si>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</si>
  <si>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</si>
  <si>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</si>
  <si>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</si>
  <si>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</si>
  <si>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</si>
  <si>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</si>
  <si>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</si>
  <si>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</si>
  <si>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</si>
  <si>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</si>
  <si>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</si>
  <si>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</si>
  <si>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</si>
  <si>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</si>
  <si>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</si>
  <si>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</si>
  <si>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</si>
  <si>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</si>
  <si>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</si>
  <si>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</si>
  <si>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</si>
  <si>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</si>
  <si>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</si>
  <si>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</si>
  <si>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</si>
  <si>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</si>
  <si>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</si>
  <si>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</si>
  <si>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</si>
  <si>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</si>
  <si>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</si>
  <si>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</si>
  <si>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</si>
  <si>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</si>
  <si>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</si>
  <si>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</si>
  <si>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</si>
  <si>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</si>
  <si>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</si>
  <si>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</si>
  <si>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</si>
  <si>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</si>
  <si>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</si>
  <si>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</si>
  <si>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</si>
  <si>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</si>
  <si>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</si>
  <si>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</si>
  <si>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</si>
  <si>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</si>
  <si>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</si>
  <si>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</si>
  <si>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</si>
  <si>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</si>
  <si>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</si>
  <si>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</si>
  <si>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</si>
  <si>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</si>
  <si>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</si>
  <si>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</si>
  <si>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</si>
  <si>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</si>
  <si>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</si>
  <si>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</si>
  <si>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</si>
  <si>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</si>
  <si>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</si>
  <si>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</si>
  <si>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</si>
  <si>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</si>
  <si>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</si>
  <si>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</si>
  <si>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</si>
  <si>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</si>
  <si>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</si>
  <si>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</si>
  <si>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</si>
  <si>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</si>
  <si>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</si>
  <si>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</si>
  <si>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</si>
  <si>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</si>
  <si>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</si>
  <si>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</si>
  <si>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</si>
  <si>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</si>
  <si>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</si>
  <si>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</si>
  <si>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</si>
  <si>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</si>
  <si>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</si>
  <si>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</si>
  <si>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</si>
  <si>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</si>
  <si>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</si>
  <si>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</si>
  <si>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</si>
  <si>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</si>
  <si>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</si>
  <si>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</si>
  <si>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</si>
  <si>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</si>
  <si>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</si>
  <si>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</si>
  <si>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</si>
  <si>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</si>
  <si>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</si>
  <si>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</si>
  <si>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</si>
  <si>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</si>
  <si>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</si>
  <si>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</si>
  <si>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</si>
  <si>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</si>
  <si>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</si>
  <si>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</si>
  <si>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</si>
  <si>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</si>
  <si>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</si>
  <si>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PG&amp;E TX/EPFS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</si>
  <si>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</si>
  <si>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</si>
  <si>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</si>
  <si>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</si>
  <si>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</si>
  <si>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</si>
  <si>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</si>
  <si>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</si>
  <si>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</si>
  <si>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</si>
  <si>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</si>
  <si>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</si>
  <si>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</si>
  <si>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</si>
  <si>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</si>
  <si>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</si>
  <si>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</si>
  <si>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</si>
  <si>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</si>
  <si>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Net $ valued/volumetric</t>
  </si>
  <si>
    <t>Milagro, Ignacio, Valverde, Kutz</t>
  </si>
  <si>
    <t>Zia and Maljamar</t>
  </si>
  <si>
    <t>Ignacio, Valverde, Kutz, and Milagro</t>
  </si>
  <si>
    <t>6,000/day planned makeup during 7/01</t>
  </si>
  <si>
    <t>5,000/DAY scheduled for makeup</t>
  </si>
  <si>
    <t>working on 10,000/d to sell</t>
  </si>
  <si>
    <t>possible cashout</t>
  </si>
  <si>
    <t>6,000/d being received in payback</t>
  </si>
  <si>
    <t>after 19th we will pay back</t>
  </si>
  <si>
    <t>balance is cashed out monthly</t>
  </si>
  <si>
    <t>2/3000 per day to be paid back beginning 7/14/01</t>
  </si>
  <si>
    <t>6/30/01 balance of $887,643.73 invoiced</t>
  </si>
  <si>
    <t>3,000/d scheduled makeup from 7/12 - 7/18</t>
  </si>
  <si>
    <t>Laura Giambro</t>
  </si>
  <si>
    <t>Positive=due Transwestern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</si>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</sst>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2.96</v>
          </cell>
          <cell r="K39">
            <v>2.42</v>
          </cell>
          <cell r="M39">
            <v>2.77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workbookViewId="3">
      <selection activeCell="G9" sqref="G9"/>
    </sheetView>
  </sheetViews>
  <sheetFormatPr defaultRowHeight="12.75" x14ac:dyDescent="0.2"/>
  <cols>
    <col min="1" max="1" width="15.7109375" style="296" customWidth="1"/>
    <col min="2" max="2" width="9.28515625" style="253" bestFit="1" customWidth="1"/>
    <col min="3" max="3" width="8.85546875" style="297" customWidth="1"/>
    <col min="4" max="4" width="5.140625" bestFit="1" customWidth="1"/>
    <col min="5" max="5" width="11.140625" bestFit="1" customWidth="1"/>
    <col min="6" max="6" width="15.140625" customWidth="1"/>
    <col min="10" max="10" width="12.7109375" customWidth="1"/>
  </cols>
  <sheetData>
    <row r="1" spans="1:20" ht="15" x14ac:dyDescent="0.25">
      <c r="A1" s="369"/>
    </row>
    <row r="2" spans="1:20" ht="20.100000000000001" customHeight="1" x14ac:dyDescent="0.25">
      <c r="A2" s="369" t="s">
        <v>147</v>
      </c>
      <c r="D2" s="7"/>
      <c r="G2" s="415" t="s">
        <v>81</v>
      </c>
      <c r="H2" s="391"/>
    </row>
    <row r="3" spans="1:20" ht="15" customHeight="1" x14ac:dyDescent="0.2">
      <c r="D3" s="7"/>
      <c r="G3" s="301" t="s">
        <v>30</v>
      </c>
      <c r="H3" s="390">
        <f>+'[1]0701'!$K$39</f>
        <v>2.42</v>
      </c>
    </row>
    <row r="4" spans="1:20" ht="15" customHeight="1" x14ac:dyDescent="0.2">
      <c r="A4" s="34" t="s">
        <v>168</v>
      </c>
      <c r="C4" s="34" t="s">
        <v>5</v>
      </c>
      <c r="D4" s="7"/>
      <c r="G4" s="302" t="s">
        <v>31</v>
      </c>
      <c r="H4" s="303">
        <f>+'[1]0701'!$M$39</f>
        <v>2.77</v>
      </c>
    </row>
    <row r="5" spans="1:20" ht="15" customHeight="1" x14ac:dyDescent="0.2">
      <c r="D5" s="7"/>
      <c r="G5" s="301" t="s">
        <v>120</v>
      </c>
      <c r="H5" s="390">
        <f>+'[1]0701'!$H$39</f>
        <v>2.96</v>
      </c>
    </row>
    <row r="6" spans="1:20" ht="18" customHeight="1" x14ac:dyDescent="0.2"/>
    <row r="7" spans="1:20" ht="12.95" customHeight="1" x14ac:dyDescent="0.2">
      <c r="A7" s="359" t="s">
        <v>92</v>
      </c>
      <c r="B7" s="360" t="s">
        <v>17</v>
      </c>
      <c r="C7" s="361" t="s">
        <v>0</v>
      </c>
      <c r="D7" s="370" t="s">
        <v>169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">
      <c r="A8" s="392" t="s">
        <v>90</v>
      </c>
      <c r="B8" s="393">
        <f>+NNG!$D$24</f>
        <v>838400.95</v>
      </c>
      <c r="C8" s="421">
        <f>+B8/$H$4</f>
        <v>302671.82310469315</v>
      </c>
      <c r="D8" s="416">
        <f>+NNG!A24</f>
        <v>37090</v>
      </c>
      <c r="E8" s="206" t="s">
        <v>88</v>
      </c>
      <c r="F8" s="206" t="s">
        <v>103</v>
      </c>
      <c r="G8" s="32" t="s">
        <v>159</v>
      </c>
      <c r="H8" s="70"/>
      <c r="I8" s="32"/>
    </row>
    <row r="9" spans="1:20" ht="15" customHeight="1" x14ac:dyDescent="0.2">
      <c r="A9" s="254" t="s">
        <v>24</v>
      </c>
      <c r="B9" s="395">
        <f>+'Red C'!$F$43</f>
        <v>644848.80000000005</v>
      </c>
      <c r="C9" s="421">
        <f>+B9/$H$3</f>
        <v>266466.44628099177</v>
      </c>
      <c r="D9" s="416">
        <f>+'Red C'!B43</f>
        <v>37090</v>
      </c>
      <c r="E9" s="32" t="s">
        <v>88</v>
      </c>
      <c r="F9" s="32" t="s">
        <v>118</v>
      </c>
      <c r="G9" s="32"/>
      <c r="H9" s="32"/>
      <c r="I9" s="32"/>
    </row>
    <row r="10" spans="1:20" ht="15" customHeight="1" x14ac:dyDescent="0.2">
      <c r="A10" s="254" t="s">
        <v>83</v>
      </c>
      <c r="B10" s="393">
        <f>+Conoco!$F$41</f>
        <v>547262.94999999995</v>
      </c>
      <c r="C10" s="421">
        <f t="shared" ref="C10:C21" si="0">+B10/$H$4</f>
        <v>197567.85198555954</v>
      </c>
      <c r="D10" s="416">
        <f>+Conoco!A41</f>
        <v>37090</v>
      </c>
      <c r="E10" s="32" t="s">
        <v>88</v>
      </c>
      <c r="F10" s="32" t="s">
        <v>116</v>
      </c>
      <c r="G10" s="32" t="s">
        <v>155</v>
      </c>
      <c r="H10" s="32"/>
      <c r="I10" s="32"/>
    </row>
    <row r="11" spans="1:20" ht="15" customHeight="1" x14ac:dyDescent="0.2">
      <c r="A11" s="254" t="s">
        <v>110</v>
      </c>
      <c r="B11" s="393">
        <f>+KN_Westar!F41</f>
        <v>524235.18999999994</v>
      </c>
      <c r="C11" s="421">
        <f t="shared" si="0"/>
        <v>189254.58122743681</v>
      </c>
      <c r="D11" s="417">
        <f>+KN_Westar!A41</f>
        <v>37090</v>
      </c>
      <c r="E11" s="32" t="s">
        <v>88</v>
      </c>
      <c r="F11" s="32" t="s">
        <v>103</v>
      </c>
      <c r="G11" s="32"/>
      <c r="H11" s="32"/>
      <c r="I11" s="32"/>
    </row>
    <row r="12" spans="1:20" ht="15" customHeight="1" x14ac:dyDescent="0.2">
      <c r="A12" s="254" t="s">
        <v>3</v>
      </c>
      <c r="B12" s="393">
        <f>+'Amoco Abo'!$F$43</f>
        <v>505133.08</v>
      </c>
      <c r="C12" s="421">
        <f t="shared" si="0"/>
        <v>182358.51263537907</v>
      </c>
      <c r="D12" s="417">
        <f>+'Amoco Abo'!A43</f>
        <v>37090</v>
      </c>
      <c r="E12" s="32" t="s">
        <v>88</v>
      </c>
      <c r="F12" s="32" t="s">
        <v>118</v>
      </c>
      <c r="G12" s="32" t="s">
        <v>160</v>
      </c>
      <c r="H12" s="32"/>
      <c r="I12" s="32"/>
      <c r="T12" s="268"/>
    </row>
    <row r="13" spans="1:20" ht="15" customHeight="1" x14ac:dyDescent="0.2">
      <c r="A13" s="254" t="s">
        <v>85</v>
      </c>
      <c r="B13" s="393">
        <f>+PNM!$D$23</f>
        <v>437920.28</v>
      </c>
      <c r="C13" s="421">
        <f t="shared" si="0"/>
        <v>158093.96389891699</v>
      </c>
      <c r="D13" s="417">
        <f>+PNM!A23</f>
        <v>37090</v>
      </c>
      <c r="E13" s="32" t="s">
        <v>88</v>
      </c>
      <c r="F13" s="32" t="s">
        <v>118</v>
      </c>
      <c r="G13" s="32" t="s">
        <v>161</v>
      </c>
      <c r="H13" s="32"/>
      <c r="I13" s="32"/>
      <c r="T13" s="268"/>
    </row>
    <row r="14" spans="1:20" ht="15" customHeight="1" x14ac:dyDescent="0.2">
      <c r="A14" s="254" t="s">
        <v>131</v>
      </c>
      <c r="B14" s="393">
        <f>+DEFS!H54</f>
        <v>388202.75</v>
      </c>
      <c r="C14" s="422">
        <f t="shared" si="0"/>
        <v>140145.39711191336</v>
      </c>
      <c r="D14" s="417">
        <f>+DEFS!A40</f>
        <v>37090</v>
      </c>
      <c r="E14" s="32" t="s">
        <v>88</v>
      </c>
      <c r="F14" s="32" t="s">
        <v>103</v>
      </c>
      <c r="G14" s="32" t="s">
        <v>121</v>
      </c>
      <c r="H14" s="32"/>
      <c r="I14" s="32"/>
    </row>
    <row r="15" spans="1:20" ht="15" customHeight="1" x14ac:dyDescent="0.2">
      <c r="A15" s="254" t="s">
        <v>2</v>
      </c>
      <c r="B15" s="393">
        <f>+mewborne!$J$43</f>
        <v>376903.56</v>
      </c>
      <c r="C15" s="421">
        <f t="shared" si="0"/>
        <v>136066.26714801445</v>
      </c>
      <c r="D15" s="417">
        <f>+mewborne!A43</f>
        <v>37090</v>
      </c>
      <c r="E15" s="32" t="s">
        <v>88</v>
      </c>
      <c r="F15" s="32" t="s">
        <v>102</v>
      </c>
      <c r="G15" s="32"/>
      <c r="H15" s="32"/>
      <c r="I15" s="32"/>
    </row>
    <row r="16" spans="1:20" ht="15" customHeight="1" x14ac:dyDescent="0.2">
      <c r="A16" s="254" t="s">
        <v>113</v>
      </c>
      <c r="B16" s="393">
        <f>+CIG!D43</f>
        <v>326755</v>
      </c>
      <c r="C16" s="421">
        <f t="shared" si="0"/>
        <v>117962.09386281588</v>
      </c>
      <c r="D16" s="417">
        <f>+CIG!A43</f>
        <v>37090</v>
      </c>
      <c r="E16" s="32" t="s">
        <v>88</v>
      </c>
      <c r="F16" s="32" t="s">
        <v>116</v>
      </c>
      <c r="G16" s="32"/>
      <c r="H16" s="32"/>
      <c r="I16" s="32"/>
    </row>
    <row r="17" spans="1:9" ht="15" customHeight="1" x14ac:dyDescent="0.2">
      <c r="A17" s="254" t="s">
        <v>133</v>
      </c>
      <c r="B17" s="393">
        <f>+PGETX!$H$39</f>
        <v>314543.35999999999</v>
      </c>
      <c r="C17" s="421">
        <f t="shared" si="0"/>
        <v>113553.55956678699</v>
      </c>
      <c r="D17" s="417">
        <f>+PGETX!E39</f>
        <v>37090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">
      <c r="A18" s="254" t="s">
        <v>106</v>
      </c>
      <c r="B18" s="393">
        <f>+EOG!J41</f>
        <v>245024.72999999998</v>
      </c>
      <c r="C18" s="421">
        <f t="shared" si="0"/>
        <v>88456.581227436822</v>
      </c>
      <c r="D18" s="416">
        <f>+EOG!A41</f>
        <v>37090</v>
      </c>
      <c r="E18" s="32" t="s">
        <v>88</v>
      </c>
      <c r="F18" s="32" t="s">
        <v>105</v>
      </c>
      <c r="G18" s="32"/>
      <c r="H18" s="32"/>
      <c r="I18" s="32"/>
    </row>
    <row r="19" spans="1:9" ht="15" customHeight="1" x14ac:dyDescent="0.2">
      <c r="A19" s="254" t="s">
        <v>137</v>
      </c>
      <c r="B19" s="393">
        <f>+SidR!D41</f>
        <v>63947.839999999997</v>
      </c>
      <c r="C19" s="421">
        <f t="shared" si="0"/>
        <v>23085.862815884477</v>
      </c>
      <c r="D19" s="417">
        <f>+SidR!A41</f>
        <v>37090</v>
      </c>
      <c r="E19" s="32" t="s">
        <v>88</v>
      </c>
      <c r="F19" s="32" t="s">
        <v>105</v>
      </c>
      <c r="G19" s="32" t="s">
        <v>165</v>
      </c>
      <c r="H19" s="32"/>
      <c r="I19" s="32"/>
    </row>
    <row r="20" spans="1:9" ht="15" customHeight="1" x14ac:dyDescent="0.2">
      <c r="A20" s="392" t="s">
        <v>82</v>
      </c>
      <c r="B20" s="393">
        <f>+Agave!$D$24</f>
        <v>62476.97</v>
      </c>
      <c r="C20" s="422">
        <f t="shared" si="0"/>
        <v>22554.862815884477</v>
      </c>
      <c r="D20" s="416">
        <f>+Agave!A24</f>
        <v>37090</v>
      </c>
      <c r="E20" s="206" t="s">
        <v>88</v>
      </c>
      <c r="F20" s="206" t="s">
        <v>105</v>
      </c>
      <c r="G20" s="32"/>
      <c r="H20" s="32"/>
      <c r="I20" s="32"/>
    </row>
    <row r="21" spans="1:9" ht="15" customHeight="1" x14ac:dyDescent="0.2">
      <c r="A21" s="254" t="s">
        <v>74</v>
      </c>
      <c r="B21" s="395">
        <f>+transcol!$D$43</f>
        <v>14952.129999999997</v>
      </c>
      <c r="C21" s="421">
        <f t="shared" si="0"/>
        <v>5397.8808664259914</v>
      </c>
      <c r="D21" s="417">
        <f>+transcol!A43</f>
        <v>37090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">
      <c r="A22" s="392" t="s">
        <v>132</v>
      </c>
      <c r="B22" s="393">
        <f>+Calpine!D41</f>
        <v>11220.039999999979</v>
      </c>
      <c r="C22" s="422">
        <f>+B22/$H$4</f>
        <v>4050.5559566786928</v>
      </c>
      <c r="D22" s="416">
        <f>+Calpine!A41</f>
        <v>37090</v>
      </c>
      <c r="E22" s="206" t="s">
        <v>88</v>
      </c>
      <c r="F22" s="206" t="s">
        <v>102</v>
      </c>
      <c r="G22" s="400"/>
      <c r="H22" s="32"/>
      <c r="I22" s="32"/>
    </row>
    <row r="23" spans="1:9" ht="15" customHeight="1" x14ac:dyDescent="0.2">
      <c r="A23" s="254" t="s">
        <v>112</v>
      </c>
      <c r="B23" s="393">
        <f>+Continental!F43</f>
        <v>-14809.08</v>
      </c>
      <c r="C23" s="422">
        <f>+B23/$H$4</f>
        <v>-5346.2382671480145</v>
      </c>
      <c r="D23" s="417">
        <f>+Continental!A43</f>
        <v>37090</v>
      </c>
      <c r="E23" s="32" t="s">
        <v>88</v>
      </c>
      <c r="F23" s="32" t="s">
        <v>118</v>
      </c>
      <c r="G23" s="32"/>
      <c r="H23" s="32"/>
      <c r="I23" s="32"/>
    </row>
    <row r="24" spans="1:9" ht="15" customHeight="1" x14ac:dyDescent="0.2">
      <c r="A24" s="392" t="s">
        <v>98</v>
      </c>
      <c r="B24" s="393">
        <f>+burlington!D42</f>
        <v>-17494.18</v>
      </c>
      <c r="C24" s="421">
        <f>+B24/$H$3</f>
        <v>-7229</v>
      </c>
      <c r="D24" s="416">
        <f>+burlington!A42</f>
        <v>37090</v>
      </c>
      <c r="E24" s="206" t="s">
        <v>88</v>
      </c>
      <c r="F24" s="32" t="s">
        <v>116</v>
      </c>
      <c r="G24" s="32" t="s">
        <v>163</v>
      </c>
      <c r="H24" s="32"/>
      <c r="I24" s="32"/>
    </row>
    <row r="25" spans="1:9" ht="15" customHeight="1" x14ac:dyDescent="0.2">
      <c r="A25" s="254" t="s">
        <v>135</v>
      </c>
      <c r="B25" s="393">
        <f>+EPFS!D41</f>
        <v>-168051.1</v>
      </c>
      <c r="C25" s="422">
        <f>+B25/$H$5</f>
        <v>-56774.020270270274</v>
      </c>
      <c r="D25" s="416">
        <f>+EPFS!A41</f>
        <v>37090</v>
      </c>
      <c r="E25" s="32" t="s">
        <v>88</v>
      </c>
      <c r="F25" s="32" t="s">
        <v>105</v>
      </c>
      <c r="G25" s="32"/>
      <c r="H25" s="32"/>
      <c r="I25" s="32"/>
    </row>
    <row r="26" spans="1:9" ht="15" customHeight="1" x14ac:dyDescent="0.2">
      <c r="A26" s="254" t="s">
        <v>146</v>
      </c>
      <c r="B26" s="393">
        <f>+'Citizens-Griffith'!D41</f>
        <v>-215174.39999999999</v>
      </c>
      <c r="C26" s="421">
        <f>+B26/$H$4</f>
        <v>-77680.288808664263</v>
      </c>
      <c r="D26" s="416">
        <f>+'Citizens-Griffith'!A41</f>
        <v>37090</v>
      </c>
      <c r="E26" s="32" t="s">
        <v>88</v>
      </c>
      <c r="F26" s="32" t="s">
        <v>102</v>
      </c>
      <c r="G26" s="32" t="s">
        <v>162</v>
      </c>
      <c r="H26" s="32"/>
      <c r="I26" s="32"/>
    </row>
    <row r="27" spans="1:9" ht="15" customHeight="1" x14ac:dyDescent="0.2">
      <c r="A27" s="254" t="s">
        <v>139</v>
      </c>
      <c r="B27" s="393">
        <f>+'NS Steel'!D41</f>
        <v>-389619.1</v>
      </c>
      <c r="C27" s="421">
        <f>+B27/$H$4</f>
        <v>-140656.71480144403</v>
      </c>
      <c r="D27" s="417">
        <f>+'NS Steel'!A41</f>
        <v>37090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">
      <c r="A28" s="392" t="s">
        <v>141</v>
      </c>
      <c r="B28" s="397">
        <f>+Citizens!D18</f>
        <v>-878957.71000000008</v>
      </c>
      <c r="C28" s="423">
        <f>+B28/$H$4</f>
        <v>-317313.25270758127</v>
      </c>
      <c r="D28" s="416">
        <f>+Citizens!A18</f>
        <v>37090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">
      <c r="A29" s="32" t="s">
        <v>151</v>
      </c>
      <c r="B29" s="47">
        <f>SUM(B8:B28)</f>
        <v>3617722.0600000005</v>
      </c>
      <c r="C29" s="424">
        <f>SUM(C8:C28)</f>
        <v>1342686.7256497107</v>
      </c>
      <c r="D29" s="205"/>
      <c r="E29" s="32"/>
      <c r="F29" s="32"/>
      <c r="G29" s="32"/>
      <c r="H29" s="32"/>
      <c r="I29" s="32"/>
    </row>
    <row r="30" spans="1:9" ht="15.95" customHeight="1" x14ac:dyDescent="0.2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5" customHeight="1" x14ac:dyDescent="0.2">
      <c r="A31" s="418" t="s">
        <v>92</v>
      </c>
      <c r="B31" s="419" t="s">
        <v>17</v>
      </c>
      <c r="C31" s="425" t="s">
        <v>0</v>
      </c>
      <c r="D31" s="370" t="s">
        <v>169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">
      <c r="A32" s="392" t="s">
        <v>29</v>
      </c>
      <c r="B32" s="393">
        <f>+C32*$H$3</f>
        <v>778572.08</v>
      </c>
      <c r="C32" s="421">
        <f>+williams!J40</f>
        <v>321724</v>
      </c>
      <c r="D32" s="416">
        <f>+williams!A40</f>
        <v>37090</v>
      </c>
      <c r="E32" s="206" t="s">
        <v>87</v>
      </c>
      <c r="F32" s="206" t="s">
        <v>167</v>
      </c>
      <c r="G32" s="32" t="s">
        <v>156</v>
      </c>
      <c r="H32" s="32"/>
      <c r="I32" s="32"/>
    </row>
    <row r="33" spans="1:9" ht="15" customHeight="1" x14ac:dyDescent="0.2">
      <c r="A33" s="254" t="s">
        <v>33</v>
      </c>
      <c r="B33" s="393">
        <f>+C33*$H$4</f>
        <v>473786.34</v>
      </c>
      <c r="C33" s="422">
        <f>+SoCal!F40</f>
        <v>171042</v>
      </c>
      <c r="D33" s="417">
        <f>+SoCal!A40</f>
        <v>37090</v>
      </c>
      <c r="E33" s="32" t="s">
        <v>87</v>
      </c>
      <c r="F33" s="32" t="s">
        <v>105</v>
      </c>
      <c r="G33" s="32"/>
      <c r="H33" s="32"/>
      <c r="I33" s="32"/>
    </row>
    <row r="34" spans="1:9" ht="15" customHeight="1" x14ac:dyDescent="0.2">
      <c r="A34" s="254" t="s">
        <v>91</v>
      </c>
      <c r="B34" s="393">
        <f>+C34*$H$4</f>
        <v>383885.99</v>
      </c>
      <c r="C34" s="421">
        <f>+NGPL!F38</f>
        <v>138587</v>
      </c>
      <c r="D34" s="417">
        <f>+NGPL!A38</f>
        <v>37090</v>
      </c>
      <c r="E34" s="32" t="s">
        <v>87</v>
      </c>
      <c r="F34" s="32" t="s">
        <v>118</v>
      </c>
      <c r="G34" s="32" t="s">
        <v>158</v>
      </c>
      <c r="H34" s="32"/>
      <c r="I34" s="32"/>
    </row>
    <row r="35" spans="1:9" ht="15" customHeight="1" x14ac:dyDescent="0.2">
      <c r="A35" s="254" t="s">
        <v>97</v>
      </c>
      <c r="B35" s="393">
        <f>+C35*$H$4</f>
        <v>361955.9</v>
      </c>
      <c r="C35" s="421">
        <f>+Mojave!D40</f>
        <v>130670</v>
      </c>
      <c r="D35" s="417">
        <f>+Mojave!A40</f>
        <v>37090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">
      <c r="A36" s="254" t="s">
        <v>150</v>
      </c>
      <c r="B36" s="395">
        <f>+C36*$H$4</f>
        <v>245784.87</v>
      </c>
      <c r="C36" s="421">
        <f>+PEPL!D41</f>
        <v>88731</v>
      </c>
      <c r="D36" s="417">
        <f>+PEPL!A41</f>
        <v>37090</v>
      </c>
      <c r="E36" s="32" t="s">
        <v>87</v>
      </c>
      <c r="F36" s="32" t="s">
        <v>103</v>
      </c>
      <c r="G36" s="32" t="s">
        <v>149</v>
      </c>
      <c r="H36" s="32"/>
      <c r="I36" s="32"/>
    </row>
    <row r="37" spans="1:9" ht="15" customHeight="1" x14ac:dyDescent="0.2">
      <c r="A37" s="254" t="s">
        <v>34</v>
      </c>
      <c r="B37" s="393">
        <f>+'El Paso'!E38*summary!H3+'El Paso'!C38*summary!H4</f>
        <v>224466.51</v>
      </c>
      <c r="C37" s="421">
        <f>+'El Paso'!H38</f>
        <v>85448</v>
      </c>
      <c r="D37" s="417">
        <f>+'El Paso'!A38</f>
        <v>37090</v>
      </c>
      <c r="E37" s="32" t="s">
        <v>87</v>
      </c>
      <c r="F37" s="32" t="s">
        <v>103</v>
      </c>
      <c r="G37" s="32" t="s">
        <v>122</v>
      </c>
      <c r="H37" s="32"/>
      <c r="I37" s="32"/>
    </row>
    <row r="38" spans="1:9" ht="15" customHeight="1" x14ac:dyDescent="0.2">
      <c r="A38" s="254" t="s">
        <v>32</v>
      </c>
      <c r="B38" s="393">
        <f>+C38*$H$4</f>
        <v>185002.76</v>
      </c>
      <c r="C38" s="421">
        <f>+Lonestar!F42</f>
        <v>66788</v>
      </c>
      <c r="D38" s="416">
        <f>+Lonestar!B42</f>
        <v>37090</v>
      </c>
      <c r="E38" s="32" t="s">
        <v>87</v>
      </c>
      <c r="F38" s="32" t="s">
        <v>105</v>
      </c>
      <c r="G38" s="32" t="s">
        <v>166</v>
      </c>
      <c r="H38" s="32"/>
      <c r="I38" s="32"/>
    </row>
    <row r="39" spans="1:9" ht="15" customHeight="1" x14ac:dyDescent="0.2">
      <c r="A39" s="254" t="s">
        <v>6</v>
      </c>
      <c r="B39" s="393">
        <f>+C39*$H$3</f>
        <v>151085.44</v>
      </c>
      <c r="C39" s="421">
        <f>+Amoco!D40</f>
        <v>62432</v>
      </c>
      <c r="D39" s="417">
        <f>+Amoco!A40</f>
        <v>37090</v>
      </c>
      <c r="E39" s="32" t="s">
        <v>87</v>
      </c>
      <c r="F39" s="32" t="s">
        <v>118</v>
      </c>
      <c r="G39" s="32"/>
      <c r="H39" s="32"/>
      <c r="I39" s="32"/>
    </row>
    <row r="40" spans="1:9" ht="15" customHeight="1" x14ac:dyDescent="0.2">
      <c r="A40" s="254" t="s">
        <v>7</v>
      </c>
      <c r="B40" s="393">
        <f>+C40*$H$4</f>
        <v>84252.32</v>
      </c>
      <c r="C40" s="422">
        <f>+Oasis!D40</f>
        <v>30416</v>
      </c>
      <c r="D40" s="417">
        <f>+Oasis!B40</f>
        <v>37090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">
      <c r="A41" s="254" t="s">
        <v>117</v>
      </c>
      <c r="B41" s="393">
        <f>+C41*$H$4</f>
        <v>2686.9</v>
      </c>
      <c r="C41" s="422">
        <f>+'PG&amp;E'!D40</f>
        <v>970</v>
      </c>
      <c r="D41" s="417">
        <f>+'PG&amp;E'!A40</f>
        <v>37090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">
      <c r="A42" s="254" t="s">
        <v>1</v>
      </c>
      <c r="B42" s="397">
        <f>+C42*$H$3</f>
        <v>2553.1</v>
      </c>
      <c r="C42" s="423">
        <f>+NW!$F$41</f>
        <v>1055</v>
      </c>
      <c r="D42" s="416">
        <f>+NW!B41</f>
        <v>37090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">
      <c r="A43" s="32" t="s">
        <v>152</v>
      </c>
      <c r="B43" s="393">
        <f>SUM(B32:B42)</f>
        <v>2894032.21</v>
      </c>
      <c r="C43" s="422">
        <f>SUM(C32:C42)</f>
        <v>1097863</v>
      </c>
      <c r="D43" s="416"/>
      <c r="E43" s="32"/>
      <c r="F43" s="32"/>
      <c r="G43" s="32"/>
      <c r="H43" s="32"/>
      <c r="I43" s="32"/>
    </row>
    <row r="44" spans="1:9" ht="18" customHeight="1" x14ac:dyDescent="0.2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25">
      <c r="A45" s="2" t="s">
        <v>153</v>
      </c>
      <c r="B45" s="402">
        <f>+B43+B29</f>
        <v>6511754.2700000005</v>
      </c>
      <c r="C45" s="427">
        <f>+C43+C29</f>
        <v>2440549.7256497107</v>
      </c>
      <c r="D45" s="205"/>
      <c r="E45" s="32"/>
      <c r="F45" s="32"/>
      <c r="G45" s="32"/>
      <c r="H45" s="32"/>
      <c r="I45" s="32"/>
    </row>
    <row r="46" spans="1:9" ht="13.5" thickTop="1" x14ac:dyDescent="0.2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8" workbookViewId="3">
      <selection activeCell="D47" sqref="D4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/>
      <c r="C26" s="11"/>
      <c r="D26" s="11"/>
      <c r="E26" s="11"/>
      <c r="F26" s="11">
        <f t="shared" si="5"/>
        <v>0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/>
      <c r="C27" s="11"/>
      <c r="D27" s="11"/>
      <c r="E27" s="11"/>
      <c r="F27" s="11">
        <f t="shared" si="5"/>
        <v>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2908455</v>
      </c>
      <c r="C39" s="150">
        <f>SUM(C8:C38)</f>
        <v>2898876</v>
      </c>
      <c r="D39" s="150">
        <f>SUM(D8:D38)</f>
        <v>238257</v>
      </c>
      <c r="E39" s="150">
        <f>SUM(E8:E38)</f>
        <v>235772</v>
      </c>
      <c r="F39" s="11">
        <f t="shared" si="5"/>
        <v>-12064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>
        <f>+summary!H3</f>
        <v>2.42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2">
        <f>+F40*F39</f>
        <v>-29194.879999999997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37090</v>
      </c>
      <c r="C43" s="142"/>
      <c r="D43" s="142"/>
      <c r="E43" s="142"/>
      <c r="F43" s="252">
        <f>+F42+F41</f>
        <v>644848.80000000005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5" thickTop="1" x14ac:dyDescent="0.2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2" workbookViewId="3">
      <selection activeCell="B41" sqref="B41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">
      <c r="A36" s="12"/>
      <c r="B36" s="24">
        <f>SUM(B5:B35)</f>
        <v>-1948459</v>
      </c>
      <c r="C36" s="24">
        <f>SUM(C5:C35)</f>
        <v>-1946321</v>
      </c>
      <c r="D36" s="24">
        <f t="shared" si="0"/>
        <v>2138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5" thickBot="1" x14ac:dyDescent="0.25">
      <c r="B40" s="256">
        <v>37090</v>
      </c>
      <c r="C40" s="24"/>
      <c r="D40" s="195">
        <f>+D36+D38</f>
        <v>30416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5" thickTop="1" x14ac:dyDescent="0.2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">
      <c r="B45"/>
      <c r="C45"/>
      <c r="D45"/>
    </row>
    <row r="46" spans="1:65" x14ac:dyDescent="0.2">
      <c r="B46"/>
      <c r="C46"/>
      <c r="E46" s="31"/>
    </row>
    <row r="47" spans="1:65" x14ac:dyDescent="0.2">
      <c r="B47"/>
      <c r="C47"/>
      <c r="D47"/>
    </row>
    <row r="48" spans="1:65" x14ac:dyDescent="0.2">
      <c r="B48"/>
      <c r="C48"/>
      <c r="D48" s="31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A25" sqref="A25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56339</v>
      </c>
      <c r="B5" s="90">
        <v>598893</v>
      </c>
      <c r="C5" s="90">
        <v>621209</v>
      </c>
      <c r="D5" s="90">
        <f>+C5-B5</f>
        <v>22316</v>
      </c>
      <c r="E5" s="286"/>
      <c r="F5" s="284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542725</v>
      </c>
      <c r="C7" s="90">
        <v>429444</v>
      </c>
      <c r="D7" s="90">
        <f t="shared" si="0"/>
        <v>-113281</v>
      </c>
      <c r="E7" s="286"/>
      <c r="F7" s="284"/>
      <c r="L7" t="s">
        <v>26</v>
      </c>
      <c r="M7">
        <v>7.6</v>
      </c>
    </row>
    <row r="8" spans="1:13" x14ac:dyDescent="0.2">
      <c r="A8" s="87">
        <v>500239</v>
      </c>
      <c r="B8" s="321">
        <v>653889</v>
      </c>
      <c r="C8" s="90">
        <v>731875</v>
      </c>
      <c r="D8" s="90">
        <f t="shared" si="0"/>
        <v>77986</v>
      </c>
      <c r="E8" s="286"/>
      <c r="F8" s="284"/>
    </row>
    <row r="9" spans="1:13" x14ac:dyDescent="0.2">
      <c r="A9" s="87">
        <v>500293</v>
      </c>
      <c r="B9" s="90">
        <v>272209</v>
      </c>
      <c r="C9" s="90">
        <v>367670</v>
      </c>
      <c r="D9" s="90">
        <f t="shared" si="0"/>
        <v>95461</v>
      </c>
      <c r="E9" s="286"/>
      <c r="F9" s="284"/>
    </row>
    <row r="10" spans="1:13" x14ac:dyDescent="0.2">
      <c r="A10" s="87">
        <v>500302</v>
      </c>
      <c r="B10" s="321"/>
      <c r="C10" s="321">
        <v>6816</v>
      </c>
      <c r="D10" s="90">
        <f t="shared" si="0"/>
        <v>6816</v>
      </c>
      <c r="E10" s="286"/>
      <c r="F10" s="284"/>
    </row>
    <row r="11" spans="1:13" x14ac:dyDescent="0.2">
      <c r="A11" s="87">
        <v>500303</v>
      </c>
      <c r="B11" s="321">
        <v>120961</v>
      </c>
      <c r="C11" s="90">
        <v>196874</v>
      </c>
      <c r="D11" s="90">
        <f t="shared" si="0"/>
        <v>75913</v>
      </c>
      <c r="E11" s="286"/>
      <c r="F11" s="284"/>
    </row>
    <row r="12" spans="1:13" x14ac:dyDescent="0.2">
      <c r="A12" s="91">
        <v>500305</v>
      </c>
      <c r="B12" s="321">
        <v>569590</v>
      </c>
      <c r="C12" s="90">
        <v>812133</v>
      </c>
      <c r="D12" s="90">
        <f t="shared" si="0"/>
        <v>242543</v>
      </c>
      <c r="E12" s="287"/>
      <c r="F12" s="284"/>
    </row>
    <row r="13" spans="1:13" x14ac:dyDescent="0.2">
      <c r="A13" s="87">
        <v>500307</v>
      </c>
      <c r="B13" s="321">
        <v>79956</v>
      </c>
      <c r="C13" s="90">
        <v>96425</v>
      </c>
      <c r="D13" s="90">
        <f t="shared" si="0"/>
        <v>16469</v>
      </c>
      <c r="E13" s="286"/>
      <c r="F13" s="284"/>
    </row>
    <row r="14" spans="1:13" x14ac:dyDescent="0.2">
      <c r="A14" s="87">
        <v>500313</v>
      </c>
      <c r="B14" s="90">
        <v>2540</v>
      </c>
      <c r="C14" s="321">
        <v>1878</v>
      </c>
      <c r="D14" s="90">
        <f t="shared" si="0"/>
        <v>-662</v>
      </c>
      <c r="E14" s="286"/>
      <c r="F14" s="284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">
      <c r="A16" s="87">
        <v>500655</v>
      </c>
      <c r="B16" s="327">
        <v>419870</v>
      </c>
      <c r="C16" s="90"/>
      <c r="D16" s="90">
        <f t="shared" si="0"/>
        <v>-419870</v>
      </c>
      <c r="E16" s="286"/>
      <c r="F16" s="284"/>
    </row>
    <row r="17" spans="1:6" x14ac:dyDescent="0.2">
      <c r="A17" s="87">
        <v>500657</v>
      </c>
      <c r="B17" s="338">
        <v>98579</v>
      </c>
      <c r="C17" s="88">
        <v>108000</v>
      </c>
      <c r="D17" s="94">
        <f t="shared" si="0"/>
        <v>9421</v>
      </c>
      <c r="E17" s="286"/>
      <c r="F17" s="284"/>
    </row>
    <row r="18" spans="1:6" x14ac:dyDescent="0.2">
      <c r="A18" s="87"/>
      <c r="B18" s="88"/>
      <c r="C18" s="88"/>
      <c r="D18" s="88">
        <f>SUM(D5:D17)</f>
        <v>13112</v>
      </c>
      <c r="E18" s="286"/>
      <c r="F18" s="284"/>
    </row>
    <row r="19" spans="1:6" x14ac:dyDescent="0.2">
      <c r="A19" s="87" t="s">
        <v>84</v>
      </c>
      <c r="B19" s="88"/>
      <c r="C19" s="88"/>
      <c r="D19" s="95">
        <f>+summary!H4</f>
        <v>2.77</v>
      </c>
      <c r="E19" s="288"/>
      <c r="F19" s="284"/>
    </row>
    <row r="20" spans="1:6" x14ac:dyDescent="0.2">
      <c r="A20" s="87"/>
      <c r="B20" s="88"/>
      <c r="C20" s="88"/>
      <c r="D20" s="96">
        <f>+D19*D18</f>
        <v>36320.239999999998</v>
      </c>
      <c r="E20" s="209"/>
      <c r="F20" s="285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">
      <c r="A23" s="87"/>
      <c r="B23" s="88"/>
      <c r="C23" s="88"/>
      <c r="D23" s="324"/>
      <c r="E23" s="209"/>
      <c r="F23" s="66"/>
    </row>
    <row r="24" spans="1:6" ht="13.5" thickBot="1" x14ac:dyDescent="0.25">
      <c r="A24" s="99">
        <v>37090</v>
      </c>
      <c r="B24" s="88"/>
      <c r="C24" s="88"/>
      <c r="D24" s="337">
        <f>+D22+D20</f>
        <v>62476.97</v>
      </c>
      <c r="E24" s="209"/>
      <c r="F24" s="66"/>
    </row>
    <row r="25" spans="1:6" ht="13.5" thickTop="1" x14ac:dyDescent="0.2">
      <c r="E25" s="289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8" workbookViewId="3">
      <selection activeCell="A42" sqref="A42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" style="32" bestFit="1" customWidth="1"/>
    <col min="4" max="4" width="8.85546875" style="32" customWidth="1"/>
    <col min="5" max="5" width="12.5703125" style="32" bestFit="1" customWidth="1"/>
    <col min="6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30204</v>
      </c>
      <c r="E13" s="11">
        <v>29000</v>
      </c>
      <c r="F13" s="25">
        <f t="shared" si="0"/>
        <v>-925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28386</v>
      </c>
      <c r="E16" s="11">
        <v>28943</v>
      </c>
      <c r="F16" s="25">
        <f t="shared" si="0"/>
        <v>1921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28082</v>
      </c>
      <c r="E17" s="11">
        <v>29000</v>
      </c>
      <c r="F17" s="25">
        <f t="shared" si="0"/>
        <v>1153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38012</v>
      </c>
      <c r="C21" s="11">
        <v>35773</v>
      </c>
      <c r="D21" s="11">
        <v>35718</v>
      </c>
      <c r="E21" s="11">
        <v>40000</v>
      </c>
      <c r="F21" s="25">
        <f t="shared" si="0"/>
        <v>2043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820616</v>
      </c>
      <c r="C35" s="11">
        <f>SUM(C4:C34)</f>
        <v>824391</v>
      </c>
      <c r="D35" s="11">
        <f>SUM(D4:D34)</f>
        <v>547087</v>
      </c>
      <c r="E35" s="11">
        <f>SUM(E4:E34)</f>
        <v>557144</v>
      </c>
      <c r="F35" s="11">
        <f>+E35-D35+C35-B35</f>
        <v>13832</v>
      </c>
    </row>
    <row r="36" spans="1:7" x14ac:dyDescent="0.2">
      <c r="A36" s="45"/>
      <c r="C36" s="14">
        <f>+C35-B35</f>
        <v>3775</v>
      </c>
      <c r="D36" s="14"/>
      <c r="E36" s="14">
        <f>+E35-D35</f>
        <v>10057</v>
      </c>
      <c r="F36" s="47"/>
    </row>
    <row r="37" spans="1:7" x14ac:dyDescent="0.2">
      <c r="C37" s="15">
        <f>+summary!H4</f>
        <v>2.77</v>
      </c>
      <c r="D37" s="15"/>
      <c r="E37" s="15">
        <f>+C37</f>
        <v>2.77</v>
      </c>
      <c r="F37" s="24"/>
    </row>
    <row r="38" spans="1:7" x14ac:dyDescent="0.2">
      <c r="C38" s="48">
        <f>+C37*C36</f>
        <v>10456.75</v>
      </c>
      <c r="D38" s="47"/>
      <c r="E38" s="48">
        <f>+E37*E36</f>
        <v>27857.89</v>
      </c>
      <c r="F38" s="46">
        <f>+E38+C38</f>
        <v>38314.639999999999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37090</v>
      </c>
      <c r="C41" s="106">
        <f>+C40+C38</f>
        <v>2428094.64</v>
      </c>
      <c r="D41" s="106"/>
      <c r="E41" s="106">
        <f>+E40+E38</f>
        <v>-1880831.6900000002</v>
      </c>
      <c r="F41" s="106">
        <f>+E41+C41</f>
        <v>547262.94999999995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19" workbookViewId="3">
      <selection activeCell="E23" sqref="E23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187222</v>
      </c>
      <c r="C20" s="11">
        <v>190342</v>
      </c>
      <c r="D20" s="11"/>
      <c r="E20" s="11">
        <v>-4365</v>
      </c>
      <c r="F20" s="11">
        <f t="shared" si="2"/>
        <v>-1245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3030462</v>
      </c>
      <c r="C36" s="11">
        <f>SUM(C5:C35)</f>
        <v>3583169</v>
      </c>
      <c r="D36" s="11">
        <f>SUM(D5:D35)</f>
        <v>0</v>
      </c>
      <c r="E36" s="11">
        <f>SUM(E5:E35)</f>
        <v>-562886</v>
      </c>
      <c r="F36" s="11">
        <f>SUM(F5:F35)</f>
        <v>-10179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37090</v>
      </c>
      <c r="F41" s="357">
        <f>+F39+F36</f>
        <v>1055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275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A44" sqref="A44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1543706</v>
      </c>
      <c r="C39" s="11">
        <f>SUM(C8:C38)</f>
        <v>1531458</v>
      </c>
      <c r="D39" s="11">
        <f>SUM(D8:D38)</f>
        <v>-12248</v>
      </c>
      <c r="E39" s="10"/>
      <c r="F39" s="11"/>
      <c r="G39" s="11"/>
      <c r="H39" s="11"/>
    </row>
    <row r="40" spans="1:8" x14ac:dyDescent="0.2">
      <c r="A40" s="26"/>
      <c r="D40" s="75">
        <f>+summary!H4</f>
        <v>2.77</v>
      </c>
      <c r="E40" s="26"/>
      <c r="H40" s="75"/>
    </row>
    <row r="41" spans="1:8" x14ac:dyDescent="0.2">
      <c r="D41" s="197">
        <f>+D40*D39</f>
        <v>-33926.959999999999</v>
      </c>
      <c r="F41" s="253"/>
      <c r="H41" s="197"/>
    </row>
    <row r="42" spans="1:8" x14ac:dyDescent="0.2">
      <c r="A42" s="57">
        <v>37072</v>
      </c>
      <c r="D42" s="386">
        <v>48879.09</v>
      </c>
      <c r="E42" s="57"/>
      <c r="H42" s="197"/>
    </row>
    <row r="43" spans="1:8" x14ac:dyDescent="0.2">
      <c r="A43" s="57">
        <v>37090</v>
      </c>
      <c r="D43" s="198">
        <f>+D42+D41</f>
        <v>14952.129999999997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49" workbookViewId="3">
      <selection activeCell="E53" sqref="E53:E54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37090</v>
      </c>
      <c r="G7" s="32"/>
      <c r="H7" s="15"/>
      <c r="I7" s="32"/>
      <c r="J7" s="32"/>
    </row>
    <row r="8" spans="1:10" x14ac:dyDescent="0.2">
      <c r="A8" s="254">
        <v>60874</v>
      </c>
      <c r="B8" s="365">
        <v>2939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4">
        <v>500248</v>
      </c>
      <c r="B10" s="367">
        <f>14778-18397</f>
        <v>-3619</v>
      </c>
      <c r="G10" s="32"/>
      <c r="H10" s="15"/>
      <c r="I10" s="32"/>
      <c r="J10" s="32"/>
    </row>
    <row r="11" spans="1:10" x14ac:dyDescent="0.2">
      <c r="A11" s="254">
        <v>500251</v>
      </c>
      <c r="B11" s="334">
        <f>10611-10486</f>
        <v>125</v>
      </c>
      <c r="G11" s="32"/>
      <c r="H11" s="15"/>
      <c r="I11" s="32"/>
      <c r="J11" s="32"/>
    </row>
    <row r="12" spans="1:10" x14ac:dyDescent="0.2">
      <c r="A12" s="254">
        <v>500254</v>
      </c>
      <c r="B12" s="334">
        <f>1768-3042</f>
        <v>-1274</v>
      </c>
      <c r="G12" s="32"/>
      <c r="H12" s="15"/>
      <c r="I12" s="32"/>
      <c r="J12" s="32"/>
    </row>
    <row r="13" spans="1:10" x14ac:dyDescent="0.2">
      <c r="A13" s="32">
        <v>500255</v>
      </c>
      <c r="B13" s="334">
        <f>10612-10503</f>
        <v>109</v>
      </c>
      <c r="G13" s="32"/>
      <c r="H13" s="15"/>
      <c r="I13" s="32"/>
      <c r="J13" s="32"/>
    </row>
    <row r="14" spans="1:10" x14ac:dyDescent="0.2">
      <c r="A14" s="32">
        <v>500262</v>
      </c>
      <c r="B14" s="334">
        <f>4421-6917</f>
        <v>-2496</v>
      </c>
      <c r="G14" s="32"/>
      <c r="H14" s="15"/>
      <c r="I14" s="32"/>
      <c r="J14" s="32"/>
    </row>
    <row r="15" spans="1:10" x14ac:dyDescent="0.2">
      <c r="A15" s="291">
        <v>500267</v>
      </c>
      <c r="B15" s="366">
        <f>1068870-1004763</f>
        <v>64107</v>
      </c>
      <c r="G15" s="32"/>
      <c r="H15" s="15"/>
      <c r="I15" s="32"/>
      <c r="J15" s="32"/>
    </row>
    <row r="16" spans="1:10" x14ac:dyDescent="0.2">
      <c r="B16" s="14">
        <f>SUM(B8:B15)</f>
        <v>59891</v>
      </c>
      <c r="G16" s="32"/>
      <c r="H16" s="15"/>
      <c r="I16" s="32"/>
      <c r="J16" s="32"/>
    </row>
    <row r="17" spans="1:10" x14ac:dyDescent="0.2">
      <c r="B17" s="15">
        <f>+B30</f>
        <v>2.77</v>
      </c>
      <c r="C17" s="201">
        <f>+B17*B16</f>
        <v>165898.07</v>
      </c>
      <c r="G17" s="32"/>
      <c r="H17" s="15"/>
      <c r="I17" s="32"/>
      <c r="J17" s="32"/>
    </row>
    <row r="18" spans="1:10" x14ac:dyDescent="0.2">
      <c r="C18" s="342">
        <f>+C17+C5</f>
        <v>1145142.49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89</v>
      </c>
      <c r="G20" s="32"/>
      <c r="H20" s="15"/>
      <c r="I20" s="32"/>
      <c r="J20" s="32"/>
    </row>
    <row r="21" spans="1:10" x14ac:dyDescent="0.2">
      <c r="A21" s="2" t="s">
        <v>76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">
      <c r="F25" s="268"/>
      <c r="G25" s="32"/>
      <c r="H25" s="15"/>
      <c r="I25" s="32"/>
      <c r="J25" s="32"/>
    </row>
    <row r="26" spans="1:10" x14ac:dyDescent="0.2">
      <c r="A26" s="57">
        <v>37090</v>
      </c>
      <c r="G26" s="32"/>
      <c r="H26" s="15"/>
      <c r="I26" s="32"/>
      <c r="J26" s="32"/>
    </row>
    <row r="27" spans="1:10" x14ac:dyDescent="0.2">
      <c r="A27" s="32">
        <v>9164</v>
      </c>
      <c r="B27" s="212"/>
      <c r="G27" s="32"/>
      <c r="H27" s="15"/>
      <c r="I27" s="32"/>
      <c r="J27" s="32"/>
    </row>
    <row r="28" spans="1:10" x14ac:dyDescent="0.2">
      <c r="A28" s="32">
        <v>9167</v>
      </c>
      <c r="B28" s="212"/>
    </row>
    <row r="29" spans="1:10" x14ac:dyDescent="0.2">
      <c r="B29" s="14">
        <f>+B28+B27</f>
        <v>0</v>
      </c>
    </row>
    <row r="30" spans="1:10" x14ac:dyDescent="0.2">
      <c r="B30" s="15">
        <f>+summary!H4</f>
        <v>2.77</v>
      </c>
      <c r="C30" s="201">
        <f>+B30*B29</f>
        <v>0</v>
      </c>
    </row>
    <row r="31" spans="1:10" x14ac:dyDescent="0.2">
      <c r="C31" s="342">
        <f>+C30+C24</f>
        <v>275313.71999999997</v>
      </c>
      <c r="E31" s="15"/>
    </row>
    <row r="33" spans="1:6" x14ac:dyDescent="0.2">
      <c r="E33" s="273"/>
    </row>
    <row r="34" spans="1:6" x14ac:dyDescent="0.2">
      <c r="A34" s="32" t="s">
        <v>89</v>
      </c>
      <c r="E34" s="15"/>
    </row>
    <row r="35" spans="1:6" x14ac:dyDescent="0.2">
      <c r="A35" s="32" t="s">
        <v>77</v>
      </c>
      <c r="E35" s="15"/>
    </row>
    <row r="38" spans="1:6" x14ac:dyDescent="0.2">
      <c r="A38" s="49">
        <v>37072</v>
      </c>
      <c r="C38" s="385">
        <v>702469.37</v>
      </c>
      <c r="E38" s="15"/>
      <c r="F38" s="268"/>
    </row>
    <row r="40" spans="1:6" x14ac:dyDescent="0.2">
      <c r="A40" s="250">
        <v>37090</v>
      </c>
    </row>
    <row r="41" spans="1:6" x14ac:dyDescent="0.2">
      <c r="A41" s="254">
        <v>500241</v>
      </c>
      <c r="B41" s="14"/>
    </row>
    <row r="42" spans="1:6" x14ac:dyDescent="0.2">
      <c r="A42" s="32">
        <v>500391</v>
      </c>
      <c r="B42" s="212">
        <v>4363</v>
      </c>
    </row>
    <row r="43" spans="1:6" x14ac:dyDescent="0.2">
      <c r="A43" s="32">
        <v>500392</v>
      </c>
      <c r="B43" s="258">
        <v>1269</v>
      </c>
    </row>
    <row r="44" spans="1:6" x14ac:dyDescent="0.2">
      <c r="B44" s="14">
        <f>SUM(B41:B43)</f>
        <v>5632</v>
      </c>
    </row>
    <row r="45" spans="1:6" x14ac:dyDescent="0.2">
      <c r="B45" s="201">
        <f>+B30</f>
        <v>2.77</v>
      </c>
      <c r="C45" s="201">
        <f>+B45*B44</f>
        <v>15600.64</v>
      </c>
    </row>
    <row r="46" spans="1:6" x14ac:dyDescent="0.2">
      <c r="C46" s="342">
        <f>+C45+C38</f>
        <v>718070.01</v>
      </c>
      <c r="E46" s="206"/>
    </row>
    <row r="47" spans="1:6" x14ac:dyDescent="0.2">
      <c r="E47" s="217"/>
    </row>
    <row r="48" spans="1:6" x14ac:dyDescent="0.2">
      <c r="E48" s="206"/>
    </row>
    <row r="49" spans="1:9" x14ac:dyDescent="0.2">
      <c r="C49" s="326"/>
      <c r="E49" s="217"/>
    </row>
    <row r="50" spans="1:9" x14ac:dyDescent="0.2">
      <c r="A50" s="32" t="s">
        <v>89</v>
      </c>
      <c r="C50" s="255"/>
    </row>
    <row r="51" spans="1:9" x14ac:dyDescent="0.2">
      <c r="A51" s="32">
        <v>21665</v>
      </c>
      <c r="B51" s="15" t="s">
        <v>143</v>
      </c>
      <c r="C51" s="383">
        <v>73449.16</v>
      </c>
      <c r="D51" s="32" t="s">
        <v>123</v>
      </c>
      <c r="E51" s="50"/>
      <c r="H51" s="335"/>
    </row>
    <row r="52" spans="1:9" x14ac:dyDescent="0.2">
      <c r="A52" s="32">
        <v>22664</v>
      </c>
      <c r="B52" s="15" t="s">
        <v>143</v>
      </c>
      <c r="C52" s="384">
        <v>23612.35</v>
      </c>
      <c r="D52" s="32" t="s">
        <v>124</v>
      </c>
    </row>
    <row r="53" spans="1:9" x14ac:dyDescent="0.2">
      <c r="A53" s="32">
        <v>20248</v>
      </c>
      <c r="B53" s="15" t="s">
        <v>144</v>
      </c>
      <c r="C53" s="332">
        <v>141061.91</v>
      </c>
      <c r="D53" s="15"/>
      <c r="E53" s="15"/>
      <c r="H53" s="333"/>
    </row>
    <row r="54" spans="1:9" x14ac:dyDescent="0.2">
      <c r="A54" s="32">
        <v>25873</v>
      </c>
      <c r="C54" s="332">
        <v>-259</v>
      </c>
      <c r="D54" s="15"/>
      <c r="H54" s="15"/>
    </row>
    <row r="55" spans="1:9" x14ac:dyDescent="0.2">
      <c r="A55" s="32">
        <v>26758</v>
      </c>
      <c r="C55" s="332">
        <v>-596</v>
      </c>
      <c r="D55" s="15"/>
      <c r="H55" s="15"/>
    </row>
    <row r="56" spans="1:9" x14ac:dyDescent="0.2">
      <c r="A56" s="32">
        <v>26372</v>
      </c>
      <c r="C56" s="332">
        <v>2997.09</v>
      </c>
      <c r="D56" s="15"/>
      <c r="H56" s="15"/>
    </row>
    <row r="57" spans="1:9" x14ac:dyDescent="0.2">
      <c r="A57" s="32">
        <v>26700</v>
      </c>
      <c r="C57" s="332">
        <v>4077.9</v>
      </c>
      <c r="D57" s="15"/>
      <c r="H57" s="333"/>
    </row>
    <row r="58" spans="1:9" x14ac:dyDescent="0.2">
      <c r="A58" s="32">
        <v>26422</v>
      </c>
      <c r="C58" s="332">
        <v>8155.8</v>
      </c>
      <c r="D58" s="15"/>
      <c r="H58" s="47"/>
    </row>
    <row r="59" spans="1:9" x14ac:dyDescent="0.2">
      <c r="A59" s="32">
        <v>26661</v>
      </c>
      <c r="C59" s="332">
        <v>146862.35</v>
      </c>
      <c r="D59" s="15"/>
      <c r="H59" s="345"/>
      <c r="I59" s="32"/>
    </row>
    <row r="60" spans="1:9" x14ac:dyDescent="0.2">
      <c r="A60" s="32">
        <v>27291</v>
      </c>
      <c r="C60" s="332">
        <v>-17965</v>
      </c>
      <c r="D60" s="15"/>
    </row>
    <row r="61" spans="1:9" x14ac:dyDescent="0.2">
      <c r="A61" s="32">
        <v>27137</v>
      </c>
      <c r="C61" s="332">
        <v>-67.28</v>
      </c>
      <c r="D61" s="15"/>
    </row>
    <row r="62" spans="1:9" x14ac:dyDescent="0.2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">
      <c r="C63" s="333">
        <f>+C18+C31+C46+C51+C52+C53+C54+C55+C56+C57+C58+C59+C60+C61+C62</f>
        <v>2513430.31</v>
      </c>
      <c r="G63">
        <v>3940</v>
      </c>
      <c r="H63">
        <v>8155.8</v>
      </c>
    </row>
    <row r="64" spans="1:9" x14ac:dyDescent="0.2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workbookViewId="3">
      <selection activeCell="B1" sqref="B1"/>
    </sheetView>
  </sheetViews>
  <sheetFormatPr defaultRowHeight="12.75" x14ac:dyDescent="0.2"/>
  <cols>
    <col min="3" max="3" width="9.85546875" bestFit="1" customWidth="1"/>
    <col min="6" max="6" width="12.28515625" bestFit="1" customWidth="1"/>
    <col min="7" max="7" width="9.28515625" bestFit="1" customWidth="1"/>
    <col min="8" max="8" width="12" bestFit="1" customWidth="1"/>
    <col min="9" max="9" width="12.7109375" customWidth="1"/>
  </cols>
  <sheetData>
    <row r="1" spans="1:10" x14ac:dyDescent="0.2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">
      <c r="B2" s="12">
        <v>59687</v>
      </c>
      <c r="D2" s="12">
        <v>10703</v>
      </c>
      <c r="E2" s="4"/>
      <c r="F2" s="12">
        <v>78169</v>
      </c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H22" s="11">
        <f t="shared" si="0"/>
        <v>0</v>
      </c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H23" s="11">
        <f t="shared" si="0"/>
        <v>0</v>
      </c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H24" s="11">
        <f t="shared" si="0"/>
        <v>0</v>
      </c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H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H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H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H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H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H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H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432204</v>
      </c>
      <c r="E35" s="11">
        <f t="shared" si="1"/>
        <v>426905</v>
      </c>
      <c r="F35" s="11">
        <f t="shared" si="1"/>
        <v>100014</v>
      </c>
      <c r="G35" s="11">
        <f t="shared" si="1"/>
        <v>92257</v>
      </c>
      <c r="H35" s="11">
        <f t="shared" si="1"/>
        <v>-13073</v>
      </c>
      <c r="I35" s="11"/>
      <c r="J35" s="11"/>
    </row>
    <row r="36" spans="1:10" x14ac:dyDescent="0.2">
      <c r="C36" s="25">
        <f>+C35-B35</f>
        <v>-17</v>
      </c>
      <c r="E36" s="25"/>
      <c r="H36" s="25">
        <f>+E36+C36</f>
        <v>-17</v>
      </c>
    </row>
    <row r="37" spans="1:10" x14ac:dyDescent="0.2">
      <c r="C37" s="331">
        <f>+summary!H5</f>
        <v>2.96</v>
      </c>
      <c r="E37" s="331"/>
      <c r="H37" s="331">
        <f>+E37</f>
        <v>0</v>
      </c>
    </row>
    <row r="38" spans="1:10" x14ac:dyDescent="0.2">
      <c r="C38" s="138">
        <f>+C37*C36</f>
        <v>-50.32</v>
      </c>
      <c r="E38" s="138"/>
      <c r="H38" s="138">
        <f>+H37*H36</f>
        <v>0</v>
      </c>
    </row>
    <row r="39" spans="1:10" x14ac:dyDescent="0.2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>
        <f>+H39+H44+H45+H46+H47+H48+H49</f>
        <v>-2125227.56</v>
      </c>
    </row>
    <row r="40" spans="1:10" x14ac:dyDescent="0.2">
      <c r="A40" s="57">
        <v>37090</v>
      </c>
      <c r="B40" s="2" t="s">
        <v>46</v>
      </c>
      <c r="C40" s="332">
        <f>+C39+C38</f>
        <v>-1023143.21</v>
      </c>
      <c r="D40" s="260"/>
      <c r="E40" s="332"/>
      <c r="G40" s="332">
        <f>+G39+G38</f>
        <v>-436546.2</v>
      </c>
      <c r="H40" s="332">
        <f>+H39+H38</f>
        <v>-1459639.09</v>
      </c>
      <c r="I40" s="131"/>
      <c r="J40" s="131">
        <f>+Duke!C5+Duke!C24+Duke!C38+Duke!C51+Duke!C52+Duke!C53+Duke!C54+Duke!C55+Duke!C56+Duke!C57+Duke!C58+Duke!C59+Duke!C60+Duke!C62</f>
        <v>2331998.88</v>
      </c>
    </row>
    <row r="41" spans="1:10" x14ac:dyDescent="0.2">
      <c r="C41" s="352"/>
      <c r="D41" s="251"/>
      <c r="E41" s="251"/>
      <c r="H41" s="251"/>
      <c r="I41" s="251"/>
      <c r="J41" s="31"/>
    </row>
    <row r="42" spans="1:10" x14ac:dyDescent="0.2">
      <c r="C42" s="251"/>
      <c r="D42" s="251"/>
      <c r="E42" s="251"/>
      <c r="H42" s="273"/>
      <c r="I42" s="251"/>
    </row>
    <row r="43" spans="1:10" x14ac:dyDescent="0.2">
      <c r="C43" s="251"/>
      <c r="D43" s="251"/>
      <c r="E43" s="12" t="s">
        <v>115</v>
      </c>
      <c r="H43" s="273"/>
      <c r="I43" s="251"/>
    </row>
    <row r="44" spans="1:10" x14ac:dyDescent="0.2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">
      <c r="C46" s="251"/>
      <c r="D46" s="251"/>
      <c r="E46" s="12">
        <v>21459</v>
      </c>
      <c r="H46" s="385">
        <v>10570.56</v>
      </c>
      <c r="I46" s="251"/>
    </row>
    <row r="47" spans="1:10" x14ac:dyDescent="0.2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">
      <c r="C50" s="251"/>
      <c r="D50" s="251"/>
      <c r="H50" s="353">
        <f>SUM(H40:H49)</f>
        <v>-2125227.56</v>
      </c>
      <c r="I50" s="251"/>
    </row>
    <row r="51" spans="3:9" x14ac:dyDescent="0.2">
      <c r="C51" s="251"/>
      <c r="D51" s="251"/>
      <c r="H51" s="251"/>
      <c r="I51" s="251"/>
    </row>
    <row r="52" spans="3:9" x14ac:dyDescent="0.2">
      <c r="E52" s="2" t="s">
        <v>145</v>
      </c>
      <c r="H52" s="138">
        <f>+Duke!C63</f>
        <v>2513430.31</v>
      </c>
    </row>
    <row r="54" spans="3:9" x14ac:dyDescent="0.2">
      <c r="H54" s="104">
        <f>+H52+H50</f>
        <v>388202.75</v>
      </c>
    </row>
    <row r="60" spans="3:9" x14ac:dyDescent="0.2">
      <c r="H60" s="259"/>
    </row>
    <row r="61" spans="3:9" x14ac:dyDescent="0.2">
      <c r="H61" s="259"/>
    </row>
    <row r="62" spans="3:9" x14ac:dyDescent="0.2">
      <c r="H62" s="259"/>
    </row>
    <row r="63" spans="3:9" x14ac:dyDescent="0.2">
      <c r="H63" s="371"/>
    </row>
    <row r="64" spans="3:9" x14ac:dyDescent="0.2">
      <c r="F64" s="371"/>
    </row>
    <row r="65" spans="6:6" x14ac:dyDescent="0.2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16" sqref="G16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/>
      <c r="I24" s="11">
        <v>1699</v>
      </c>
      <c r="J24" s="25">
        <f t="shared" si="0"/>
        <v>1919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/>
      <c r="I25" s="11">
        <v>1699</v>
      </c>
      <c r="J25" s="25">
        <f t="shared" si="0"/>
        <v>1881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0</v>
      </c>
      <c r="C39" s="11">
        <f t="shared" si="1"/>
        <v>0</v>
      </c>
      <c r="D39" s="11">
        <f t="shared" si="1"/>
        <v>0</v>
      </c>
      <c r="E39" s="11">
        <f t="shared" si="1"/>
        <v>0</v>
      </c>
      <c r="F39" s="11">
        <f t="shared" si="1"/>
        <v>19560</v>
      </c>
      <c r="G39" s="11">
        <f t="shared" si="1"/>
        <v>22314</v>
      </c>
      <c r="H39" s="11">
        <f t="shared" si="1"/>
        <v>23155</v>
      </c>
      <c r="I39" s="11">
        <f t="shared" si="1"/>
        <v>30552</v>
      </c>
      <c r="J39" s="25">
        <f t="shared" si="1"/>
        <v>10151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1">
        <f>+summary!H4</f>
        <v>2.77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28118.27</v>
      </c>
      <c r="L41"/>
      <c r="R41" s="138"/>
      <c r="X41" s="138"/>
    </row>
    <row r="42" spans="1:24" x14ac:dyDescent="0.2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37090</v>
      </c>
      <c r="C43" s="48"/>
      <c r="J43" s="138">
        <f>+J42+J41</f>
        <v>376903.56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8" workbookViewId="3">
      <selection activeCell="A44" sqref="A44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148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/>
      <c r="C26" s="11"/>
      <c r="D26" s="11"/>
      <c r="E26" s="11"/>
      <c r="F26" s="25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/>
      <c r="C27" s="11"/>
      <c r="D27" s="11"/>
      <c r="E27" s="11"/>
      <c r="F27" s="25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211144</v>
      </c>
      <c r="C39" s="11">
        <f>SUM(C8:C38)</f>
        <v>193888</v>
      </c>
      <c r="D39" s="11">
        <f>SUM(D8:D38)</f>
        <v>-3629</v>
      </c>
      <c r="E39" s="11">
        <f>SUM(E8:E38)</f>
        <v>0</v>
      </c>
      <c r="F39" s="11">
        <f>SUM(F8:F38)</f>
        <v>-13627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2.77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-37746.79</v>
      </c>
      <c r="J41" s="138"/>
      <c r="N41" s="138"/>
      <c r="R41" s="138"/>
      <c r="V41" s="138"/>
      <c r="Z41" s="138"/>
    </row>
    <row r="42" spans="1:26" x14ac:dyDescent="0.2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37090</v>
      </c>
      <c r="C43" s="48"/>
      <c r="D43" s="48"/>
      <c r="E43" s="48"/>
      <c r="F43" s="110">
        <f>+F42+F41</f>
        <v>505133.08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24" workbookViewId="2">
      <selection activeCell="G40" sqref="G40"/>
    </sheetView>
    <sheetView tabSelected="1" workbookViewId="3">
      <selection activeCell="G10" sqref="G10"/>
    </sheetView>
  </sheetViews>
  <sheetFormatPr defaultRowHeight="12.75" x14ac:dyDescent="0.2"/>
  <cols>
    <col min="1" max="1" width="16.42578125" style="296" customWidth="1"/>
    <col min="2" max="2" width="9.85546875" style="253" bestFit="1" customWidth="1"/>
    <col min="3" max="3" width="9.28515625" style="297" customWidth="1"/>
    <col min="4" max="4" width="5.140625" style="7" customWidth="1"/>
    <col min="5" max="5" width="11.140625" bestFit="1" customWidth="1"/>
    <col min="6" max="6" width="12.85546875" bestFit="1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9" t="s">
        <v>147</v>
      </c>
      <c r="G2" s="415" t="s">
        <v>81</v>
      </c>
      <c r="H2" s="391"/>
    </row>
    <row r="3" spans="1:32" ht="15" customHeight="1" x14ac:dyDescent="0.2">
      <c r="G3" s="301" t="s">
        <v>30</v>
      </c>
      <c r="H3" s="390">
        <f>+'[1]0701'!$K$39</f>
        <v>2.42</v>
      </c>
    </row>
    <row r="4" spans="1:32" ht="15" customHeight="1" x14ac:dyDescent="0.2">
      <c r="A4" s="34" t="s">
        <v>168</v>
      </c>
      <c r="C4" s="34" t="s">
        <v>5</v>
      </c>
      <c r="G4" s="302" t="s">
        <v>31</v>
      </c>
      <c r="H4" s="303">
        <f>+'[1]0701'!$M$39</f>
        <v>2.77</v>
      </c>
    </row>
    <row r="5" spans="1:32" ht="15" customHeight="1" x14ac:dyDescent="0.2">
      <c r="G5" s="301" t="s">
        <v>120</v>
      </c>
      <c r="H5" s="390">
        <f>+'[1]0701'!$H$39</f>
        <v>2.96</v>
      </c>
    </row>
    <row r="6" spans="1:32" ht="15" customHeight="1" x14ac:dyDescent="0.2"/>
    <row r="7" spans="1:32" ht="15" customHeight="1" x14ac:dyDescent="0.2">
      <c r="A7" s="359" t="s">
        <v>92</v>
      </c>
      <c r="B7" s="360" t="s">
        <v>17</v>
      </c>
      <c r="C7" s="361" t="s">
        <v>0</v>
      </c>
      <c r="D7" s="5" t="s">
        <v>169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">
      <c r="A8" s="392" t="s">
        <v>90</v>
      </c>
      <c r="B8" s="393">
        <f>+NNG!$D$24</f>
        <v>838400.95</v>
      </c>
      <c r="C8" s="286">
        <f>+B8/$H$4</f>
        <v>302671.82310469315</v>
      </c>
      <c r="D8" s="416">
        <f>+NNG!A24</f>
        <v>37090</v>
      </c>
      <c r="E8" s="206" t="s">
        <v>88</v>
      </c>
      <c r="F8" s="206" t="s">
        <v>103</v>
      </c>
      <c r="G8" s="32" t="s">
        <v>159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92" t="s">
        <v>29</v>
      </c>
      <c r="B9" s="393">
        <f>+C9*$H$3</f>
        <v>778572.08</v>
      </c>
      <c r="C9" s="286">
        <f>+williams!J40</f>
        <v>321724</v>
      </c>
      <c r="D9" s="416">
        <f>+williams!A40</f>
        <v>37090</v>
      </c>
      <c r="E9" s="206" t="s">
        <v>87</v>
      </c>
      <c r="F9" s="206" t="s">
        <v>167</v>
      </c>
      <c r="G9" s="32" t="s">
        <v>154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4" t="s">
        <v>24</v>
      </c>
      <c r="B10" s="395">
        <f>+'Red C'!$F$43</f>
        <v>644848.80000000005</v>
      </c>
      <c r="C10" s="396">
        <f>+B10/$H$3</f>
        <v>266466.44628099177</v>
      </c>
      <c r="D10" s="416">
        <f>+'Red C'!B43</f>
        <v>37090</v>
      </c>
      <c r="E10" s="32" t="s">
        <v>88</v>
      </c>
      <c r="F10" s="32" t="s">
        <v>118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4" t="s">
        <v>83</v>
      </c>
      <c r="B11" s="393">
        <f>+Conoco!$F$41</f>
        <v>547262.94999999995</v>
      </c>
      <c r="C11" s="286">
        <f>+B11/$H$4</f>
        <v>197567.85198555954</v>
      </c>
      <c r="D11" s="416">
        <f>+Conoco!A41</f>
        <v>37090</v>
      </c>
      <c r="E11" s="32" t="s">
        <v>88</v>
      </c>
      <c r="F11" s="32" t="s">
        <v>116</v>
      </c>
      <c r="G11" s="32" t="s">
        <v>155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4" t="s">
        <v>110</v>
      </c>
      <c r="B12" s="393">
        <f>+KN_Westar!F41</f>
        <v>524235.18999999994</v>
      </c>
      <c r="C12" s="286">
        <f>+B12/$H$4</f>
        <v>189254.58122743681</v>
      </c>
      <c r="D12" s="417">
        <f>+KN_Westar!A41</f>
        <v>37090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4" t="s">
        <v>3</v>
      </c>
      <c r="B13" s="393">
        <f>+'Amoco Abo'!$F$43</f>
        <v>505133.08</v>
      </c>
      <c r="C13" s="286">
        <f>+B13/$H$4</f>
        <v>182358.51263537907</v>
      </c>
      <c r="D13" s="417">
        <f>+'Amoco Abo'!A43</f>
        <v>37090</v>
      </c>
      <c r="E13" s="32" t="s">
        <v>88</v>
      </c>
      <c r="F13" s="32" t="s">
        <v>118</v>
      </c>
      <c r="G13" s="32" t="s">
        <v>160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392" t="s">
        <v>33</v>
      </c>
      <c r="B14" s="393">
        <f>+C14*$H$4</f>
        <v>473786.34</v>
      </c>
      <c r="C14" s="208">
        <f>+SoCal!F40</f>
        <v>171042</v>
      </c>
      <c r="D14" s="416">
        <f>+SoCal!A40</f>
        <v>37090</v>
      </c>
      <c r="E14" s="206" t="s">
        <v>87</v>
      </c>
      <c r="F14" s="206" t="s">
        <v>105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4" t="s">
        <v>85</v>
      </c>
      <c r="B15" s="393">
        <f>+PNM!$D$23</f>
        <v>437920.28</v>
      </c>
      <c r="C15" s="286">
        <f>+B15/$H$4</f>
        <v>158093.96389891699</v>
      </c>
      <c r="D15" s="417">
        <f>+PNM!A23</f>
        <v>37090</v>
      </c>
      <c r="E15" s="32" t="s">
        <v>88</v>
      </c>
      <c r="F15" s="32" t="s">
        <v>118</v>
      </c>
      <c r="G15" s="32" t="s">
        <v>157</v>
      </c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">
      <c r="A16" s="254" t="s">
        <v>131</v>
      </c>
      <c r="B16" s="393">
        <f>+DEFS!H54</f>
        <v>388202.75</v>
      </c>
      <c r="C16" s="208">
        <f>+B16/$H$4</f>
        <v>140145.39711191336</v>
      </c>
      <c r="D16" s="417">
        <f>+DEFS!A40</f>
        <v>37090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">
      <c r="A17" s="254" t="s">
        <v>91</v>
      </c>
      <c r="B17" s="393">
        <f>+C17*$H$4</f>
        <v>383885.99</v>
      </c>
      <c r="C17" s="286">
        <f>+NGPL!F38</f>
        <v>138587</v>
      </c>
      <c r="D17" s="417">
        <f>+NGPL!A38</f>
        <v>37090</v>
      </c>
      <c r="E17" s="32" t="s">
        <v>87</v>
      </c>
      <c r="F17" s="32" t="s">
        <v>118</v>
      </c>
      <c r="G17" s="32" t="s">
        <v>158</v>
      </c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">
      <c r="A18" s="254" t="s">
        <v>2</v>
      </c>
      <c r="B18" s="393">
        <f>+mewborne!$J$43</f>
        <v>376903.56</v>
      </c>
      <c r="C18" s="286">
        <f>+B18/$H$4</f>
        <v>136066.26714801445</v>
      </c>
      <c r="D18" s="417">
        <f>+mewborne!A43</f>
        <v>37090</v>
      </c>
      <c r="E18" s="32" t="s">
        <v>88</v>
      </c>
      <c r="F18" s="32" t="s">
        <v>102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">
      <c r="A19" s="254" t="s">
        <v>97</v>
      </c>
      <c r="B19" s="393">
        <f>+C19*$H$4</f>
        <v>361955.9</v>
      </c>
      <c r="C19" s="286">
        <f>+Mojave!D40</f>
        <v>130670</v>
      </c>
      <c r="D19" s="417">
        <f>+Mojave!A40</f>
        <v>37090</v>
      </c>
      <c r="E19" s="32" t="s">
        <v>87</v>
      </c>
      <c r="F19" s="32" t="s">
        <v>103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">
      <c r="A20" s="254" t="s">
        <v>113</v>
      </c>
      <c r="B20" s="393">
        <f>+CIG!D43</f>
        <v>326755</v>
      </c>
      <c r="C20" s="286">
        <f>+B20/$H$4</f>
        <v>117962.09386281588</v>
      </c>
      <c r="D20" s="417">
        <f>+CIG!A43</f>
        <v>37090</v>
      </c>
      <c r="E20" s="32" t="s">
        <v>88</v>
      </c>
      <c r="F20" s="32" t="s">
        <v>116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">
      <c r="A21" s="254" t="s">
        <v>133</v>
      </c>
      <c r="B21" s="393">
        <f>+PGETX!$H$39</f>
        <v>314543.35999999999</v>
      </c>
      <c r="C21" s="286">
        <f>+B21/$H$4</f>
        <v>113553.55956678699</v>
      </c>
      <c r="D21" s="417">
        <f>+PGETX!E39</f>
        <v>37090</v>
      </c>
      <c r="E21" s="32" t="s">
        <v>88</v>
      </c>
      <c r="F21" s="32" t="s">
        <v>105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">
      <c r="A22" s="254" t="s">
        <v>150</v>
      </c>
      <c r="B22" s="395">
        <f>+C22*$H$4</f>
        <v>245784.87</v>
      </c>
      <c r="C22" s="396">
        <f>+PEPL!D41</f>
        <v>88731</v>
      </c>
      <c r="D22" s="417">
        <f>+PEPL!A41</f>
        <v>37090</v>
      </c>
      <c r="E22" s="32" t="s">
        <v>87</v>
      </c>
      <c r="F22" s="32" t="s">
        <v>103</v>
      </c>
      <c r="G22" s="32" t="s">
        <v>149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">
      <c r="A23" s="254" t="s">
        <v>106</v>
      </c>
      <c r="B23" s="393">
        <f>+EOG!J41</f>
        <v>245024.72999999998</v>
      </c>
      <c r="C23" s="286">
        <f>+B23/$H$4</f>
        <v>88456.581227436822</v>
      </c>
      <c r="D23" s="416">
        <f>+EOG!A41</f>
        <v>37090</v>
      </c>
      <c r="E23" s="32" t="s">
        <v>88</v>
      </c>
      <c r="F23" s="32" t="s">
        <v>105</v>
      </c>
      <c r="G23" s="32" t="s">
        <v>164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">
      <c r="A24" s="254" t="s">
        <v>34</v>
      </c>
      <c r="B24" s="393">
        <f>+'El Paso'!C38*summary!H4+'El Paso'!E38*summary!H3</f>
        <v>224466.51</v>
      </c>
      <c r="C24" s="286">
        <f>+'El Paso'!H38</f>
        <v>85448</v>
      </c>
      <c r="D24" s="417">
        <f>+'El Paso'!A38</f>
        <v>37090</v>
      </c>
      <c r="E24" s="32" t="s">
        <v>87</v>
      </c>
      <c r="F24" s="32" t="s">
        <v>103</v>
      </c>
      <c r="G24" s="32" t="s">
        <v>122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">
      <c r="A25" s="254" t="s">
        <v>32</v>
      </c>
      <c r="B25" s="393">
        <f>+C25*$H$4</f>
        <v>185002.76</v>
      </c>
      <c r="C25" s="286">
        <f>+Lonestar!F42</f>
        <v>66788</v>
      </c>
      <c r="D25" s="416">
        <f>+Lonestar!B42</f>
        <v>37090</v>
      </c>
      <c r="E25" s="32" t="s">
        <v>87</v>
      </c>
      <c r="F25" s="32" t="s">
        <v>105</v>
      </c>
      <c r="G25" s="32" t="s">
        <v>166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">
      <c r="A26" s="254" t="s">
        <v>6</v>
      </c>
      <c r="B26" s="393">
        <f>+C26*$H$3</f>
        <v>151085.44</v>
      </c>
      <c r="C26" s="286">
        <f>+Amoco!D40</f>
        <v>62432</v>
      </c>
      <c r="D26" s="417">
        <f>+Amoco!A40</f>
        <v>37090</v>
      </c>
      <c r="E26" s="32" t="s">
        <v>87</v>
      </c>
      <c r="F26" s="32" t="s">
        <v>118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">
      <c r="A27" s="254" t="s">
        <v>7</v>
      </c>
      <c r="B27" s="393">
        <f>+C27*$H$4</f>
        <v>84252.32</v>
      </c>
      <c r="C27" s="208">
        <f>+Oasis!D40</f>
        <v>30416</v>
      </c>
      <c r="D27" s="417">
        <f>+Oasis!B40</f>
        <v>37090</v>
      </c>
      <c r="E27" s="32" t="s">
        <v>87</v>
      </c>
      <c r="F27" s="32" t="s">
        <v>105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">
      <c r="A28" s="254" t="s">
        <v>137</v>
      </c>
      <c r="B28" s="393">
        <f>+SidR!D41</f>
        <v>63947.839999999997</v>
      </c>
      <c r="C28" s="286">
        <f>+B28/$H$4</f>
        <v>23085.862815884477</v>
      </c>
      <c r="D28" s="417">
        <f>+SidR!A41</f>
        <v>37090</v>
      </c>
      <c r="E28" s="32" t="s">
        <v>88</v>
      </c>
      <c r="F28" s="32" t="s">
        <v>105</v>
      </c>
      <c r="G28" s="32" t="s">
        <v>165</v>
      </c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">
      <c r="A29" s="392" t="s">
        <v>82</v>
      </c>
      <c r="B29" s="393">
        <f>+Agave!$D$24</f>
        <v>62476.97</v>
      </c>
      <c r="C29" s="208">
        <f>+B29/$H$4</f>
        <v>22554.862815884477</v>
      </c>
      <c r="D29" s="416">
        <f>+Agave!A24</f>
        <v>37090</v>
      </c>
      <c r="E29" s="206" t="s">
        <v>88</v>
      </c>
      <c r="F29" s="206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">
      <c r="A30" s="254" t="s">
        <v>74</v>
      </c>
      <c r="B30" s="395">
        <f>+transcol!$D$43</f>
        <v>14952.129999999997</v>
      </c>
      <c r="C30" s="396">
        <f>+B30/$H$4</f>
        <v>5397.8808664259914</v>
      </c>
      <c r="D30" s="417">
        <f>+transcol!A43</f>
        <v>37090</v>
      </c>
      <c r="E30" s="32" t="s">
        <v>88</v>
      </c>
      <c r="F30" s="32" t="s">
        <v>118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">
      <c r="A31" s="392" t="s">
        <v>132</v>
      </c>
      <c r="B31" s="393">
        <f>+Calpine!D41</f>
        <v>11220.039999999979</v>
      </c>
      <c r="C31" s="208">
        <f>+B31/$H$4</f>
        <v>4050.5559566786928</v>
      </c>
      <c r="D31" s="416">
        <f>+Calpine!A41</f>
        <v>37090</v>
      </c>
      <c r="E31" s="206" t="s">
        <v>88</v>
      </c>
      <c r="F31" s="206" t="s">
        <v>102</v>
      </c>
      <c r="G31" s="400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">
      <c r="A32" s="254" t="s">
        <v>117</v>
      </c>
      <c r="B32" s="393">
        <f>+C32*$H$4</f>
        <v>2686.9</v>
      </c>
      <c r="C32" s="208">
        <f>+'PG&amp;E'!D40</f>
        <v>970</v>
      </c>
      <c r="D32" s="417">
        <f>+'PG&amp;E'!A40</f>
        <v>37090</v>
      </c>
      <c r="E32" s="32" t="s">
        <v>87</v>
      </c>
      <c r="F32" s="32" t="s">
        <v>105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7.100000000000001" customHeight="1" x14ac:dyDescent="0.2">
      <c r="A33" s="254" t="s">
        <v>1</v>
      </c>
      <c r="B33" s="397">
        <f>+C33*$H$3</f>
        <v>2553.1</v>
      </c>
      <c r="C33" s="398">
        <f>+NW!$F$41</f>
        <v>1055</v>
      </c>
      <c r="D33" s="416">
        <f>+NW!B41</f>
        <v>37090</v>
      </c>
      <c r="E33" s="32" t="s">
        <v>87</v>
      </c>
      <c r="F33" s="32" t="s">
        <v>118</v>
      </c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8195859.8400000017</v>
      </c>
      <c r="C34" s="69">
        <f>SUM(C8:C33)</f>
        <v>3045549.240504818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99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9" t="s">
        <v>92</v>
      </c>
      <c r="B36" s="360" t="s">
        <v>17</v>
      </c>
      <c r="C36" s="361" t="s">
        <v>0</v>
      </c>
      <c r="D36" s="370" t="s">
        <v>169</v>
      </c>
      <c r="E36" s="359" t="s">
        <v>93</v>
      </c>
      <c r="F36" s="362" t="s">
        <v>104</v>
      </c>
      <c r="G36" s="359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">
      <c r="A37" s="392" t="s">
        <v>141</v>
      </c>
      <c r="B37" s="393">
        <f>+Citizens!D18</f>
        <v>-878957.71000000008</v>
      </c>
      <c r="C37" s="208">
        <f>+B37/$H$4</f>
        <v>-317313.25270758127</v>
      </c>
      <c r="D37" s="416">
        <f>+Citizens!A18</f>
        <v>37090</v>
      </c>
      <c r="E37" s="206" t="s">
        <v>88</v>
      </c>
      <c r="F37" s="206" t="s">
        <v>102</v>
      </c>
      <c r="G37" s="40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">
      <c r="A38" s="254" t="s">
        <v>139</v>
      </c>
      <c r="B38" s="393">
        <f>+'NS Steel'!D41</f>
        <v>-389619.1</v>
      </c>
      <c r="C38" s="208">
        <f>+B38/$H$4</f>
        <v>-140656.71480144403</v>
      </c>
      <c r="D38" s="417">
        <f>+'NS Steel'!A41</f>
        <v>37090</v>
      </c>
      <c r="E38" s="32" t="s">
        <v>88</v>
      </c>
      <c r="F38" s="32" t="s">
        <v>103</v>
      </c>
      <c r="G38" s="400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">
      <c r="A39" s="254" t="s">
        <v>146</v>
      </c>
      <c r="B39" s="393">
        <f>+'Citizens-Griffith'!D41</f>
        <v>-215174.39999999999</v>
      </c>
      <c r="C39" s="286">
        <f>+B39/$H$4</f>
        <v>-77680.288808664263</v>
      </c>
      <c r="D39" s="416">
        <f>+'Citizens-Griffith'!A41</f>
        <v>37090</v>
      </c>
      <c r="E39" s="32" t="s">
        <v>88</v>
      </c>
      <c r="F39" s="32" t="s">
        <v>102</v>
      </c>
      <c r="G39" s="32" t="s">
        <v>162</v>
      </c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">
      <c r="A40" s="254" t="s">
        <v>135</v>
      </c>
      <c r="B40" s="393">
        <f>+EPFS!D41</f>
        <v>-168051.1</v>
      </c>
      <c r="C40" s="208">
        <f>+B40/$H$5</f>
        <v>-56774.020270270274</v>
      </c>
      <c r="D40" s="416">
        <f>+EPFS!A41</f>
        <v>37090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">
      <c r="A41" s="392" t="s">
        <v>98</v>
      </c>
      <c r="B41" s="393">
        <f>+burlington!D42</f>
        <v>-17494.18</v>
      </c>
      <c r="C41" s="286">
        <f>+B41/$H$3</f>
        <v>-7229</v>
      </c>
      <c r="D41" s="416">
        <f>+burlington!A42</f>
        <v>37090</v>
      </c>
      <c r="E41" s="206" t="s">
        <v>88</v>
      </c>
      <c r="F41" s="32" t="s">
        <v>116</v>
      </c>
      <c r="G41" s="32" t="s">
        <v>163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">
      <c r="A42" s="254" t="s">
        <v>112</v>
      </c>
      <c r="B42" s="397">
        <f>+Continental!F43</f>
        <v>-14809.08</v>
      </c>
      <c r="C42" s="398">
        <f>+B42/$H$4</f>
        <v>-5346.2382671480145</v>
      </c>
      <c r="D42" s="417">
        <f>+Continental!A43</f>
        <v>37090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93">
        <f>SUM(B37:B42)</f>
        <v>-1684105.57</v>
      </c>
      <c r="C43" s="208">
        <f>SUM(C37:C42)</f>
        <v>-604999.51485510787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402">
        <f>+B43+B34</f>
        <v>6511754.2700000014</v>
      </c>
      <c r="C45" s="403">
        <f>+C43+C34</f>
        <v>2440549.7256497103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B11" sqref="B11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-85969</v>
      </c>
      <c r="C6" s="80"/>
      <c r="D6" s="80">
        <f t="shared" ref="D6:D14" si="0">+C6-B6</f>
        <v>85969</v>
      </c>
    </row>
    <row r="7" spans="1:8" x14ac:dyDescent="0.2">
      <c r="A7" s="32">
        <v>3531</v>
      </c>
      <c r="B7" s="325"/>
      <c r="C7" s="80"/>
      <c r="D7" s="80">
        <f t="shared" si="0"/>
        <v>0</v>
      </c>
    </row>
    <row r="8" spans="1:8" x14ac:dyDescent="0.2">
      <c r="A8" s="32">
        <v>60667</v>
      </c>
      <c r="B8" s="325">
        <v>-568189</v>
      </c>
      <c r="C8" s="80"/>
      <c r="D8" s="80">
        <f t="shared" si="0"/>
        <v>568189</v>
      </c>
      <c r="H8" s="255"/>
    </row>
    <row r="9" spans="1:8" x14ac:dyDescent="0.2">
      <c r="A9" s="32">
        <v>60749</v>
      </c>
      <c r="B9" s="325">
        <v>1017272</v>
      </c>
      <c r="C9" s="80">
        <v>263234</v>
      </c>
      <c r="D9" s="80">
        <f t="shared" si="0"/>
        <v>-754038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-37741</v>
      </c>
      <c r="C11" s="80"/>
      <c r="D11" s="80">
        <f t="shared" si="0"/>
        <v>37741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-62139</v>
      </c>
    </row>
    <row r="19" spans="1:5" x14ac:dyDescent="0.2">
      <c r="A19" s="32" t="s">
        <v>84</v>
      </c>
      <c r="B19" s="69"/>
      <c r="C19" s="69"/>
      <c r="D19" s="73">
        <f>+summary!H4</f>
        <v>2.77</v>
      </c>
    </row>
    <row r="20" spans="1:5" x14ac:dyDescent="0.2">
      <c r="B20" s="69"/>
      <c r="C20" s="69"/>
      <c r="D20" s="75">
        <f>+D19*D18</f>
        <v>-172125.03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2" thickBot="1" x14ac:dyDescent="0.25">
      <c r="A24" s="49">
        <v>37090</v>
      </c>
      <c r="B24" s="69"/>
      <c r="C24" s="69"/>
      <c r="D24" s="355">
        <f>+D22+D20</f>
        <v>838400.95</v>
      </c>
      <c r="E24" s="255"/>
    </row>
    <row r="25" spans="1:5" ht="12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A24" sqref="A24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9236</v>
      </c>
      <c r="B5" s="368">
        <v>-42415</v>
      </c>
      <c r="C5" s="90">
        <v>-29426</v>
      </c>
      <c r="D5" s="90">
        <f t="shared" ref="D5:D13" si="0">+C5-B5</f>
        <v>12989</v>
      </c>
      <c r="E5" s="69"/>
      <c r="F5" s="70"/>
    </row>
    <row r="6" spans="1:13" x14ac:dyDescent="0.2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8">
        <v>-1791130</v>
      </c>
      <c r="C7" s="90">
        <v>-1877259</v>
      </c>
      <c r="D7" s="90">
        <f t="shared" si="0"/>
        <v>-86129</v>
      </c>
      <c r="E7" s="286"/>
      <c r="F7" s="70"/>
    </row>
    <row r="8" spans="1:13" x14ac:dyDescent="0.2">
      <c r="A8" s="87">
        <v>58710</v>
      </c>
      <c r="B8" s="368">
        <v>-17917</v>
      </c>
      <c r="C8" s="90">
        <v>-1023</v>
      </c>
      <c r="D8" s="90">
        <f t="shared" si="0"/>
        <v>16894</v>
      </c>
      <c r="E8" s="286"/>
      <c r="F8" s="70"/>
    </row>
    <row r="9" spans="1:13" x14ac:dyDescent="0.2">
      <c r="A9" s="87">
        <v>60921</v>
      </c>
      <c r="B9" s="321">
        <v>1456035</v>
      </c>
      <c r="C9" s="90">
        <v>1420920</v>
      </c>
      <c r="D9" s="90">
        <f t="shared" si="0"/>
        <v>-35115</v>
      </c>
      <c r="E9" s="286"/>
      <c r="F9" s="70"/>
    </row>
    <row r="10" spans="1:13" x14ac:dyDescent="0.2">
      <c r="A10" s="87">
        <v>78026</v>
      </c>
      <c r="B10" s="368">
        <f>8690+1053+1898+2176+2548+3000+2563+2563</f>
        <v>24491</v>
      </c>
      <c r="C10" s="90">
        <v>33692</v>
      </c>
      <c r="D10" s="90">
        <f t="shared" si="0"/>
        <v>9201</v>
      </c>
      <c r="E10" s="286"/>
      <c r="F10" s="284"/>
    </row>
    <row r="11" spans="1:13" x14ac:dyDescent="0.2">
      <c r="A11" s="87">
        <v>500084</v>
      </c>
      <c r="B11" s="368">
        <v>-7609</v>
      </c>
      <c r="C11" s="90">
        <v>-18000</v>
      </c>
      <c r="D11" s="90">
        <f t="shared" si="0"/>
        <v>-10391</v>
      </c>
      <c r="E11" s="287"/>
      <c r="F11" s="284"/>
    </row>
    <row r="12" spans="1:13" x14ac:dyDescent="0.2">
      <c r="A12" s="336">
        <v>500085</v>
      </c>
      <c r="B12" s="368"/>
      <c r="C12" s="90"/>
      <c r="D12" s="90">
        <f t="shared" si="0"/>
        <v>0</v>
      </c>
      <c r="E12" s="286"/>
      <c r="F12" s="284"/>
    </row>
    <row r="13" spans="1:13" x14ac:dyDescent="0.2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">
      <c r="A14" s="87"/>
      <c r="B14" s="90"/>
      <c r="C14" s="90"/>
      <c r="D14" s="90"/>
      <c r="E14" s="286"/>
      <c r="F14" s="284"/>
    </row>
    <row r="15" spans="1:13" x14ac:dyDescent="0.2">
      <c r="A15" s="87"/>
      <c r="B15" s="90"/>
      <c r="C15" s="90"/>
      <c r="D15" s="90"/>
      <c r="E15" s="286"/>
      <c r="F15" s="284"/>
    </row>
    <row r="16" spans="1:13" x14ac:dyDescent="0.2">
      <c r="A16" s="87"/>
      <c r="B16" s="88"/>
      <c r="C16" s="88"/>
      <c r="D16" s="94"/>
      <c r="E16" s="286"/>
      <c r="F16" s="284"/>
    </row>
    <row r="17" spans="1:7" x14ac:dyDescent="0.2">
      <c r="A17" s="87"/>
      <c r="B17" s="88"/>
      <c r="C17" s="88"/>
      <c r="D17" s="88">
        <f>SUM(D5:D16)</f>
        <v>-92039</v>
      </c>
      <c r="E17" s="286"/>
      <c r="F17" s="284"/>
    </row>
    <row r="18" spans="1:7" x14ac:dyDescent="0.2">
      <c r="A18" s="87" t="s">
        <v>84</v>
      </c>
      <c r="B18" s="88"/>
      <c r="C18" s="88"/>
      <c r="D18" s="95">
        <f>+summary!H4</f>
        <v>2.77</v>
      </c>
      <c r="E18" s="288"/>
      <c r="F18" s="284"/>
    </row>
    <row r="19" spans="1:7" x14ac:dyDescent="0.2">
      <c r="A19" s="87"/>
      <c r="B19" s="88"/>
      <c r="C19" s="88"/>
      <c r="D19" s="96">
        <f>+D18*D17</f>
        <v>-254948.03</v>
      </c>
      <c r="E19" s="209"/>
      <c r="F19" s="285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">
      <c r="A22" s="87"/>
      <c r="B22" s="88"/>
      <c r="C22" s="88"/>
      <c r="D22" s="324"/>
      <c r="E22" s="209"/>
      <c r="F22" s="66"/>
    </row>
    <row r="23" spans="1:7" ht="13.5" thickBot="1" x14ac:dyDescent="0.25">
      <c r="A23" s="99">
        <v>37090</v>
      </c>
      <c r="B23" s="88"/>
      <c r="C23" s="88"/>
      <c r="D23" s="337">
        <f>+D21+D19</f>
        <v>437920.28</v>
      </c>
      <c r="E23" s="209"/>
      <c r="F23" s="66"/>
    </row>
    <row r="24" spans="1:7" ht="13.5" thickTop="1" x14ac:dyDescent="0.2">
      <c r="E24" s="289"/>
    </row>
    <row r="25" spans="1:7" x14ac:dyDescent="0.2">
      <c r="E25" s="28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7"/>
      <c r="E36" s="69"/>
      <c r="F36" s="70"/>
      <c r="G36" s="32"/>
    </row>
    <row r="37" spans="1:7" x14ac:dyDescent="0.2">
      <c r="B37" s="69"/>
      <c r="C37" s="69"/>
      <c r="D37" s="307"/>
      <c r="E37" s="69"/>
      <c r="F37" s="70"/>
      <c r="G37" s="32"/>
    </row>
    <row r="38" spans="1:7" x14ac:dyDescent="0.2">
      <c r="B38" s="69"/>
      <c r="C38" s="69"/>
      <c r="D38" s="307"/>
      <c r="E38" s="69"/>
      <c r="F38" s="70"/>
      <c r="G38" s="32"/>
    </row>
    <row r="39" spans="1:7" x14ac:dyDescent="0.2">
      <c r="B39" s="69"/>
      <c r="C39" s="69"/>
      <c r="D39" s="307"/>
      <c r="E39" s="69"/>
      <c r="F39" s="70"/>
      <c r="G39" s="32"/>
    </row>
    <row r="40" spans="1:7" x14ac:dyDescent="0.2">
      <c r="B40" s="69"/>
      <c r="C40" s="69"/>
      <c r="D40" s="307"/>
      <c r="E40" s="69"/>
      <c r="F40" s="70"/>
      <c r="G40" s="32"/>
    </row>
    <row r="41" spans="1:7" x14ac:dyDescent="0.2">
      <c r="B41" s="69"/>
      <c r="C41" s="69"/>
      <c r="D41" s="307"/>
      <c r="E41" s="69"/>
      <c r="F41" s="70"/>
      <c r="G41" s="32"/>
    </row>
    <row r="42" spans="1:7" x14ac:dyDescent="0.2">
      <c r="B42" s="69"/>
      <c r="C42" s="69"/>
      <c r="D42" s="307"/>
      <c r="E42" s="69"/>
      <c r="F42" s="70"/>
      <c r="G42" s="32"/>
    </row>
    <row r="43" spans="1:7" x14ac:dyDescent="0.2">
      <c r="B43" s="69"/>
      <c r="C43" s="69"/>
      <c r="D43" s="307"/>
      <c r="E43" s="69"/>
      <c r="F43" s="70"/>
      <c r="G43" s="32"/>
    </row>
    <row r="44" spans="1:7" x14ac:dyDescent="0.2">
      <c r="B44" s="69"/>
      <c r="C44" s="69"/>
      <c r="D44" s="308"/>
      <c r="E44" s="286"/>
      <c r="F44" s="284"/>
      <c r="G44" s="206"/>
    </row>
    <row r="45" spans="1:7" x14ac:dyDescent="0.2">
      <c r="B45" s="69"/>
      <c r="C45" s="69"/>
      <c r="D45" s="308"/>
      <c r="E45" s="286"/>
      <c r="F45" s="284"/>
      <c r="G45" s="206"/>
    </row>
    <row r="46" spans="1:7" x14ac:dyDescent="0.2">
      <c r="A46" s="32"/>
      <c r="B46" s="69"/>
      <c r="C46" s="69"/>
      <c r="D46" s="286"/>
      <c r="E46" s="286"/>
      <c r="F46" s="284"/>
      <c r="G46" s="206"/>
    </row>
    <row r="47" spans="1:7" x14ac:dyDescent="0.2">
      <c r="A47" s="32"/>
      <c r="B47" s="69"/>
      <c r="C47" s="69"/>
      <c r="D47" s="288"/>
      <c r="E47" s="288"/>
      <c r="F47" s="284"/>
      <c r="G47" s="206"/>
    </row>
    <row r="48" spans="1:7" x14ac:dyDescent="0.2">
      <c r="B48" s="69"/>
      <c r="C48" s="69"/>
      <c r="D48" s="286"/>
      <c r="E48" s="286"/>
      <c r="F48" s="285"/>
      <c r="G48" s="206"/>
    </row>
    <row r="49" spans="1:7" x14ac:dyDescent="0.2">
      <c r="B49" s="69"/>
      <c r="C49" s="69"/>
      <c r="D49" s="286"/>
      <c r="E49" s="286"/>
      <c r="F49" s="285"/>
      <c r="G49" s="206"/>
    </row>
    <row r="50" spans="1:7" x14ac:dyDescent="0.2">
      <c r="C50" s="304"/>
      <c r="D50" s="304"/>
      <c r="E50" s="304"/>
      <c r="F50" s="305"/>
      <c r="G50" s="306"/>
    </row>
    <row r="51" spans="1:7" x14ac:dyDescent="0.2">
      <c r="A51" s="32"/>
      <c r="C51" s="304"/>
      <c r="D51" s="304"/>
      <c r="E51" s="304"/>
      <c r="F51" s="305"/>
    </row>
    <row r="52" spans="1:7" x14ac:dyDescent="0.2">
      <c r="A52" s="32"/>
      <c r="C52" s="304"/>
      <c r="D52" s="304"/>
      <c r="E52" s="304"/>
      <c r="F52" s="305"/>
    </row>
    <row r="53" spans="1:7" x14ac:dyDescent="0.2">
      <c r="A53" s="32"/>
      <c r="C53" s="304"/>
      <c r="D53" s="304"/>
      <c r="E53" s="304"/>
      <c r="F53" s="305"/>
    </row>
    <row r="54" spans="1:7" x14ac:dyDescent="0.2">
      <c r="A54" s="32"/>
      <c r="C54" s="304"/>
      <c r="D54" s="304"/>
      <c r="E54" s="304"/>
      <c r="F54" s="305"/>
    </row>
    <row r="55" spans="1:7" x14ac:dyDescent="0.2">
      <c r="A55" s="32"/>
      <c r="C55" s="304"/>
      <c r="D55" s="304"/>
      <c r="E55" s="289"/>
      <c r="F55" s="289"/>
    </row>
    <row r="56" spans="1:7" x14ac:dyDescent="0.2">
      <c r="C56" s="304"/>
      <c r="D56" s="304"/>
      <c r="E56" s="289"/>
      <c r="F56" s="289"/>
    </row>
    <row r="57" spans="1:7" x14ac:dyDescent="0.2">
      <c r="C57" s="304"/>
      <c r="D57" s="304"/>
      <c r="E57" s="289"/>
      <c r="F57" s="289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17" workbookViewId="3">
      <selection activeCell="C21" sqref="C21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">
      <c r="A21">
        <v>19</v>
      </c>
      <c r="B21" s="350"/>
      <c r="C21" s="350"/>
      <c r="D21" s="14"/>
      <c r="E21" s="14"/>
      <c r="F21" s="90">
        <f t="shared" si="0"/>
        <v>0</v>
      </c>
    </row>
    <row r="22" spans="1:6" x14ac:dyDescent="0.2">
      <c r="A22">
        <v>20</v>
      </c>
      <c r="B22" s="350"/>
      <c r="C22" s="350"/>
      <c r="D22" s="14"/>
      <c r="E22" s="14"/>
      <c r="F22" s="90">
        <f t="shared" si="0"/>
        <v>0</v>
      </c>
    </row>
    <row r="23" spans="1:6" x14ac:dyDescent="0.2">
      <c r="A23">
        <v>21</v>
      </c>
      <c r="B23" s="350"/>
      <c r="C23" s="350"/>
      <c r="D23" s="14"/>
      <c r="E23" s="14"/>
      <c r="F23" s="90">
        <f t="shared" si="0"/>
        <v>0</v>
      </c>
    </row>
    <row r="24" spans="1:6" x14ac:dyDescent="0.2">
      <c r="A24">
        <v>22</v>
      </c>
      <c r="B24" s="350"/>
      <c r="C24" s="350"/>
      <c r="D24" s="14"/>
      <c r="E24" s="14"/>
      <c r="F24" s="90">
        <f t="shared" si="0"/>
        <v>0</v>
      </c>
    </row>
    <row r="25" spans="1:6" x14ac:dyDescent="0.2">
      <c r="A25">
        <v>23</v>
      </c>
      <c r="B25" s="350"/>
      <c r="C25" s="350"/>
      <c r="D25" s="14"/>
      <c r="E25" s="14"/>
      <c r="F25" s="90">
        <f t="shared" si="0"/>
        <v>0</v>
      </c>
    </row>
    <row r="26" spans="1:6" x14ac:dyDescent="0.2">
      <c r="A26">
        <v>24</v>
      </c>
      <c r="B26" s="350"/>
      <c r="C26" s="350"/>
      <c r="D26" s="14"/>
      <c r="E26" s="14"/>
      <c r="F26" s="90">
        <f t="shared" si="0"/>
        <v>0</v>
      </c>
    </row>
    <row r="27" spans="1:6" x14ac:dyDescent="0.2">
      <c r="A27">
        <v>25</v>
      </c>
      <c r="B27" s="350"/>
      <c r="C27" s="350"/>
      <c r="D27" s="14"/>
      <c r="E27" s="14"/>
      <c r="F27" s="90">
        <f t="shared" si="0"/>
        <v>0</v>
      </c>
    </row>
    <row r="28" spans="1:6" x14ac:dyDescent="0.2">
      <c r="A28">
        <v>26</v>
      </c>
      <c r="B28" s="350"/>
      <c r="C28" s="350"/>
      <c r="D28" s="14"/>
      <c r="E28" s="14"/>
      <c r="F28" s="90">
        <f t="shared" si="0"/>
        <v>0</v>
      </c>
    </row>
    <row r="29" spans="1:6" x14ac:dyDescent="0.2">
      <c r="A29">
        <v>27</v>
      </c>
      <c r="B29" s="350"/>
      <c r="C29" s="350"/>
      <c r="D29" s="14"/>
      <c r="E29" s="14"/>
      <c r="F29" s="90">
        <f t="shared" si="0"/>
        <v>0</v>
      </c>
    </row>
    <row r="30" spans="1:6" x14ac:dyDescent="0.2">
      <c r="A30">
        <v>28</v>
      </c>
      <c r="B30" s="350"/>
      <c r="C30" s="350"/>
      <c r="D30" s="14"/>
      <c r="E30" s="14"/>
      <c r="F30" s="90">
        <f t="shared" si="0"/>
        <v>0</v>
      </c>
    </row>
    <row r="31" spans="1:6" x14ac:dyDescent="0.2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">
      <c r="B34" s="298">
        <f>SUM(B3:B33)</f>
        <v>843656</v>
      </c>
      <c r="C34" s="298">
        <f>SUM(C3:C33)</f>
        <v>789904</v>
      </c>
      <c r="D34" s="14">
        <f>SUM(D3:D33)</f>
        <v>-1</v>
      </c>
      <c r="E34" s="14">
        <f>SUM(E3:E33)</f>
        <v>0</v>
      </c>
      <c r="F34" s="14">
        <f>SUM(F3:F33)</f>
        <v>-53751</v>
      </c>
    </row>
    <row r="35" spans="1:6" x14ac:dyDescent="0.2">
      <c r="D35" s="14"/>
      <c r="E35" s="14"/>
      <c r="F35" s="14"/>
    </row>
    <row r="36" spans="1:6" x14ac:dyDescent="0.2">
      <c r="F36" s="354"/>
    </row>
    <row r="37" spans="1:6" x14ac:dyDescent="0.2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">
      <c r="A38" s="264">
        <v>37090</v>
      </c>
      <c r="B38" s="14"/>
      <c r="C38" s="14"/>
      <c r="D38" s="14"/>
      <c r="E38" s="14"/>
      <c r="F38" s="150">
        <f>+F37+F34</f>
        <v>138587</v>
      </c>
    </row>
    <row r="39" spans="1:6" x14ac:dyDescent="0.2">
      <c r="F39" s="306"/>
    </row>
    <row r="40" spans="1:6" x14ac:dyDescent="0.2">
      <c r="F40" s="306"/>
    </row>
    <row r="41" spans="1:6" x14ac:dyDescent="0.2">
      <c r="F41" s="306"/>
    </row>
    <row r="42" spans="1:6" x14ac:dyDescent="0.2">
      <c r="F42" s="306"/>
    </row>
    <row r="43" spans="1:6" x14ac:dyDescent="0.2">
      <c r="F43" s="306"/>
    </row>
    <row r="44" spans="1:6" x14ac:dyDescent="0.2">
      <c r="F44" s="306"/>
    </row>
    <row r="45" spans="1:6" x14ac:dyDescent="0.2">
      <c r="F45" s="306"/>
    </row>
    <row r="46" spans="1:6" x14ac:dyDescent="0.2">
      <c r="F46" s="306"/>
    </row>
    <row r="47" spans="1:6" x14ac:dyDescent="0.2">
      <c r="F47" s="306"/>
    </row>
    <row r="48" spans="1:6" x14ac:dyDescent="0.2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A41" sqref="A41"/>
    </sheetView>
  </sheetViews>
  <sheetFormatPr defaultRowHeight="12.75" x14ac:dyDescent="0.2"/>
  <cols>
    <col min="2" max="2" width="9.285156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-721313</v>
      </c>
      <c r="C35" s="11">
        <f>SUM(C4:C34)</f>
        <v>-723738</v>
      </c>
      <c r="D35" s="11">
        <f>SUM(D4:D34)</f>
        <v>-2425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37072</v>
      </c>
      <c r="D38" s="380">
        <v>133095</v>
      </c>
    </row>
    <row r="39" spans="1:4" x14ac:dyDescent="0.2">
      <c r="A39" s="2"/>
      <c r="D39" s="24"/>
    </row>
    <row r="40" spans="1:4" x14ac:dyDescent="0.2">
      <c r="A40" s="57">
        <v>37090</v>
      </c>
      <c r="D40" s="51">
        <f>+D38+D35</f>
        <v>130670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workbookViewId="3">
      <selection activeCell="E22" sqref="E2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445846</v>
      </c>
      <c r="C35" s="11">
        <f t="shared" ref="C35:I35" si="1">SUM(C4:C34)</f>
        <v>425939</v>
      </c>
      <c r="D35" s="11">
        <f t="shared" si="1"/>
        <v>160775</v>
      </c>
      <c r="E35" s="11">
        <f t="shared" si="1"/>
        <v>157518</v>
      </c>
      <c r="F35" s="11">
        <f t="shared" si="1"/>
        <v>32974</v>
      </c>
      <c r="G35" s="11">
        <f t="shared" si="1"/>
        <v>24000</v>
      </c>
      <c r="H35" s="11">
        <f t="shared" si="1"/>
        <v>1474</v>
      </c>
      <c r="I35" s="11">
        <f t="shared" si="1"/>
        <v>1474</v>
      </c>
      <c r="J35" s="11">
        <f>SUM(J4:J34)</f>
        <v>-32138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2.77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-89022.26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3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40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37090</v>
      </c>
      <c r="J41" s="340">
        <f>+J39+J37</f>
        <v>245024.72999999998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3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5" workbookViewId="3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40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-31429</v>
      </c>
      <c r="E9" s="24">
        <v>-37675</v>
      </c>
      <c r="F9" s="24">
        <f t="shared" si="0"/>
        <v>-6246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-55515</v>
      </c>
      <c r="E11" s="24">
        <v>-53290</v>
      </c>
      <c r="F11" s="24">
        <f t="shared" si="0"/>
        <v>2225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3">
        <v>-54660</v>
      </c>
      <c r="E12" s="24">
        <v>-54207</v>
      </c>
      <c r="F12" s="24">
        <f t="shared" si="0"/>
        <v>453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-64278</v>
      </c>
      <c r="E13" s="24">
        <v>-65832</v>
      </c>
      <c r="F13" s="24">
        <f t="shared" si="0"/>
        <v>-1554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-1025328</v>
      </c>
      <c r="E37" s="24">
        <f>SUM(E6:E36)</f>
        <v>-1036598</v>
      </c>
      <c r="F37" s="24">
        <f>SUM(F6:F36)</f>
        <v>-11270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2.77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-31217.9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37090</v>
      </c>
      <c r="E41" s="14"/>
      <c r="F41" s="104">
        <f>+F40+F39</f>
        <v>524235.18999999994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5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4" workbookViewId="3">
      <selection activeCell="A42" sqref="A42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">
      <c r="A40" s="26"/>
      <c r="C40" s="14"/>
      <c r="F40" s="261">
        <f>+summary!H4</f>
        <v>2.77</v>
      </c>
    </row>
    <row r="41" spans="1:6" x14ac:dyDescent="0.2">
      <c r="F41" s="138">
        <f>+F40*F39</f>
        <v>-839.31000000000006</v>
      </c>
    </row>
    <row r="42" spans="1:6" x14ac:dyDescent="0.2">
      <c r="A42" s="57">
        <v>37072</v>
      </c>
      <c r="C42" s="15"/>
      <c r="F42" s="375">
        <v>-13969.77</v>
      </c>
    </row>
    <row r="43" spans="1:6" x14ac:dyDescent="0.2">
      <c r="A43" s="57">
        <v>37090</v>
      </c>
      <c r="C43" s="48"/>
      <c r="F43" s="138">
        <f>+F42+F41</f>
        <v>-14809.08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261">
        <f>+summary!H4</f>
        <v>2.77</v>
      </c>
    </row>
    <row r="41" spans="1:4" x14ac:dyDescent="0.2">
      <c r="D41" s="138">
        <f>+D40*D39</f>
        <v>0</v>
      </c>
    </row>
    <row r="42" spans="1:4" x14ac:dyDescent="0.2">
      <c r="A42" s="57">
        <v>37072</v>
      </c>
      <c r="C42" s="15"/>
      <c r="D42" s="375">
        <v>326755</v>
      </c>
    </row>
    <row r="43" spans="1:4" x14ac:dyDescent="0.2">
      <c r="A43" s="57">
        <v>37090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1" workbookViewId="3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136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">
      <c r="A8" s="10">
        <v>3</v>
      </c>
      <c r="B8" s="11">
        <v>-74100</v>
      </c>
      <c r="C8" s="11">
        <v>-50000</v>
      </c>
      <c r="D8" s="25">
        <f t="shared" si="0"/>
        <v>24100</v>
      </c>
    </row>
    <row r="9" spans="1:4" x14ac:dyDescent="0.2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">
      <c r="A13" s="10">
        <v>8</v>
      </c>
      <c r="B13" s="11">
        <v>-77368</v>
      </c>
      <c r="C13" s="11">
        <v>-65294</v>
      </c>
      <c r="D13" s="25">
        <f t="shared" si="0"/>
        <v>12074</v>
      </c>
    </row>
    <row r="14" spans="1:4" x14ac:dyDescent="0.2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">
      <c r="A19" s="10">
        <v>14</v>
      </c>
      <c r="B19" s="11">
        <v>-40812</v>
      </c>
      <c r="C19" s="11">
        <v>-48975</v>
      </c>
      <c r="D19" s="25">
        <f t="shared" si="0"/>
        <v>-8163</v>
      </c>
    </row>
    <row r="20" spans="1:4" x14ac:dyDescent="0.2">
      <c r="A20" s="10">
        <v>15</v>
      </c>
      <c r="B20" s="11">
        <v>-66605</v>
      </c>
      <c r="C20" s="11">
        <v>-30000</v>
      </c>
      <c r="D20" s="25">
        <f t="shared" si="0"/>
        <v>36605</v>
      </c>
    </row>
    <row r="21" spans="1:4" x14ac:dyDescent="0.2">
      <c r="A21" s="10">
        <v>16</v>
      </c>
      <c r="B21" s="11">
        <v>-67805</v>
      </c>
      <c r="C21" s="11">
        <v>-53655</v>
      </c>
      <c r="D21" s="25">
        <f t="shared" si="0"/>
        <v>14150</v>
      </c>
    </row>
    <row r="22" spans="1:4" x14ac:dyDescent="0.2">
      <c r="A22" s="10">
        <v>17</v>
      </c>
      <c r="B22" s="11">
        <v>-73221</v>
      </c>
      <c r="C22" s="11">
        <v>-50000</v>
      </c>
      <c r="D22" s="25">
        <f t="shared" si="0"/>
        <v>23221</v>
      </c>
    </row>
    <row r="23" spans="1:4" x14ac:dyDescent="0.2">
      <c r="A23" s="10">
        <v>18</v>
      </c>
      <c r="B23" s="11">
        <v>-62021</v>
      </c>
      <c r="C23" s="11">
        <v>-68300</v>
      </c>
      <c r="D23" s="25">
        <f t="shared" si="0"/>
        <v>-6279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-1116245</v>
      </c>
      <c r="C37" s="11">
        <f>SUM(C6:C36)</f>
        <v>-977648</v>
      </c>
      <c r="D37" s="25">
        <f>SUM(D6:D36)</f>
        <v>138597</v>
      </c>
    </row>
    <row r="38" spans="1:4" x14ac:dyDescent="0.2">
      <c r="A38" s="26"/>
      <c r="C38" s="14"/>
      <c r="D38" s="349">
        <f>+summary!H4</f>
        <v>2.77</v>
      </c>
    </row>
    <row r="39" spans="1:4" x14ac:dyDescent="0.2">
      <c r="D39" s="138">
        <f>+D38*D37</f>
        <v>383913.69</v>
      </c>
    </row>
    <row r="40" spans="1:4" x14ac:dyDescent="0.2">
      <c r="A40" s="57">
        <v>37072</v>
      </c>
      <c r="C40" s="15"/>
      <c r="D40" s="375">
        <v>-372693.65</v>
      </c>
    </row>
    <row r="41" spans="1:4" x14ac:dyDescent="0.2">
      <c r="A41" s="57">
        <v>37090</v>
      </c>
      <c r="C41" s="48"/>
      <c r="D41" s="138">
        <f>+D40+D39</f>
        <v>11220.039999999979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1" workbookViewId="3">
      <selection activeCell="A42" sqref="A42"/>
    </sheetView>
  </sheetViews>
  <sheetFormatPr defaultRowHeight="12.75" x14ac:dyDescent="0.2"/>
  <sheetData>
    <row r="3" spans="1:4" ht="15" x14ac:dyDescent="0.25">
      <c r="A3" s="134"/>
      <c r="B3" s="34" t="s">
        <v>134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680567</v>
      </c>
      <c r="C37" s="11">
        <f>SUM(C6:C36)</f>
        <v>639844</v>
      </c>
      <c r="D37" s="25">
        <f>SUM(D6:D36)</f>
        <v>-40723</v>
      </c>
    </row>
    <row r="38" spans="1:4" x14ac:dyDescent="0.2">
      <c r="A38" s="26"/>
      <c r="C38" s="14"/>
      <c r="D38" s="349">
        <f>+summary!H5</f>
        <v>2.96</v>
      </c>
    </row>
    <row r="39" spans="1:4" x14ac:dyDescent="0.2">
      <c r="D39" s="138">
        <f>+D38*D37</f>
        <v>-120540.08</v>
      </c>
    </row>
    <row r="40" spans="1:4" x14ac:dyDescent="0.2">
      <c r="A40" s="57">
        <v>37072</v>
      </c>
      <c r="C40" s="15"/>
      <c r="D40" s="375">
        <v>-47511.02</v>
      </c>
    </row>
    <row r="41" spans="1:4" x14ac:dyDescent="0.2">
      <c r="A41" s="57">
        <v>37090</v>
      </c>
      <c r="C41" s="48"/>
      <c r="D41" s="138">
        <f>+D40+D39</f>
        <v>-168051.1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E23" sqref="E23"/>
    </sheetView>
    <sheetView topLeftCell="A26" workbookViewId="2">
      <selection activeCell="J38" sqref="J38"/>
    </sheetView>
    <sheetView workbookViewId="3">
      <selection activeCell="A41" sqref="A41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206183</v>
      </c>
      <c r="C19" s="11">
        <v>200001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-2703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336728</v>
      </c>
      <c r="C21" s="11">
        <v>336000</v>
      </c>
      <c r="D21" s="11">
        <v>25436</v>
      </c>
      <c r="E21" s="11">
        <v>24500</v>
      </c>
      <c r="F21" s="11">
        <v>84593</v>
      </c>
      <c r="G21" s="11">
        <v>84000</v>
      </c>
      <c r="H21" s="11">
        <v>133642</v>
      </c>
      <c r="I21" s="11">
        <v>123524</v>
      </c>
      <c r="J21" s="11">
        <f t="shared" si="0"/>
        <v>-12375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279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5418008</v>
      </c>
      <c r="C35" s="11">
        <f t="shared" ref="C35:I35" si="1">SUM(C4:C34)</f>
        <v>5577997</v>
      </c>
      <c r="D35" s="11">
        <f t="shared" si="1"/>
        <v>1202601</v>
      </c>
      <c r="E35" s="11">
        <f t="shared" si="1"/>
        <v>1037705</v>
      </c>
      <c r="F35" s="11">
        <f t="shared" si="1"/>
        <v>1387667</v>
      </c>
      <c r="G35" s="11">
        <f t="shared" si="1"/>
        <v>1473094</v>
      </c>
      <c r="H35" s="11">
        <f t="shared" si="1"/>
        <v>1693953</v>
      </c>
      <c r="I35" s="11">
        <f t="shared" si="1"/>
        <v>1648826</v>
      </c>
      <c r="J35" s="11">
        <f>SUM(J4:J34)</f>
        <v>35393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37090</v>
      </c>
      <c r="J40" s="51">
        <f>+J38+J35</f>
        <v>321724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8" workbookViewId="3">
      <selection activeCell="B46" sqref="B46"/>
    </sheetView>
  </sheetViews>
  <sheetFormatPr defaultRowHeight="12.75" x14ac:dyDescent="0.2"/>
  <sheetData>
    <row r="3" spans="1:4" ht="15" x14ac:dyDescent="0.25">
      <c r="A3" s="134"/>
      <c r="B3" s="34" t="s">
        <v>137</v>
      </c>
    </row>
    <row r="4" spans="1:4" x14ac:dyDescent="0.2">
      <c r="A4" s="3"/>
      <c r="B4" s="59" t="s">
        <v>138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">
      <c r="A23" s="10">
        <v>18</v>
      </c>
      <c r="B23" s="11">
        <v>54414</v>
      </c>
      <c r="C23" s="11">
        <v>55683</v>
      </c>
      <c r="D23" s="25">
        <f t="shared" si="0"/>
        <v>1269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1100540</v>
      </c>
      <c r="C37" s="11">
        <f>SUM(C6:C36)</f>
        <v>1122144</v>
      </c>
      <c r="D37" s="25">
        <f>SUM(D6:D36)</f>
        <v>21604</v>
      </c>
    </row>
    <row r="38" spans="1:4" x14ac:dyDescent="0.2">
      <c r="A38" s="26"/>
      <c r="C38" s="14"/>
      <c r="D38" s="349">
        <f>+summary!H5</f>
        <v>2.96</v>
      </c>
    </row>
    <row r="39" spans="1:4" x14ac:dyDescent="0.2">
      <c r="D39" s="138">
        <f>+D38*D37</f>
        <v>63947.839999999997</v>
      </c>
    </row>
    <row r="40" spans="1:4" x14ac:dyDescent="0.2">
      <c r="A40" s="57">
        <v>37072</v>
      </c>
      <c r="C40" s="15"/>
      <c r="D40" s="375">
        <v>0</v>
      </c>
    </row>
    <row r="41" spans="1:4" x14ac:dyDescent="0.2">
      <c r="A41" s="57">
        <v>37090</v>
      </c>
      <c r="C41" s="48"/>
      <c r="D41" s="138">
        <f>+D40+D39</f>
        <v>63947.839999999997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8" sqref="C38"/>
    </sheetView>
  </sheetViews>
  <sheetFormatPr defaultRowHeight="12.75" x14ac:dyDescent="0.2"/>
  <sheetData>
    <row r="3" spans="1:5" ht="15" x14ac:dyDescent="0.25">
      <c r="A3" s="134"/>
      <c r="B3" s="3" t="s">
        <v>139</v>
      </c>
      <c r="C3" s="87"/>
      <c r="D3" s="87"/>
      <c r="E3" s="87"/>
    </row>
    <row r="4" spans="1:5" x14ac:dyDescent="0.2">
      <c r="A4" s="3"/>
      <c r="B4" s="351" t="s">
        <v>140</v>
      </c>
      <c r="C4" s="87"/>
      <c r="D4" s="3"/>
      <c r="E4" s="87"/>
    </row>
    <row r="5" spans="1:5" x14ac:dyDescent="0.2">
      <c r="A5" s="5" t="s">
        <v>11</v>
      </c>
      <c r="B5" s="6" t="s">
        <v>20</v>
      </c>
      <c r="C5" s="6" t="s">
        <v>21</v>
      </c>
    </row>
    <row r="6" spans="1:5" x14ac:dyDescent="0.2">
      <c r="A6" s="10">
        <v>1</v>
      </c>
      <c r="B6" s="11"/>
      <c r="C6" s="11">
        <v>-2198</v>
      </c>
      <c r="D6" s="25">
        <f>+C6-B6</f>
        <v>-2198</v>
      </c>
    </row>
    <row r="7" spans="1:5" x14ac:dyDescent="0.2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-26586</v>
      </c>
      <c r="C37" s="11">
        <f>SUM(C6:C36)</f>
        <v>-39408</v>
      </c>
      <c r="D37" s="25">
        <f>SUM(D6:D36)</f>
        <v>-12822</v>
      </c>
    </row>
    <row r="38" spans="1:4" x14ac:dyDescent="0.2">
      <c r="A38" s="26"/>
      <c r="C38" s="14"/>
      <c r="D38" s="349">
        <f>+summary!H4</f>
        <v>2.77</v>
      </c>
    </row>
    <row r="39" spans="1:4" x14ac:dyDescent="0.2">
      <c r="D39" s="138">
        <f>+D38*D37</f>
        <v>-35516.94</v>
      </c>
    </row>
    <row r="40" spans="1:4" x14ac:dyDescent="0.2">
      <c r="A40" s="57">
        <v>37072</v>
      </c>
      <c r="C40" s="15"/>
      <c r="D40" s="375">
        <v>-354102.16</v>
      </c>
    </row>
    <row r="41" spans="1:4" x14ac:dyDescent="0.2">
      <c r="A41" s="57">
        <v>37090</v>
      </c>
      <c r="C41" s="48"/>
      <c r="D41" s="138">
        <f>+D40+D39</f>
        <v>-389619.1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B50" sqref="B5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146</v>
      </c>
      <c r="C3" s="87"/>
      <c r="D3" s="87"/>
    </row>
    <row r="4" spans="1:4" x14ac:dyDescent="0.2">
      <c r="A4" s="3"/>
      <c r="B4" s="351" t="s">
        <v>142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-349</v>
      </c>
      <c r="C37" s="11">
        <f>SUM(C6:C36)</f>
        <v>0</v>
      </c>
      <c r="D37" s="25">
        <f>SUM(D6:D36)</f>
        <v>349</v>
      </c>
    </row>
    <row r="38" spans="1:4" x14ac:dyDescent="0.2">
      <c r="A38" s="26"/>
      <c r="C38" s="14"/>
      <c r="D38" s="349">
        <f>+summary!H4</f>
        <v>2.77</v>
      </c>
    </row>
    <row r="39" spans="1:4" x14ac:dyDescent="0.2">
      <c r="D39" s="138">
        <f>+D38*D37</f>
        <v>966.73</v>
      </c>
    </row>
    <row r="40" spans="1:4" x14ac:dyDescent="0.2">
      <c r="A40" s="57">
        <v>37072</v>
      </c>
      <c r="C40" s="15"/>
      <c r="D40" s="375">
        <v>-216141.13</v>
      </c>
    </row>
    <row r="41" spans="1:4" x14ac:dyDescent="0.2">
      <c r="A41" s="57">
        <v>37090</v>
      </c>
      <c r="C41" s="48"/>
      <c r="D41" s="138">
        <f>+D40+D39</f>
        <v>-215174.39999999999</v>
      </c>
    </row>
    <row r="42" spans="1:4" x14ac:dyDescent="0.2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141</v>
      </c>
      <c r="B3" s="88"/>
      <c r="C3" s="266"/>
      <c r="D3" s="88"/>
    </row>
    <row r="4" spans="1:13" x14ac:dyDescent="0.2">
      <c r="A4" s="87"/>
      <c r="B4" s="262" t="s">
        <v>20</v>
      </c>
      <c r="C4" s="262" t="s">
        <v>21</v>
      </c>
      <c r="D4" s="263" t="s">
        <v>51</v>
      </c>
    </row>
    <row r="5" spans="1:13" x14ac:dyDescent="0.2">
      <c r="A5" s="87">
        <v>56659</v>
      </c>
      <c r="B5" s="346">
        <v>-6699</v>
      </c>
      <c r="C5" s="90">
        <v>-7858</v>
      </c>
      <c r="D5" s="90">
        <f>+C5-B5</f>
        <v>-1159</v>
      </c>
      <c r="E5" s="286"/>
      <c r="F5" s="284"/>
    </row>
    <row r="6" spans="1:13" x14ac:dyDescent="0.2">
      <c r="A6" s="87">
        <v>500046</v>
      </c>
      <c r="B6" s="90">
        <v>-479</v>
      </c>
      <c r="C6" s="90"/>
      <c r="D6" s="90">
        <f t="shared" ref="D6:D11" si="0">+C6-B6</f>
        <v>479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">
      <c r="A12" s="87"/>
      <c r="B12" s="88"/>
      <c r="C12" s="88"/>
      <c r="D12" s="88">
        <f>SUM(D5:D11)</f>
        <v>-777</v>
      </c>
      <c r="E12" s="286"/>
      <c r="F12" s="284"/>
    </row>
    <row r="13" spans="1:13" x14ac:dyDescent="0.2">
      <c r="A13" s="87" t="s">
        <v>84</v>
      </c>
      <c r="B13" s="88"/>
      <c r="C13" s="88"/>
      <c r="D13" s="95">
        <f>+summary!H4</f>
        <v>2.77</v>
      </c>
      <c r="E13" s="288"/>
      <c r="F13" s="284"/>
    </row>
    <row r="14" spans="1:13" x14ac:dyDescent="0.2">
      <c r="A14" s="87"/>
      <c r="B14" s="88"/>
      <c r="C14" s="88"/>
      <c r="D14" s="96">
        <f>+D13*D12</f>
        <v>-2152.29</v>
      </c>
      <c r="E14" s="209"/>
      <c r="F14" s="285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">
      <c r="A17" s="87"/>
      <c r="B17" s="88"/>
      <c r="C17" s="88"/>
      <c r="D17" s="324"/>
      <c r="E17" s="209"/>
      <c r="F17" s="66"/>
    </row>
    <row r="18" spans="1:7" ht="13.5" thickBot="1" x14ac:dyDescent="0.25">
      <c r="A18" s="99">
        <v>37090</v>
      </c>
      <c r="B18" s="88"/>
      <c r="C18" s="88"/>
      <c r="D18" s="337">
        <f>+D16+D14</f>
        <v>-878957.71000000008</v>
      </c>
      <c r="E18" s="209"/>
      <c r="F18" s="66"/>
    </row>
    <row r="19" spans="1:7" ht="13.5" thickTop="1" x14ac:dyDescent="0.2">
      <c r="E19" s="289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9" workbookViewId="3">
      <selection activeCell="D44" sqref="D44"/>
    </sheetView>
  </sheetViews>
  <sheetFormatPr defaultRowHeight="12.75" x14ac:dyDescent="0.2"/>
  <sheetData>
    <row r="3" spans="1:4" ht="15" x14ac:dyDescent="0.25">
      <c r="A3" s="134"/>
      <c r="B3" s="34" t="s">
        <v>149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>
        <v>-10000</v>
      </c>
      <c r="D6" s="25">
        <f>+C6-B6</f>
        <v>-10000</v>
      </c>
    </row>
    <row r="7" spans="1:4" x14ac:dyDescent="0.2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/>
      <c r="D10" s="25">
        <f t="shared" si="0"/>
        <v>0</v>
      </c>
    </row>
    <row r="11" spans="1:4" x14ac:dyDescent="0.2">
      <c r="A11" s="10">
        <v>6</v>
      </c>
      <c r="B11" s="11"/>
      <c r="C11" s="11"/>
      <c r="D11" s="25">
        <f t="shared" si="0"/>
        <v>0</v>
      </c>
    </row>
    <row r="12" spans="1:4" x14ac:dyDescent="0.2">
      <c r="A12" s="10">
        <v>7</v>
      </c>
      <c r="B12" s="11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-60600</v>
      </c>
      <c r="C37" s="11">
        <f>SUM(C6:C36)</f>
        <v>-66971</v>
      </c>
      <c r="D37" s="25">
        <f>SUM(D6:D36)</f>
        <v>-6371</v>
      </c>
    </row>
    <row r="38" spans="1:4" x14ac:dyDescent="0.2">
      <c r="A38" s="26"/>
      <c r="C38" s="14"/>
      <c r="D38" s="364"/>
    </row>
    <row r="39" spans="1:4" x14ac:dyDescent="0.2">
      <c r="D39" s="138"/>
    </row>
    <row r="40" spans="1:4" x14ac:dyDescent="0.2">
      <c r="A40" s="57">
        <v>37072</v>
      </c>
      <c r="C40" s="15"/>
      <c r="D40" s="372">
        <v>95102</v>
      </c>
    </row>
    <row r="41" spans="1:4" x14ac:dyDescent="0.2">
      <c r="A41" s="57">
        <v>37090</v>
      </c>
      <c r="C41" s="48"/>
      <c r="D41" s="25">
        <f>+D40+D37</f>
        <v>88731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A43" sqref="A43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1"/>
      <c r="C26" s="11"/>
      <c r="D26" s="25">
        <f t="shared" si="0"/>
        <v>0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2644250</v>
      </c>
      <c r="C38" s="11">
        <f>SUM(C7:C37)</f>
        <v>2637021</v>
      </c>
      <c r="D38" s="11">
        <f>SUM(D7:D37)</f>
        <v>-7229</v>
      </c>
    </row>
    <row r="39" spans="1:4" x14ac:dyDescent="0.2">
      <c r="A39" s="26"/>
      <c r="C39" s="14"/>
      <c r="D39" s="106">
        <f>+summary!H3</f>
        <v>2.42</v>
      </c>
    </row>
    <row r="40" spans="1:4" x14ac:dyDescent="0.2">
      <c r="D40" s="138">
        <f>+D39*D38</f>
        <v>-17494.18</v>
      </c>
    </row>
    <row r="41" spans="1:4" x14ac:dyDescent="0.2">
      <c r="A41" s="57">
        <v>37072</v>
      </c>
      <c r="C41" s="15"/>
      <c r="D41" s="384">
        <v>0</v>
      </c>
    </row>
    <row r="42" spans="1:4" x14ac:dyDescent="0.2">
      <c r="A42" s="57">
        <v>37090</v>
      </c>
      <c r="D42" s="340">
        <f>+D41+D40</f>
        <v>-17494.18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2" workbookViewId="3">
      <selection activeCell="C23" sqref="C2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-786026</v>
      </c>
      <c r="C36" s="44">
        <f>SUM(C5:C35)</f>
        <v>-258616</v>
      </c>
      <c r="D36" s="43">
        <f>SUM(D5:D35)</f>
        <v>-180158</v>
      </c>
      <c r="E36" s="44">
        <f>SUM(E5:E35)</f>
        <v>-710094</v>
      </c>
      <c r="F36" s="11">
        <f>SUM(F5:F35)</f>
        <v>-2526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-527410</v>
      </c>
      <c r="D37" s="24"/>
      <c r="E37" s="24">
        <f>+D36-E36</f>
        <v>529936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37090</v>
      </c>
      <c r="C42" s="14"/>
      <c r="D42" s="50"/>
      <c r="E42" s="50"/>
      <c r="F42" s="51">
        <f>+F41+F36</f>
        <v>66788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4" workbookViewId="3">
      <selection activeCell="B31" sqref="B3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">
      <c r="A22" s="10">
        <v>19</v>
      </c>
      <c r="B22" s="11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-2707219</v>
      </c>
      <c r="C35" s="11">
        <f>SUM(C4:C34)</f>
        <v>-2693489</v>
      </c>
      <c r="D35" s="11">
        <f>SUM(D4:D34)</f>
        <v>13730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50">
        <v>37072</v>
      </c>
      <c r="D38" s="380">
        <v>-12760</v>
      </c>
    </row>
    <row r="39" spans="1:30" x14ac:dyDescent="0.2">
      <c r="A39" s="12"/>
      <c r="D39" s="24"/>
    </row>
    <row r="40" spans="1:30" x14ac:dyDescent="0.2">
      <c r="A40" s="250">
        <v>37090</v>
      </c>
      <c r="D40" s="24">
        <f>+D38+D35</f>
        <v>970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4" workbookViewId="3">
      <selection activeCell="A41" sqref="A41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">
      <c r="A22" s="10">
        <v>19</v>
      </c>
      <c r="B22" s="11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1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-13833847</v>
      </c>
      <c r="C35" s="11">
        <f>SUM(C4:C34)</f>
        <v>-13797705</v>
      </c>
      <c r="D35" s="11">
        <f>SUM(D4:D34)</f>
        <v>-341708</v>
      </c>
      <c r="E35" s="11">
        <f>SUM(E4:E34)</f>
        <v>-330000</v>
      </c>
      <c r="F35" s="11">
        <f>SUM(F4:F34)</f>
        <v>47850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37072</v>
      </c>
      <c r="F38" s="376">
        <v>123192</v>
      </c>
    </row>
    <row r="39" spans="1:45" x14ac:dyDescent="0.2">
      <c r="A39" s="2"/>
      <c r="F39" s="24"/>
    </row>
    <row r="40" spans="1:45" x14ac:dyDescent="0.2">
      <c r="A40" s="57">
        <v>37090</v>
      </c>
      <c r="F40" s="51">
        <f>+F38+F35</f>
        <v>171042</v>
      </c>
    </row>
    <row r="42" spans="1:45" x14ac:dyDescent="0.2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8" workbookViewId="3">
      <selection activeCell="E49" sqref="E4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-140562</v>
      </c>
      <c r="C20" s="11">
        <v>-80925</v>
      </c>
      <c r="D20" s="11"/>
      <c r="E20" s="11">
        <v>-57792</v>
      </c>
      <c r="F20" s="11"/>
      <c r="G20" s="11"/>
      <c r="H20" s="11">
        <f t="shared" si="0"/>
        <v>-1845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-108058</v>
      </c>
      <c r="C21" s="11">
        <v>-55144</v>
      </c>
      <c r="D21" s="11"/>
      <c r="E21" s="11">
        <v>-51792</v>
      </c>
      <c r="F21" s="11"/>
      <c r="G21" s="11"/>
      <c r="H21" s="11">
        <f t="shared" si="0"/>
        <v>-1122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-2250427</v>
      </c>
      <c r="C35" s="44">
        <f t="shared" si="1"/>
        <v>-1541730</v>
      </c>
      <c r="D35" s="11">
        <f t="shared" si="1"/>
        <v>-470506</v>
      </c>
      <c r="E35" s="44">
        <f t="shared" si="1"/>
        <v>-1165895</v>
      </c>
      <c r="F35" s="11">
        <f t="shared" si="1"/>
        <v>0</v>
      </c>
      <c r="G35" s="11">
        <f t="shared" si="1"/>
        <v>0</v>
      </c>
      <c r="H35" s="11">
        <f t="shared" si="1"/>
        <v>-12264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-33971.279999999999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37090</v>
      </c>
      <c r="F39" s="47"/>
      <c r="G39" s="47"/>
      <c r="H39" s="137">
        <f>+H38+H37</f>
        <v>314543.35999999999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workbookViewId="3">
      <selection activeCell="A39" sqref="A39"/>
    </sheetView>
  </sheetViews>
  <sheetFormatPr defaultRowHeight="12.75" x14ac:dyDescent="0.2"/>
  <cols>
    <col min="1" max="1" width="8.570312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-4778142</v>
      </c>
      <c r="E36" s="11">
        <f t="shared" si="15"/>
        <v>-4913743</v>
      </c>
      <c r="F36" s="11">
        <f t="shared" si="15"/>
        <v>0</v>
      </c>
      <c r="G36" s="11">
        <f t="shared" si="15"/>
        <v>0</v>
      </c>
      <c r="H36" s="11">
        <f t="shared" si="15"/>
        <v>-135601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37090</v>
      </c>
      <c r="B38" s="2" t="s">
        <v>46</v>
      </c>
      <c r="C38" s="131">
        <f>+C37+C36-B36</f>
        <v>50521</v>
      </c>
      <c r="D38" s="260"/>
      <c r="E38" s="131">
        <f>+E37+E36-D36</f>
        <v>34927</v>
      </c>
      <c r="F38" s="260"/>
      <c r="G38" s="131"/>
      <c r="H38" s="131">
        <f>+H37+H36</f>
        <v>85448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workbookViewId="3">
      <selection activeCell="A18" sqref="A18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123588</v>
      </c>
      <c r="C21" s="11">
        <v>121560</v>
      </c>
      <c r="D21" s="25">
        <f t="shared" si="0"/>
        <v>-2028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1739588</v>
      </c>
      <c r="C37" s="11">
        <f>SUM(C6:C36)</f>
        <v>1742841</v>
      </c>
      <c r="D37" s="11">
        <f>SUM(D6:D36)</f>
        <v>3253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">
      <c r="A40" s="57">
        <v>37090</v>
      </c>
      <c r="C40" s="48"/>
      <c r="D40" s="25">
        <f>+D39+D37</f>
        <v>62432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">
      <c r="C41" s="47"/>
      <c r="H41" s="251"/>
      <c r="I41" s="251"/>
      <c r="J41" s="251"/>
      <c r="K41" s="251"/>
      <c r="L41" s="251"/>
    </row>
    <row r="42" spans="1:16" x14ac:dyDescent="0.2">
      <c r="A42" s="57"/>
      <c r="C42" s="50"/>
      <c r="D42" s="25"/>
      <c r="H42" s="251"/>
      <c r="I42" s="251"/>
      <c r="J42" s="251"/>
      <c r="K42" s="251"/>
      <c r="L42" s="251"/>
    </row>
    <row r="43" spans="1:16" x14ac:dyDescent="0.2">
      <c r="A43" s="57"/>
      <c r="C43" s="50"/>
      <c r="H43" s="251"/>
      <c r="I43" s="251"/>
      <c r="J43" s="251"/>
      <c r="K43" s="251"/>
      <c r="L43" s="251"/>
    </row>
    <row r="44" spans="1:16" x14ac:dyDescent="0.2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2001-07-20T15:27:36Z</cp:lastPrinted>
  <dcterms:created xsi:type="dcterms:W3CDTF">2000-03-28T16:52:23Z</dcterms:created>
  <dcterms:modified xsi:type="dcterms:W3CDTF">2023-09-14T18:09:49Z</dcterms:modified>
</cp:coreProperties>
</file>