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10591F-3802-419A-B9CA-3AE4931AF9A8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activeTab="1"/>
    <workbookView xWindow="-120" yWindow="-120" windowWidth="38640" windowHeight="15720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K44" i="73"/>
  <c r="F50" i="73"/>
  <c r="F52" i="73"/>
  <c r="M52" i="73"/>
  <c r="F54" i="73"/>
  <c r="M54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I53" i="20"/>
  <c r="C64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<sst xmlns="http://schemas.openxmlformats.org/spreadsheetml/2006/main" count="664" uniqueCount="203">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</sst>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2.98</v>
          </cell>
          <cell r="K39">
            <v>2.69</v>
          </cell>
          <cell r="M39">
            <v>2.88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opLeftCell="A46" workbookViewId="2">
      <selection activeCell="G50" sqref="G50"/>
    </sheetView>
    <sheetView workbookViewId="3">
      <selection activeCell="J31" sqref="J31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I2" s="418" t="s">
        <v>81</v>
      </c>
      <c r="J2" s="421"/>
      <c r="K2" s="32"/>
    </row>
    <row r="3" spans="1:32" ht="12.95" customHeight="1" x14ac:dyDescent="0.2">
      <c r="D3" s="7"/>
      <c r="I3" s="419" t="s">
        <v>30</v>
      </c>
      <c r="J3" s="422">
        <f>+summary!H3</f>
        <v>2.69</v>
      </c>
      <c r="K3" s="443">
        <f ca="1">NOW()</f>
        <v>37125.564813657409</v>
      </c>
    </row>
    <row r="4" spans="1:32" ht="12.95" customHeight="1" x14ac:dyDescent="0.2">
      <c r="A4" s="34" t="s">
        <v>153</v>
      </c>
      <c r="C4" s="34" t="s">
        <v>5</v>
      </c>
      <c r="D4" s="7"/>
      <c r="I4" s="420" t="s">
        <v>31</v>
      </c>
      <c r="J4" s="422">
        <f>+summary!H4</f>
        <v>2.88</v>
      </c>
      <c r="K4" s="32"/>
    </row>
    <row r="5" spans="1:32" ht="12.95" customHeight="1" x14ac:dyDescent="0.2">
      <c r="D5" s="7"/>
      <c r="I5" s="419" t="s">
        <v>120</v>
      </c>
      <c r="J5" s="422">
        <f>+summary!H5</f>
        <v>2.98</v>
      </c>
      <c r="K5" s="32"/>
    </row>
    <row r="6" spans="1:32" ht="12" customHeight="1" x14ac:dyDescent="0.2"/>
    <row r="7" spans="1:32" ht="12.95" customHeight="1" x14ac:dyDescent="0.2">
      <c r="A7" s="441" t="s">
        <v>180</v>
      </c>
      <c r="B7" s="442"/>
      <c r="AD7" s="32"/>
      <c r="AE7" s="32"/>
      <c r="AF7" s="32"/>
    </row>
    <row r="8" spans="1:32" ht="15.95" customHeight="1" outlineLevel="2" x14ac:dyDescent="0.2">
      <c r="A8" s="32"/>
      <c r="B8" s="47"/>
      <c r="C8" s="439" t="s">
        <v>178</v>
      </c>
      <c r="D8" s="12" t="s">
        <v>157</v>
      </c>
      <c r="E8" s="12" t="s">
        <v>166</v>
      </c>
      <c r="F8" s="2" t="s">
        <v>156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00" t="s">
        <v>92</v>
      </c>
      <c r="B9" s="427" t="s">
        <v>164</v>
      </c>
      <c r="C9" s="440" t="s">
        <v>179</v>
      </c>
      <c r="D9" s="39" t="s">
        <v>0</v>
      </c>
      <c r="E9" s="39" t="s">
        <v>165</v>
      </c>
      <c r="F9" s="39" t="s">
        <v>154</v>
      </c>
      <c r="G9" s="425" t="s">
        <v>160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00" t="s">
        <v>170</v>
      </c>
    </row>
    <row r="12" spans="1:32" ht="15.95" customHeight="1" outlineLevel="1" x14ac:dyDescent="0.2">
      <c r="A12" s="206" t="s">
        <v>132</v>
      </c>
      <c r="B12" s="376">
        <f>+Calpine!D41</f>
        <v>127115.95999999999</v>
      </c>
      <c r="C12" s="403">
        <f>+B12/$J$4</f>
        <v>44137.486111111109</v>
      </c>
      <c r="D12" s="14">
        <f>+Calpine!D47</f>
        <v>145440</v>
      </c>
      <c r="E12" s="70">
        <f>+C12-D12</f>
        <v>-101302.51388888889</v>
      </c>
      <c r="F12" s="398">
        <f>+Calpine!A41</f>
        <v>37123</v>
      </c>
      <c r="G12" s="205"/>
      <c r="H12" s="206" t="s">
        <v>102</v>
      </c>
      <c r="I12" s="382"/>
      <c r="J12" s="70"/>
      <c r="K12" s="32"/>
    </row>
    <row r="13" spans="1:32" ht="15.95" customHeight="1" outlineLevel="2" x14ac:dyDescent="0.2">
      <c r="A13" s="32" t="s">
        <v>145</v>
      </c>
      <c r="B13" s="376">
        <f>+'Citizens-Griffith'!D41</f>
        <v>-187183.12000000002</v>
      </c>
      <c r="C13" s="402">
        <f>+B13/$J$4</f>
        <v>-64994.138888888898</v>
      </c>
      <c r="D13" s="14">
        <f>+'Citizens-Griffith'!D48</f>
        <v>-93347</v>
      </c>
      <c r="E13" s="70">
        <f>+C13-D13</f>
        <v>28352.861111111102</v>
      </c>
      <c r="F13" s="398">
        <f>+'Citizens-Griffith'!A41</f>
        <v>37123</v>
      </c>
      <c r="G13" s="205" t="s">
        <v>163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6">
        <f>+'NS Steel'!D41</f>
        <v>-433979.5</v>
      </c>
      <c r="C14" s="402">
        <f>+B14/$J$4</f>
        <v>-150687.32638888891</v>
      </c>
      <c r="D14" s="14">
        <f>+'NS Steel'!D50</f>
        <v>-82079</v>
      </c>
      <c r="E14" s="70">
        <f>+C14-D14</f>
        <v>-68608.326388888905</v>
      </c>
      <c r="F14" s="399">
        <f>+'NS Steel'!A41</f>
        <v>37123</v>
      </c>
      <c r="G14" s="205" t="s">
        <v>163</v>
      </c>
      <c r="H14" s="32" t="s">
        <v>103</v>
      </c>
      <c r="I14" s="32" t="s">
        <v>201</v>
      </c>
      <c r="J14" s="32"/>
      <c r="K14" s="32"/>
    </row>
    <row r="15" spans="1:32" ht="15.95" customHeight="1" outlineLevel="1" x14ac:dyDescent="0.2">
      <c r="A15" s="206" t="s">
        <v>140</v>
      </c>
      <c r="B15" s="379">
        <f>+Citizens!D18</f>
        <v>-802219.70000000007</v>
      </c>
      <c r="C15" s="404">
        <f>+B15/$J$4</f>
        <v>-278548.5069444445</v>
      </c>
      <c r="D15" s="380">
        <f>+Citizens!D24</f>
        <v>-168961</v>
      </c>
      <c r="E15" s="72">
        <f>+C15-D15</f>
        <v>-109587.5069444445</v>
      </c>
      <c r="F15" s="398">
        <f>+Citizens!A18</f>
        <v>37123</v>
      </c>
      <c r="G15" s="205"/>
      <c r="H15" s="206" t="s">
        <v>102</v>
      </c>
      <c r="I15" s="480" t="s">
        <v>200</v>
      </c>
      <c r="J15" s="32"/>
      <c r="K15" s="32"/>
      <c r="T15" s="267"/>
    </row>
    <row r="16" spans="1:32" ht="15.95" customHeight="1" outlineLevel="2" x14ac:dyDescent="0.2">
      <c r="A16" s="153" t="s">
        <v>171</v>
      </c>
      <c r="B16" s="423">
        <f>SUBTOTAL(9,B12:B15)</f>
        <v>-1296266.3600000001</v>
      </c>
      <c r="C16" s="434">
        <f>SUBTOTAL(9,C12:C15)</f>
        <v>-450092.48611111118</v>
      </c>
      <c r="D16" s="435">
        <f>SUBTOTAL(9,D12:D15)</f>
        <v>-198947</v>
      </c>
      <c r="E16" s="436">
        <f>SUBTOTAL(9,E12:E15)</f>
        <v>-251145.48611111118</v>
      </c>
      <c r="F16" s="398"/>
      <c r="G16" s="205"/>
      <c r="H16" s="206"/>
      <c r="I16" s="382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8" t="s">
        <v>59</v>
      </c>
      <c r="G18" s="7"/>
    </row>
    <row r="19" spans="1:20" ht="15.95" customHeight="1" outlineLevel="2" x14ac:dyDescent="0.2">
      <c r="A19" s="32" t="s">
        <v>74</v>
      </c>
      <c r="B19" s="377">
        <f>+transcol!$D$43</f>
        <v>19062.740000000002</v>
      </c>
      <c r="C19" s="402">
        <f>+B19/$J$4</f>
        <v>6619.0069444444453</v>
      </c>
      <c r="D19" s="14">
        <f>+transcol!D50</f>
        <v>-44357</v>
      </c>
      <c r="E19" s="70">
        <f>+C19-D19</f>
        <v>50976.006944444445</v>
      </c>
      <c r="F19" s="399">
        <f>+transcol!A43</f>
        <v>37123</v>
      </c>
      <c r="G19" s="205" t="s">
        <v>162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9">
        <f>+burlington!D42</f>
        <v>13714.799999999996</v>
      </c>
      <c r="C20" s="406">
        <f>+B20/$J$3</f>
        <v>5098.4386617100354</v>
      </c>
      <c r="D20" s="380">
        <f>+burlington!D49</f>
        <v>3762</v>
      </c>
      <c r="E20" s="72">
        <f>+C20-D20</f>
        <v>1336.4386617100354</v>
      </c>
      <c r="F20" s="398">
        <f>+burlington!A42</f>
        <v>37123</v>
      </c>
      <c r="G20" s="205" t="s">
        <v>163</v>
      </c>
      <c r="H20" s="32" t="s">
        <v>116</v>
      </c>
      <c r="I20" s="32" t="s">
        <v>151</v>
      </c>
      <c r="J20" s="32"/>
      <c r="K20" s="32"/>
    </row>
    <row r="21" spans="1:20" ht="15.95" customHeight="1" outlineLevel="2" x14ac:dyDescent="0.2">
      <c r="A21" s="153" t="s">
        <v>173</v>
      </c>
      <c r="B21" s="423">
        <f>SUBTOTAL(9,B19:B20)</f>
        <v>32777.539999999994</v>
      </c>
      <c r="C21" s="424">
        <f>SUBTOTAL(9,C19:C20)</f>
        <v>11717.445606154481</v>
      </c>
      <c r="D21" s="435">
        <f>SUBTOTAL(9,D19:D20)</f>
        <v>-40595</v>
      </c>
      <c r="E21" s="436">
        <f>SUBTOTAL(9,E19:E20)</f>
        <v>52312.445606154477</v>
      </c>
      <c r="F21" s="398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400" t="s">
        <v>174</v>
      </c>
      <c r="G23" s="7"/>
    </row>
    <row r="24" spans="1:20" ht="15.95" customHeight="1" outlineLevel="2" x14ac:dyDescent="0.2">
      <c r="A24" s="206" t="s">
        <v>90</v>
      </c>
      <c r="B24" s="376">
        <f>+NNG!$D$24</f>
        <v>502623.64999999997</v>
      </c>
      <c r="C24" s="402">
        <f t="shared" ref="C24:C35" si="0">+B24/$J$4</f>
        <v>174522.10069444444</v>
      </c>
      <c r="D24" s="14">
        <f>+NNG!D34</f>
        <v>10100</v>
      </c>
      <c r="E24" s="70">
        <f t="shared" ref="E24:E37" si="1">+C24-D24</f>
        <v>164422.10069444444</v>
      </c>
      <c r="F24" s="398">
        <f>+NNG!A24</f>
        <v>37123</v>
      </c>
      <c r="G24" s="426" t="s">
        <v>161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6">
        <f>+Conoco!$F$41</f>
        <v>588898.11</v>
      </c>
      <c r="C25" s="402">
        <f t="shared" si="0"/>
        <v>204478.51041666666</v>
      </c>
      <c r="D25" s="14">
        <f>+Conoco!D48</f>
        <v>86874</v>
      </c>
      <c r="E25" s="70">
        <f t="shared" si="1"/>
        <v>117604.51041666666</v>
      </c>
      <c r="F25" s="398">
        <f>+Conoco!A41</f>
        <v>37123</v>
      </c>
      <c r="G25" s="205" t="s">
        <v>163</v>
      </c>
      <c r="H25" s="32" t="s">
        <v>116</v>
      </c>
      <c r="I25" s="32" t="s">
        <v>196</v>
      </c>
      <c r="J25" s="32"/>
      <c r="K25" s="32"/>
    </row>
    <row r="26" spans="1:20" ht="15.95" customHeight="1" outlineLevel="2" x14ac:dyDescent="0.2">
      <c r="A26" s="32" t="s">
        <v>3</v>
      </c>
      <c r="B26" s="376">
        <f>+'Amoco Abo'!$F$43</f>
        <v>424337.80000000005</v>
      </c>
      <c r="C26" s="402">
        <f t="shared" si="0"/>
        <v>147339.51388888891</v>
      </c>
      <c r="D26" s="14">
        <f>+'Amoco Abo'!D49</f>
        <v>-241972</v>
      </c>
      <c r="E26" s="70">
        <f t="shared" si="1"/>
        <v>389311.51388888888</v>
      </c>
      <c r="F26" s="399">
        <f>+'Amoco Abo'!A43</f>
        <v>37123</v>
      </c>
      <c r="G26" s="205" t="s">
        <v>162</v>
      </c>
      <c r="H26" s="32" t="s">
        <v>118</v>
      </c>
      <c r="I26" s="32" t="s">
        <v>197</v>
      </c>
      <c r="J26" s="32"/>
      <c r="K26" s="32"/>
    </row>
    <row r="27" spans="1:20" ht="15.95" customHeight="1" outlineLevel="2" x14ac:dyDescent="0.2">
      <c r="A27" s="32" t="s">
        <v>110</v>
      </c>
      <c r="B27" s="376">
        <f>+KN_Westar!F41</f>
        <v>466016.14999999997</v>
      </c>
      <c r="C27" s="402">
        <f t="shared" si="0"/>
        <v>161811.16319444444</v>
      </c>
      <c r="D27" s="14">
        <f>+KN_Westar!D48</f>
        <v>27725</v>
      </c>
      <c r="E27" s="70">
        <f t="shared" si="1"/>
        <v>134086.16319444444</v>
      </c>
      <c r="F27" s="399">
        <f>+KN_Westar!A41</f>
        <v>37123</v>
      </c>
      <c r="G27" s="205" t="s">
        <v>163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6">
        <f>+DEFS!F54</f>
        <v>511218.73000000045</v>
      </c>
      <c r="C28" s="403">
        <f t="shared" si="0"/>
        <v>177506.50347222239</v>
      </c>
      <c r="D28" s="14">
        <f>+Duke!I53+DEFS!K44</f>
        <v>-27771</v>
      </c>
      <c r="E28" s="70">
        <f t="shared" si="1"/>
        <v>205277.50347222239</v>
      </c>
      <c r="F28" s="399">
        <f>+DEFS!A40</f>
        <v>37123</v>
      </c>
      <c r="G28" s="205" t="s">
        <v>162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6">
        <f>+CIG!D43</f>
        <v>428914.36</v>
      </c>
      <c r="C29" s="402">
        <f t="shared" si="0"/>
        <v>148928.59722222222</v>
      </c>
      <c r="D29" s="14">
        <f>+CIG!D49</f>
        <v>41761</v>
      </c>
      <c r="E29" s="70">
        <f t="shared" si="1"/>
        <v>107167.59722222222</v>
      </c>
      <c r="F29" s="399">
        <f>+CIG!A43</f>
        <v>37122</v>
      </c>
      <c r="G29" s="205" t="s">
        <v>163</v>
      </c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6">
        <f>+mewborne!$J$43</f>
        <v>334051.16000000003</v>
      </c>
      <c r="C30" s="402">
        <f t="shared" si="0"/>
        <v>115989.98611111112</v>
      </c>
      <c r="D30" s="14">
        <f>+mewborne!D49</f>
        <v>132936</v>
      </c>
      <c r="E30" s="70">
        <f t="shared" si="1"/>
        <v>-16946.013888888876</v>
      </c>
      <c r="F30" s="399">
        <f>+mewborne!A43</f>
        <v>37123</v>
      </c>
      <c r="G30" s="205" t="s">
        <v>163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155</v>
      </c>
      <c r="B31" s="376">
        <f>+PGETX!$H$39</f>
        <v>489762.08999999997</v>
      </c>
      <c r="C31" s="402">
        <f t="shared" si="0"/>
        <v>170056.28125</v>
      </c>
      <c r="D31" s="14">
        <f>+PGETX!E48</f>
        <v>121280</v>
      </c>
      <c r="E31" s="70">
        <f t="shared" si="1"/>
        <v>48776.28125</v>
      </c>
      <c r="F31" s="399">
        <f>+PGETX!E39</f>
        <v>37123</v>
      </c>
      <c r="G31" s="205" t="s">
        <v>161</v>
      </c>
      <c r="H31" s="32" t="s">
        <v>105</v>
      </c>
      <c r="I31" s="32" t="s">
        <v>199</v>
      </c>
      <c r="J31" s="32"/>
      <c r="K31" s="32"/>
    </row>
    <row r="32" spans="1:20" ht="17.100000000000001" customHeight="1" x14ac:dyDescent="0.2">
      <c r="A32" s="32" t="s">
        <v>85</v>
      </c>
      <c r="B32" s="376">
        <f>+PNM!$D$23</f>
        <v>163534.38999999998</v>
      </c>
      <c r="C32" s="402">
        <f t="shared" si="0"/>
        <v>56782.774305555555</v>
      </c>
      <c r="D32" s="14">
        <f>+PNM!D30</f>
        <v>21354</v>
      </c>
      <c r="E32" s="70">
        <f t="shared" si="1"/>
        <v>35428.774305555555</v>
      </c>
      <c r="F32" s="399">
        <f>+PNM!A23</f>
        <v>37123</v>
      </c>
      <c r="G32" s="205" t="s">
        <v>162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6">
        <f>+EOG!J41</f>
        <v>74249.320000000007</v>
      </c>
      <c r="C33" s="402">
        <f t="shared" si="0"/>
        <v>25781.013888888891</v>
      </c>
      <c r="D33" s="14">
        <f>+EOG!D48</f>
        <v>-86358</v>
      </c>
      <c r="E33" s="70">
        <f t="shared" si="1"/>
        <v>112139.01388888889</v>
      </c>
      <c r="F33" s="398">
        <f>+EOG!A41</f>
        <v>37123</v>
      </c>
      <c r="G33" s="205" t="s">
        <v>163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6">
        <f>+SidR!D41</f>
        <v>160593.28</v>
      </c>
      <c r="C34" s="402">
        <f t="shared" si="0"/>
        <v>55761.555555555555</v>
      </c>
      <c r="D34" s="14">
        <f>+SidR!D48</f>
        <v>68942</v>
      </c>
      <c r="E34" s="70">
        <f t="shared" si="1"/>
        <v>-13180.444444444445</v>
      </c>
      <c r="F34" s="399">
        <f>+SidR!A41</f>
        <v>37123</v>
      </c>
      <c r="G34" s="205" t="s">
        <v>161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6">
        <f>+Continental!F43</f>
        <v>-5216.57</v>
      </c>
      <c r="C35" s="403">
        <f t="shared" si="0"/>
        <v>-1811.3090277777778</v>
      </c>
      <c r="D35" s="14">
        <f>+Continental!D50</f>
        <v>-17302</v>
      </c>
      <c r="E35" s="70">
        <f t="shared" si="1"/>
        <v>15490.690972222223</v>
      </c>
      <c r="F35" s="399">
        <f>+Continental!A43</f>
        <v>37123</v>
      </c>
      <c r="G35" s="205" t="s">
        <v>163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6">
        <f>+EPFS!D41</f>
        <v>-83845.72</v>
      </c>
      <c r="C36" s="403">
        <f>+B36/$J$5</f>
        <v>-28136.147651006711</v>
      </c>
      <c r="D36" s="14">
        <f>+EPFS!D47</f>
        <v>-17448</v>
      </c>
      <c r="E36" s="70">
        <f t="shared" si="1"/>
        <v>-10688.147651006711</v>
      </c>
      <c r="F36" s="398">
        <f>+EPFS!A41</f>
        <v>37123</v>
      </c>
      <c r="G36" s="205" t="s">
        <v>162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9">
        <f>+Agave!$D$24</f>
        <v>-159048.03</v>
      </c>
      <c r="C37" s="404">
        <f>+B37/$J$4</f>
        <v>-55225.010416666672</v>
      </c>
      <c r="D37" s="380">
        <f>+Agave!D31</f>
        <v>-91212</v>
      </c>
      <c r="E37" s="72">
        <f t="shared" si="1"/>
        <v>35986.989583333328</v>
      </c>
      <c r="F37" s="398">
        <f>+Agave!A24</f>
        <v>37123</v>
      </c>
      <c r="G37" s="205" t="s">
        <v>202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176</v>
      </c>
      <c r="B38" s="423">
        <f>SUBTOTAL(9,B24:B37)</f>
        <v>3896088.72</v>
      </c>
      <c r="C38" s="434">
        <f>SUBTOTAL(9,C24:C37)</f>
        <v>1353785.532904549</v>
      </c>
      <c r="D38" s="435">
        <f>SUBTOTAL(9,D24:D37)</f>
        <v>28909</v>
      </c>
      <c r="E38" s="436">
        <f>SUBTOTAL(9,E24:E37)</f>
        <v>1324876.5329045488</v>
      </c>
      <c r="F38" s="398"/>
      <c r="G38" s="383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177</v>
      </c>
      <c r="B40" s="423">
        <f>SUBTOTAL(9,B12:B37)</f>
        <v>2632599.9000000004</v>
      </c>
      <c r="C40" s="434">
        <f>SUBTOTAL(9,C12:C37)</f>
        <v>915410.4923995923</v>
      </c>
      <c r="D40" s="435">
        <f>SUBTOTAL(9,D12:D37)</f>
        <v>-210633</v>
      </c>
      <c r="E40" s="436">
        <f>SUBTOTAL(9,E12:E37)</f>
        <v>1126043.4923995922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">
      <c r="A42" s="431"/>
      <c r="B42" s="432"/>
      <c r="C42" s="433"/>
      <c r="D42" s="304"/>
      <c r="E42" s="304"/>
      <c r="F42" s="304"/>
    </row>
    <row r="43" spans="1:12" ht="12.95" customHeight="1" x14ac:dyDescent="0.2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">
      <c r="D48" s="7"/>
      <c r="I48" s="419" t="s">
        <v>30</v>
      </c>
      <c r="J48" s="422">
        <f>+J3</f>
        <v>2.69</v>
      </c>
      <c r="K48" s="443">
        <f ca="1">NOW()</f>
        <v>37125.564813657409</v>
      </c>
    </row>
    <row r="49" spans="1:19" ht="13.5" customHeight="1" outlineLevel="2" x14ac:dyDescent="0.2">
      <c r="A49" s="34" t="s">
        <v>153</v>
      </c>
      <c r="C49" s="34" t="s">
        <v>5</v>
      </c>
      <c r="D49" s="7"/>
      <c r="I49" s="420" t="s">
        <v>31</v>
      </c>
      <c r="J49" s="422">
        <f>+J4</f>
        <v>2.88</v>
      </c>
      <c r="K49" s="32"/>
    </row>
    <row r="50" spans="1:19" ht="13.5" customHeight="1" outlineLevel="1" x14ac:dyDescent="0.2">
      <c r="D50" s="7"/>
      <c r="I50" s="419" t="s">
        <v>120</v>
      </c>
      <c r="J50" s="422">
        <f>+J5</f>
        <v>2.98</v>
      </c>
      <c r="K50" s="32"/>
    </row>
    <row r="51" spans="1:19" ht="13.5" customHeight="1" outlineLevel="2" x14ac:dyDescent="0.2"/>
    <row r="52" spans="1:19" ht="13.5" customHeight="1" outlineLevel="2" x14ac:dyDescent="0.2">
      <c r="A52" s="441" t="s">
        <v>181</v>
      </c>
      <c r="B52" s="442"/>
    </row>
    <row r="53" spans="1:19" ht="13.5" customHeight="1" outlineLevel="2" x14ac:dyDescent="0.2">
      <c r="A53" s="32"/>
      <c r="C53" s="444" t="s">
        <v>167</v>
      </c>
      <c r="D53" s="12" t="s">
        <v>184</v>
      </c>
      <c r="E53" s="12" t="s">
        <v>186</v>
      </c>
      <c r="F53" s="2" t="s">
        <v>156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00" t="s">
        <v>92</v>
      </c>
      <c r="B54" s="440" t="s">
        <v>0</v>
      </c>
      <c r="C54" s="413" t="s">
        <v>183</v>
      </c>
      <c r="D54" s="39" t="s">
        <v>185</v>
      </c>
      <c r="E54" s="39" t="s">
        <v>187</v>
      </c>
      <c r="F54" s="39" t="s">
        <v>154</v>
      </c>
      <c r="G54" s="425" t="s">
        <v>160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00" t="s">
        <v>170</v>
      </c>
      <c r="B56" s="296"/>
      <c r="C56" s="252"/>
    </row>
    <row r="57" spans="1:19" ht="13.5" customHeight="1" outlineLevel="2" x14ac:dyDescent="0.2">
      <c r="A57" s="32" t="s">
        <v>97</v>
      </c>
      <c r="B57" s="402">
        <f>+Mojave!D40</f>
        <v>146032</v>
      </c>
      <c r="C57" s="376">
        <f>+B57*$J$4</f>
        <v>420572.15999999997</v>
      </c>
      <c r="D57" s="47">
        <f>+Mojave!D47</f>
        <v>111599.52</v>
      </c>
      <c r="E57" s="47">
        <f>+C57-D57</f>
        <v>308972.63999999996</v>
      </c>
      <c r="F57" s="399">
        <f>+Mojave!A40</f>
        <v>37123</v>
      </c>
      <c r="H57" s="32" t="s">
        <v>103</v>
      </c>
      <c r="I57" s="32" t="s">
        <v>190</v>
      </c>
      <c r="J57" s="32"/>
      <c r="K57" s="32"/>
    </row>
    <row r="58" spans="1:19" ht="15" customHeight="1" outlineLevel="2" x14ac:dyDescent="0.2">
      <c r="A58" s="32" t="s">
        <v>33</v>
      </c>
      <c r="B58" s="403">
        <f>+SoCal!F40</f>
        <v>166814</v>
      </c>
      <c r="C58" s="376">
        <f>+B58*$J$4</f>
        <v>480424.32</v>
      </c>
      <c r="D58" s="47">
        <f>+SoCal!D47</f>
        <v>510944.46</v>
      </c>
      <c r="E58" s="47">
        <f>+C58-D58</f>
        <v>-30520.140000000014</v>
      </c>
      <c r="F58" s="399">
        <f>+SoCal!A40</f>
        <v>37123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04">
        <f>+'PG&amp;E'!D40</f>
        <v>24934</v>
      </c>
      <c r="C59" s="379">
        <f>+B59*$J$4</f>
        <v>71809.919999999998</v>
      </c>
      <c r="D59" s="379">
        <f>+'PG&amp;E'!D47</f>
        <v>-155985.46</v>
      </c>
      <c r="E59" s="379">
        <f>+C59-D59</f>
        <v>227795.38</v>
      </c>
      <c r="F59" s="399">
        <f>+'PG&amp;E'!A40</f>
        <v>37123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171</v>
      </c>
      <c r="B60" s="434">
        <f>SUBTOTAL(9,B57:B59)</f>
        <v>337780</v>
      </c>
      <c r="C60" s="423">
        <f>SUBTOTAL(9,C57:C59)</f>
        <v>972806.4</v>
      </c>
      <c r="D60" s="423">
        <f>SUBTOTAL(9,D57:D59)</f>
        <v>466558.52</v>
      </c>
      <c r="E60" s="423">
        <f>SUBTOTAL(9,E57:E59)</f>
        <v>506247.87999999995</v>
      </c>
      <c r="F60" s="399"/>
      <c r="G60" s="205"/>
      <c r="H60" s="32"/>
      <c r="I60" s="32"/>
      <c r="J60" s="32"/>
      <c r="K60" s="32"/>
    </row>
    <row r="61" spans="1:19" ht="12.95" customHeight="1" x14ac:dyDescent="0.2">
      <c r="B61" s="296"/>
      <c r="C61" s="252"/>
      <c r="G61" s="205"/>
    </row>
    <row r="62" spans="1:19" ht="15" customHeight="1" x14ac:dyDescent="0.2">
      <c r="A62" s="400" t="s">
        <v>59</v>
      </c>
      <c r="B62" s="296"/>
      <c r="C62" s="252"/>
      <c r="G62" s="205"/>
    </row>
    <row r="63" spans="1:19" x14ac:dyDescent="0.2">
      <c r="A63" s="206" t="s">
        <v>29</v>
      </c>
      <c r="B63" s="402">
        <f>+williams!J40</f>
        <v>311228</v>
      </c>
      <c r="C63" s="376">
        <f>+B63*$J$3</f>
        <v>837203.32</v>
      </c>
      <c r="D63" s="47">
        <f>+williams!D48</f>
        <v>1381851.97</v>
      </c>
      <c r="E63" s="47">
        <f>+C63-D63</f>
        <v>-544648.65</v>
      </c>
      <c r="F63" s="398">
        <f>+williams!A40</f>
        <v>37123</v>
      </c>
      <c r="G63" s="205" t="s">
        <v>162</v>
      </c>
      <c r="H63" s="206" t="s">
        <v>152</v>
      </c>
      <c r="I63" s="32" t="s">
        <v>193</v>
      </c>
      <c r="J63" s="32"/>
      <c r="K63" s="32"/>
    </row>
    <row r="64" spans="1:19" x14ac:dyDescent="0.2">
      <c r="A64" s="32" t="s">
        <v>24</v>
      </c>
      <c r="B64" s="402">
        <f>+'Red C'!F43</f>
        <v>138002</v>
      </c>
      <c r="C64" s="377">
        <f>+B64*J3</f>
        <v>371225.38</v>
      </c>
      <c r="D64" s="202">
        <f>+'Red C'!D52</f>
        <v>665269.09</v>
      </c>
      <c r="E64" s="47">
        <f>+C64-D64</f>
        <v>-294043.70999999996</v>
      </c>
      <c r="F64" s="398">
        <f>+'Red C'!B43</f>
        <v>37123</v>
      </c>
      <c r="G64" s="205" t="s">
        <v>162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6</v>
      </c>
      <c r="B65" s="402">
        <f>+Amoco!D40</f>
        <v>99008</v>
      </c>
      <c r="C65" s="376">
        <f>+B65*$J$3</f>
        <v>266331.52000000002</v>
      </c>
      <c r="D65" s="47">
        <f>+Amoco!D47</f>
        <v>530447.78</v>
      </c>
      <c r="E65" s="47">
        <f>+C65-D65</f>
        <v>-264116.26</v>
      </c>
      <c r="F65" s="399">
        <f>+Amoco!A40</f>
        <v>37123</v>
      </c>
      <c r="G65" s="205" t="s">
        <v>162</v>
      </c>
      <c r="H65" s="32" t="s">
        <v>118</v>
      </c>
      <c r="I65" s="32" t="s">
        <v>192</v>
      </c>
      <c r="J65" s="32"/>
      <c r="K65" s="32"/>
    </row>
    <row r="66" spans="1:12" x14ac:dyDescent="0.2">
      <c r="A66" s="32" t="s">
        <v>34</v>
      </c>
      <c r="B66" s="402">
        <f>+'El Paso'!H39</f>
        <v>500</v>
      </c>
      <c r="C66" s="376">
        <f>+'El Paso'!E39*summary!H3+'El Paso'!C39*summary!H4</f>
        <v>13556.110000000015</v>
      </c>
      <c r="D66" s="47">
        <f>+'El Paso'!F46</f>
        <v>-641996.22999999986</v>
      </c>
      <c r="E66" s="47">
        <f>+C66-D66</f>
        <v>655552.33999999985</v>
      </c>
      <c r="F66" s="399">
        <f>+'El Paso'!A39</f>
        <v>37123</v>
      </c>
      <c r="G66" s="481"/>
      <c r="H66" s="32" t="s">
        <v>103</v>
      </c>
      <c r="I66" s="32" t="s">
        <v>194</v>
      </c>
      <c r="J66" s="32"/>
      <c r="K66" s="32"/>
    </row>
    <row r="67" spans="1:12" x14ac:dyDescent="0.2">
      <c r="A67" s="32" t="s">
        <v>1</v>
      </c>
      <c r="B67" s="404">
        <f>+NW!$F$41</f>
        <v>75597</v>
      </c>
      <c r="C67" s="379">
        <f>+B67*$J$3</f>
        <v>203355.93</v>
      </c>
      <c r="D67" s="379">
        <f>+NW!E49</f>
        <v>-298161.41000000003</v>
      </c>
      <c r="E67" s="379">
        <f>+C67-D67</f>
        <v>501517.34</v>
      </c>
      <c r="F67" s="398">
        <f>+NW!B41</f>
        <v>37123</v>
      </c>
      <c r="G67" s="205" t="s">
        <v>162</v>
      </c>
      <c r="H67" s="32" t="s">
        <v>118</v>
      </c>
      <c r="I67" s="32"/>
      <c r="J67" s="32"/>
      <c r="K67" s="32"/>
    </row>
    <row r="68" spans="1:12" x14ac:dyDescent="0.2">
      <c r="A68" s="32" t="s">
        <v>172</v>
      </c>
      <c r="B68" s="434">
        <f>SUBTOTAL(9,B63:B67)</f>
        <v>624335</v>
      </c>
      <c r="C68" s="423">
        <f>SUBTOTAL(9,C63:C67)</f>
        <v>1691672.26</v>
      </c>
      <c r="D68" s="423">
        <f>SUBTOTAL(9,D63:D67)</f>
        <v>1637411.1999999997</v>
      </c>
      <c r="E68" s="423">
        <f>SUBTOTAL(9,E63:E67)</f>
        <v>54261.059999999765</v>
      </c>
      <c r="F68" s="398"/>
      <c r="G68" s="205"/>
      <c r="H68" s="32"/>
      <c r="I68" s="32"/>
      <c r="J68" s="32"/>
      <c r="K68" s="32"/>
    </row>
    <row r="69" spans="1:12" x14ac:dyDescent="0.2">
      <c r="B69" s="296"/>
      <c r="C69" s="252"/>
      <c r="G69" s="205"/>
    </row>
    <row r="70" spans="1:12" x14ac:dyDescent="0.2">
      <c r="A70" s="400" t="s">
        <v>174</v>
      </c>
      <c r="B70" s="296"/>
      <c r="C70" s="252"/>
      <c r="G70" s="205"/>
    </row>
    <row r="71" spans="1:12" x14ac:dyDescent="0.2">
      <c r="A71" s="32" t="s">
        <v>91</v>
      </c>
      <c r="B71" s="402">
        <f>+NGPL!F38</f>
        <v>137753</v>
      </c>
      <c r="C71" s="376">
        <f>+B71*$J$4</f>
        <v>396728.64</v>
      </c>
      <c r="D71" s="47">
        <f>+NGPL!D45</f>
        <v>348919.56</v>
      </c>
      <c r="E71" s="47">
        <f>+C71-D71</f>
        <v>47809.080000000016</v>
      </c>
      <c r="F71" s="399">
        <f>+NGPL!A38</f>
        <v>37123</v>
      </c>
      <c r="G71" s="205"/>
      <c r="H71" s="32" t="s">
        <v>118</v>
      </c>
      <c r="I71" s="32"/>
      <c r="J71" s="32"/>
      <c r="K71" s="32"/>
    </row>
    <row r="72" spans="1:12" x14ac:dyDescent="0.2">
      <c r="A72" s="32" t="s">
        <v>149</v>
      </c>
      <c r="B72" s="402">
        <f>+PEPL!D41</f>
        <v>64490</v>
      </c>
      <c r="C72" s="377">
        <f>+B72*$J$4</f>
        <v>185731.19999999998</v>
      </c>
      <c r="D72" s="47">
        <f>+PEPL!D47</f>
        <v>307135.5</v>
      </c>
      <c r="E72" s="47">
        <f>+C72-D72</f>
        <v>-121404.30000000002</v>
      </c>
      <c r="F72" s="399">
        <f>+PEPL!A41</f>
        <v>37123</v>
      </c>
      <c r="H72" s="32" t="s">
        <v>103</v>
      </c>
      <c r="I72" s="32" t="s">
        <v>148</v>
      </c>
      <c r="J72" s="32"/>
      <c r="K72" s="32"/>
    </row>
    <row r="73" spans="1:12" x14ac:dyDescent="0.2">
      <c r="A73" s="32" t="s">
        <v>7</v>
      </c>
      <c r="B73" s="403">
        <f>+Oasis!D40</f>
        <v>41952</v>
      </c>
      <c r="C73" s="376">
        <f>+B73*$J$4</f>
        <v>120821.75999999999</v>
      </c>
      <c r="D73" s="47">
        <f>+Oasis!D47</f>
        <v>-267468.11</v>
      </c>
      <c r="E73" s="47">
        <f>+C73-D73</f>
        <v>388289.87</v>
      </c>
      <c r="F73" s="399">
        <f>+Oasis!B40</f>
        <v>37123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06">
        <f>+Lonestar!F42</f>
        <v>62105</v>
      </c>
      <c r="C74" s="379">
        <f>+B74*$J$4</f>
        <v>178862.4</v>
      </c>
      <c r="D74" s="379">
        <f>+Lonestar!D49</f>
        <v>44237.67</v>
      </c>
      <c r="E74" s="379">
        <f>+C74-D74</f>
        <v>134624.72999999998</v>
      </c>
      <c r="F74" s="398">
        <f>+Lonestar!B42</f>
        <v>37123</v>
      </c>
      <c r="H74" s="32" t="s">
        <v>105</v>
      </c>
      <c r="I74" s="32"/>
      <c r="J74" s="32"/>
      <c r="K74" s="32"/>
    </row>
    <row r="75" spans="1:12" x14ac:dyDescent="0.2">
      <c r="A75" s="2" t="s">
        <v>175</v>
      </c>
      <c r="B75" s="424">
        <f>SUBTOTAL(9,B71:B74)</f>
        <v>306300</v>
      </c>
      <c r="C75" s="423">
        <f>SUBTOTAL(9,C71:C74)</f>
        <v>882144</v>
      </c>
      <c r="D75" s="423">
        <f>SUBTOTAL(9,D71:D74)</f>
        <v>432824.62000000005</v>
      </c>
      <c r="E75" s="423">
        <f>SUBTOTAL(9,E71:E74)</f>
        <v>449319.38</v>
      </c>
      <c r="F75" s="398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182</v>
      </c>
      <c r="B77" s="424">
        <f>SUBTOTAL(9,B57:B74)</f>
        <v>1268415</v>
      </c>
      <c r="C77" s="423">
        <f>SUBTOTAL(9,C57:C74)</f>
        <v>3546622.66</v>
      </c>
      <c r="D77" s="423">
        <f>SUBTOTAL(9,D57:D74)</f>
        <v>2536794.3400000003</v>
      </c>
      <c r="E77" s="423">
        <f>SUBTOTAL(9,E57:E74)</f>
        <v>1009828.32</v>
      </c>
      <c r="F77" s="398"/>
      <c r="H77" s="32"/>
      <c r="I77" s="32"/>
      <c r="J77" s="32"/>
      <c r="K77" s="32"/>
    </row>
    <row r="78" spans="1:12" x14ac:dyDescent="0.2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5" thickBot="1" x14ac:dyDescent="0.25">
      <c r="A80" s="2" t="s">
        <v>188</v>
      </c>
      <c r="B80" s="437">
        <f>+C77+B40</f>
        <v>6179222.5600000005</v>
      </c>
      <c r="C80" s="208"/>
      <c r="D80" s="376"/>
      <c r="E80" s="376"/>
      <c r="F80" s="383"/>
      <c r="H80" s="32"/>
      <c r="I80" s="32"/>
      <c r="J80" s="32"/>
      <c r="K80" s="32"/>
    </row>
    <row r="81" spans="1:10" ht="13.5" thickTop="1" x14ac:dyDescent="0.2">
      <c r="A81" s="2" t="s">
        <v>189</v>
      </c>
      <c r="B81" s="14">
        <f>+B77+C40</f>
        <v>2183825.4923995924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396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B48" sqref="B4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2770902</v>
      </c>
      <c r="C39" s="150">
        <f>SUM(C8:C38)</f>
        <v>2761562</v>
      </c>
      <c r="D39" s="150">
        <f>SUM(D8:D38)</f>
        <v>242411</v>
      </c>
      <c r="E39" s="150">
        <f>SUM(E8:E38)</f>
        <v>242620</v>
      </c>
      <c r="F39" s="11">
        <f t="shared" si="5"/>
        <v>-9131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37123</v>
      </c>
      <c r="C43" s="142"/>
      <c r="D43" s="142"/>
      <c r="E43" s="142"/>
      <c r="F43" s="150">
        <f>+F42+F39</f>
        <v>138002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37123</v>
      </c>
      <c r="B51" s="32"/>
      <c r="C51" s="32"/>
      <c r="D51" s="410">
        <f>+F39*'by type'!J3</f>
        <v>-24562.39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665269.09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7" workbookViewId="3">
      <selection activeCell="C49" sqref="C4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-1122815</v>
      </c>
      <c r="C36" s="24">
        <f>SUM(C5:C35)</f>
        <v>-1115842</v>
      </c>
      <c r="D36" s="24">
        <f t="shared" si="0"/>
        <v>6973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37123</v>
      </c>
      <c r="C40" s="24"/>
      <c r="D40" s="195">
        <f>+D36+D38</f>
        <v>41952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159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6">
        <v>-287550.34999999998</v>
      </c>
    </row>
    <row r="46" spans="1:65" x14ac:dyDescent="0.2">
      <c r="A46" s="49">
        <f>+B40</f>
        <v>37123</v>
      </c>
      <c r="B46" s="32"/>
      <c r="C46" s="32"/>
      <c r="D46" s="410">
        <f>+D36*'by type'!J4</f>
        <v>20082.239999999998</v>
      </c>
    </row>
    <row r="47" spans="1:65" x14ac:dyDescent="0.2">
      <c r="A47" s="32"/>
      <c r="B47" s="32"/>
      <c r="C47" s="32"/>
      <c r="D47" s="202">
        <f>+D46+D45</f>
        <v>-267468.11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6" sqref="B16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668837</v>
      </c>
      <c r="C5" s="90">
        <v>693216</v>
      </c>
      <c r="D5" s="90">
        <f>+C5-B5</f>
        <v>24379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638438</v>
      </c>
      <c r="C7" s="90">
        <v>624149</v>
      </c>
      <c r="D7" s="90">
        <f t="shared" si="0"/>
        <v>-14289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865941</v>
      </c>
      <c r="C8" s="90">
        <v>907355</v>
      </c>
      <c r="D8" s="90">
        <f t="shared" si="0"/>
        <v>41414</v>
      </c>
      <c r="E8" s="285"/>
      <c r="F8" s="283"/>
    </row>
    <row r="9" spans="1:13" x14ac:dyDescent="0.2">
      <c r="A9" s="87">
        <v>500293</v>
      </c>
      <c r="B9" s="90">
        <v>291642</v>
      </c>
      <c r="C9" s="90">
        <v>403802</v>
      </c>
      <c r="D9" s="90">
        <f t="shared" si="0"/>
        <v>112160</v>
      </c>
      <c r="E9" s="285"/>
      <c r="F9" s="283"/>
    </row>
    <row r="10" spans="1:13" x14ac:dyDescent="0.2">
      <c r="A10" s="87">
        <v>500302</v>
      </c>
      <c r="B10" s="319"/>
      <c r="C10" s="319">
        <v>7520</v>
      </c>
      <c r="D10" s="90">
        <f t="shared" si="0"/>
        <v>7520</v>
      </c>
      <c r="E10" s="285"/>
      <c r="F10" s="283"/>
    </row>
    <row r="11" spans="1:13" x14ac:dyDescent="0.2">
      <c r="A11" s="87">
        <v>500303</v>
      </c>
      <c r="B11" s="319">
        <v>178952</v>
      </c>
      <c r="C11" s="90">
        <v>223036</v>
      </c>
      <c r="D11" s="90">
        <f t="shared" si="0"/>
        <v>44084</v>
      </c>
      <c r="E11" s="285"/>
      <c r="F11" s="283"/>
    </row>
    <row r="12" spans="1:13" x14ac:dyDescent="0.2">
      <c r="A12" s="91">
        <v>500305</v>
      </c>
      <c r="B12" s="319">
        <v>678495</v>
      </c>
      <c r="C12" s="90">
        <v>887358</v>
      </c>
      <c r="D12" s="90">
        <f t="shared" si="0"/>
        <v>208863</v>
      </c>
      <c r="E12" s="286"/>
      <c r="F12" s="283"/>
    </row>
    <row r="13" spans="1:13" x14ac:dyDescent="0.2">
      <c r="A13" s="87">
        <v>500307</v>
      </c>
      <c r="B13" s="319">
        <v>81127</v>
      </c>
      <c r="C13" s="90">
        <v>89314</v>
      </c>
      <c r="D13" s="90">
        <f t="shared" si="0"/>
        <v>8187</v>
      </c>
      <c r="E13" s="285"/>
      <c r="F13" s="283"/>
    </row>
    <row r="14" spans="1:13" x14ac:dyDescent="0.2">
      <c r="A14" s="87">
        <v>500313</v>
      </c>
      <c r="B14" s="90"/>
      <c r="C14" s="319">
        <v>1991</v>
      </c>
      <c r="D14" s="90">
        <f t="shared" si="0"/>
        <v>1991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454450</v>
      </c>
      <c r="C16" s="90"/>
      <c r="D16" s="90">
        <f t="shared" si="0"/>
        <v>-454450</v>
      </c>
      <c r="E16" s="285"/>
      <c r="F16" s="283"/>
    </row>
    <row r="17" spans="1:6" x14ac:dyDescent="0.2">
      <c r="A17" s="87">
        <v>500657</v>
      </c>
      <c r="B17" s="335">
        <v>99274</v>
      </c>
      <c r="C17" s="88">
        <v>109949</v>
      </c>
      <c r="D17" s="94">
        <f t="shared" si="0"/>
        <v>10675</v>
      </c>
      <c r="E17" s="285"/>
      <c r="F17" s="283"/>
    </row>
    <row r="18" spans="1:6" x14ac:dyDescent="0.2">
      <c r="A18" s="87"/>
      <c r="B18" s="88"/>
      <c r="C18" s="88"/>
      <c r="D18" s="88">
        <f>SUM(D5:D17)</f>
        <v>-9466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2.88</v>
      </c>
      <c r="E19" s="287"/>
      <c r="F19" s="283"/>
    </row>
    <row r="20" spans="1:6" x14ac:dyDescent="0.2">
      <c r="A20" s="87"/>
      <c r="B20" s="88"/>
      <c r="C20" s="88"/>
      <c r="D20" s="96">
        <f>+D19*D18</f>
        <v>-27262.079999999998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37123</v>
      </c>
      <c r="B24" s="88"/>
      <c r="C24" s="88"/>
      <c r="D24" s="334">
        <f>+D22+D20</f>
        <v>-159048.03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158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37123</v>
      </c>
      <c r="B30" s="32"/>
      <c r="C30" s="32"/>
      <c r="D30" s="380">
        <f>+D18</f>
        <v>-9466</v>
      </c>
    </row>
    <row r="31" spans="1:6" x14ac:dyDescent="0.2">
      <c r="A31" s="32"/>
      <c r="B31" s="32"/>
      <c r="C31" s="32"/>
      <c r="D31" s="14">
        <f>+D30+D29</f>
        <v>-91212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C24" sqref="C2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7"/>
      <c r="J2" s="2"/>
      <c r="K2" s="2"/>
      <c r="L2" s="104"/>
      <c r="M2" s="143" t="s">
        <v>198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7" t="s">
        <v>40</v>
      </c>
      <c r="I3" s="4" t="s">
        <v>20</v>
      </c>
      <c r="J3" s="4" t="s">
        <v>21</v>
      </c>
      <c r="K3" s="465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7"/>
      <c r="I4" s="14"/>
      <c r="J4" s="14"/>
      <c r="K4" s="14">
        <f t="shared" ref="K4:K9" si="0">+J4-I4</f>
        <v>0</v>
      </c>
      <c r="L4" s="391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1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1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1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1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1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7"/>
      <c r="I10" s="14"/>
      <c r="J10" s="14"/>
      <c r="K10" s="14"/>
      <c r="L10" s="391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7"/>
      <c r="I11" s="14"/>
      <c r="J11" s="14"/>
      <c r="K11" s="15"/>
      <c r="L11" s="391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7"/>
      <c r="I12" s="24"/>
      <c r="J12" s="24"/>
      <c r="K12" s="110"/>
      <c r="L12" s="469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9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32402</v>
      </c>
      <c r="D23" s="11">
        <v>28474</v>
      </c>
      <c r="E23" s="11">
        <v>30834</v>
      </c>
      <c r="F23" s="25">
        <f t="shared" si="2"/>
        <v>-926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692055</v>
      </c>
      <c r="C35" s="11">
        <f>SUM(C4:C34)</f>
        <v>668993</v>
      </c>
      <c r="D35" s="11">
        <f>SUM(D4:D34)</f>
        <v>607781</v>
      </c>
      <c r="E35" s="11">
        <f>SUM(E4:E34)</f>
        <v>622586</v>
      </c>
      <c r="F35" s="11">
        <f>+E35-D35+C35-B35</f>
        <v>-8257</v>
      </c>
    </row>
    <row r="36" spans="1:7" x14ac:dyDescent="0.2">
      <c r="A36" s="45"/>
      <c r="C36" s="14">
        <f>+C35-B35</f>
        <v>-23062</v>
      </c>
      <c r="D36" s="14"/>
      <c r="E36" s="14">
        <f>+E35-D35</f>
        <v>14805</v>
      </c>
      <c r="F36" s="47"/>
    </row>
    <row r="37" spans="1:7" x14ac:dyDescent="0.2">
      <c r="C37" s="15">
        <f>+summary!H4</f>
        <v>2.88</v>
      </c>
      <c r="D37" s="15"/>
      <c r="E37" s="15">
        <f>+C37</f>
        <v>2.88</v>
      </c>
      <c r="F37" s="24"/>
    </row>
    <row r="38" spans="1:7" x14ac:dyDescent="0.2">
      <c r="C38" s="48">
        <f>+C37*C36</f>
        <v>-66418.559999999998</v>
      </c>
      <c r="D38" s="47"/>
      <c r="E38" s="48">
        <f>+E37*E36</f>
        <v>42638.400000000001</v>
      </c>
      <c r="F38" s="46">
        <f>+E38+C38</f>
        <v>-23780.159999999996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37123</v>
      </c>
      <c r="C41" s="106">
        <f>+C40+C38</f>
        <v>546259.71</v>
      </c>
      <c r="D41" s="106"/>
      <c r="E41" s="106">
        <f>+E40+E38</f>
        <v>42638.400000000001</v>
      </c>
      <c r="F41" s="106">
        <f>+E41+C41</f>
        <v>588898.11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158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37123</v>
      </c>
      <c r="D47" s="380">
        <f>+F35</f>
        <v>-8257</v>
      </c>
      <c r="E47" s="11"/>
      <c r="F47" s="11"/>
      <c r="G47" s="25"/>
    </row>
    <row r="48" spans="1:7" x14ac:dyDescent="0.2">
      <c r="D48" s="14">
        <f>+D47+D46</f>
        <v>86874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4" workbookViewId="3">
      <selection activeCell="E56" sqref="E5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-3450</v>
      </c>
      <c r="F15" s="11">
        <f t="shared" si="2"/>
        <v>565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3838928</v>
      </c>
      <c r="C36" s="11">
        <f>SUM(C5:C35)</f>
        <v>4129773</v>
      </c>
      <c r="D36" s="11">
        <f>SUM(D5:D35)</f>
        <v>0</v>
      </c>
      <c r="E36" s="11">
        <f>SUM(E5:E35)</f>
        <v>-220358</v>
      </c>
      <c r="F36" s="11">
        <f>SUM(F5:F35)</f>
        <v>70487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37123</v>
      </c>
      <c r="F41" s="354">
        <f>+F39+F36</f>
        <v>75597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37123</v>
      </c>
      <c r="C48" s="32"/>
      <c r="D48" s="32"/>
      <c r="E48" s="410">
        <f>+F36*'by type'!J3</f>
        <v>189610.03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-298161.41000000003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B28" sqref="B2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1872907</v>
      </c>
      <c r="C39" s="11">
        <f>SUM(C8:C38)</f>
        <v>1872025</v>
      </c>
      <c r="D39" s="11">
        <f>SUM(D8:D38)</f>
        <v>-882</v>
      </c>
      <c r="E39" s="10"/>
      <c r="F39" s="11"/>
      <c r="G39" s="11"/>
      <c r="H39" s="11"/>
    </row>
    <row r="40" spans="1:8" x14ac:dyDescent="0.2">
      <c r="A40" s="26"/>
      <c r="D40" s="75">
        <f>+summary!H4</f>
        <v>2.88</v>
      </c>
      <c r="E40" s="26"/>
      <c r="H40" s="75"/>
    </row>
    <row r="41" spans="1:8" x14ac:dyDescent="0.2">
      <c r="D41" s="197">
        <f>+D40*D39</f>
        <v>-2540.16</v>
      </c>
      <c r="F41" s="252"/>
      <c r="H41" s="197"/>
    </row>
    <row r="42" spans="1:8" x14ac:dyDescent="0.2">
      <c r="A42" s="57">
        <v>37103</v>
      </c>
      <c r="D42" s="462">
        <v>21602.9</v>
      </c>
      <c r="E42" s="57"/>
      <c r="H42" s="197"/>
    </row>
    <row r="43" spans="1:8" x14ac:dyDescent="0.2">
      <c r="A43" s="57">
        <v>37123</v>
      </c>
      <c r="D43" s="198">
        <f>+D42+D41</f>
        <v>19062.740000000002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158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37123</v>
      </c>
      <c r="B49" s="32"/>
      <c r="C49" s="32"/>
      <c r="D49" s="380">
        <f>+D39</f>
        <v>-882</v>
      </c>
    </row>
    <row r="50" spans="1:4" x14ac:dyDescent="0.2">
      <c r="A50" s="32"/>
      <c r="B50" s="32"/>
      <c r="C50" s="32"/>
      <c r="D50" s="14">
        <f>+D49+D48</f>
        <v>-44357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1" sqref="B1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37123</v>
      </c>
      <c r="J7" s="32"/>
    </row>
    <row r="8" spans="1:10" x14ac:dyDescent="0.2">
      <c r="A8" s="253">
        <v>60874</v>
      </c>
      <c r="B8" s="362">
        <v>3348</v>
      </c>
      <c r="J8" s="32"/>
    </row>
    <row r="9" spans="1:10" x14ac:dyDescent="0.2">
      <c r="A9" s="253">
        <v>78169</v>
      </c>
      <c r="B9" s="362">
        <f>100806-90448-3784</f>
        <v>6574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4">
        <f>3861-5448</f>
        <v>-1587</v>
      </c>
      <c r="J11" s="32"/>
    </row>
    <row r="12" spans="1:10" x14ac:dyDescent="0.2">
      <c r="A12" s="253">
        <v>500251</v>
      </c>
      <c r="B12" s="332">
        <f>12000-10708</f>
        <v>1292</v>
      </c>
      <c r="J12" s="32"/>
    </row>
    <row r="13" spans="1:10" x14ac:dyDescent="0.2">
      <c r="A13" s="253">
        <v>500254</v>
      </c>
      <c r="B13" s="332">
        <f>1800-2302</f>
        <v>-502</v>
      </c>
      <c r="J13" s="32"/>
    </row>
    <row r="14" spans="1:10" x14ac:dyDescent="0.2">
      <c r="A14" s="32">
        <v>500255</v>
      </c>
      <c r="B14" s="332">
        <f>11000-11874</f>
        <v>-874</v>
      </c>
      <c r="E14" s="32">
        <v>4840.7299999999996</v>
      </c>
      <c r="J14" s="32"/>
    </row>
    <row r="15" spans="1:10" x14ac:dyDescent="0.2">
      <c r="A15" s="32">
        <v>500262</v>
      </c>
      <c r="B15" s="332">
        <f>8000-5411</f>
        <v>2589</v>
      </c>
      <c r="E15" s="32">
        <v>67.239999999999995</v>
      </c>
      <c r="J15" s="32"/>
    </row>
    <row r="16" spans="1:10" x14ac:dyDescent="0.2">
      <c r="A16" s="290">
        <v>500267</v>
      </c>
      <c r="B16" s="363">
        <f>1194556-1165483</f>
        <v>29073</v>
      </c>
      <c r="E16" s="32">
        <f>+E14-E15</f>
        <v>4773.49</v>
      </c>
      <c r="J16" s="32"/>
    </row>
    <row r="17" spans="1:10" x14ac:dyDescent="0.2">
      <c r="B17" s="14">
        <f>SUM(B8:B16)</f>
        <v>39913</v>
      </c>
      <c r="J17" s="32"/>
    </row>
    <row r="18" spans="1:10" x14ac:dyDescent="0.2">
      <c r="B18" s="15">
        <f>+B31</f>
        <v>2.88</v>
      </c>
      <c r="C18" s="201">
        <f>+B18*B17</f>
        <v>114949.44</v>
      </c>
      <c r="G18" s="32"/>
      <c r="H18" s="415"/>
      <c r="I18" s="14"/>
      <c r="J18" s="32"/>
    </row>
    <row r="19" spans="1:10" x14ac:dyDescent="0.2">
      <c r="C19" s="339">
        <f>+C18+C5</f>
        <v>1277735.48</v>
      </c>
      <c r="E19" s="15"/>
      <c r="G19" s="32"/>
      <c r="H19" s="415"/>
      <c r="I19" s="14"/>
      <c r="J19" s="32"/>
    </row>
    <row r="20" spans="1:10" x14ac:dyDescent="0.2">
      <c r="E20" s="15"/>
      <c r="G20" s="32"/>
      <c r="H20" s="415"/>
      <c r="I20" s="14"/>
      <c r="J20" s="32"/>
    </row>
    <row r="21" spans="1:10" x14ac:dyDescent="0.2">
      <c r="A21" s="32" t="s">
        <v>89</v>
      </c>
      <c r="G21" s="32"/>
      <c r="H21" s="415"/>
      <c r="I21" s="14"/>
      <c r="J21" s="32"/>
    </row>
    <row r="22" spans="1:10" x14ac:dyDescent="0.2">
      <c r="A22" s="2" t="s">
        <v>76</v>
      </c>
      <c r="G22" s="32"/>
      <c r="H22" s="415"/>
      <c r="I22" s="14"/>
      <c r="J22" s="32"/>
    </row>
    <row r="23" spans="1:10" x14ac:dyDescent="0.2">
      <c r="G23" s="32"/>
      <c r="H23" s="415"/>
      <c r="I23" s="14"/>
      <c r="J23" s="32"/>
    </row>
    <row r="24" spans="1:10" x14ac:dyDescent="0.2">
      <c r="G24" s="32"/>
      <c r="H24" s="415"/>
      <c r="I24" s="14"/>
      <c r="J24" s="32"/>
    </row>
    <row r="25" spans="1:10" x14ac:dyDescent="0.2">
      <c r="A25" s="200">
        <v>37103</v>
      </c>
      <c r="C25" s="460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37123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2.88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158</v>
      </c>
      <c r="F36" s="382">
        <v>24268</v>
      </c>
      <c r="G36" s="382">
        <v>24693</v>
      </c>
      <c r="H36" s="382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37123</v>
      </c>
      <c r="F38" s="380">
        <f>+B17</f>
        <v>39913</v>
      </c>
      <c r="G38" s="380">
        <f>+B30</f>
        <v>0</v>
      </c>
      <c r="H38" s="380">
        <f>+B45</f>
        <v>6266</v>
      </c>
      <c r="I38" s="14"/>
    </row>
    <row r="39" spans="1:9" x14ac:dyDescent="0.2">
      <c r="A39" s="49">
        <v>37103</v>
      </c>
      <c r="C39" s="460">
        <v>732710.21</v>
      </c>
      <c r="F39" s="14">
        <f>+F38+F37</f>
        <v>262939</v>
      </c>
      <c r="G39" s="14">
        <f>+G38+G37</f>
        <v>117857</v>
      </c>
      <c r="H39" s="14">
        <f>+H38+H37</f>
        <v>145076</v>
      </c>
      <c r="I39" s="14">
        <f>+H39+G39+F39</f>
        <v>525872</v>
      </c>
    </row>
    <row r="40" spans="1:9" x14ac:dyDescent="0.2">
      <c r="G40" s="32"/>
      <c r="H40" s="15"/>
      <c r="I40" s="32"/>
    </row>
    <row r="41" spans="1:9" x14ac:dyDescent="0.2">
      <c r="A41" s="249">
        <v>37123</v>
      </c>
      <c r="G41" s="32"/>
      <c r="H41" s="416">
        <v>21665</v>
      </c>
      <c r="I41" s="14">
        <v>36403</v>
      </c>
    </row>
    <row r="42" spans="1:9" x14ac:dyDescent="0.2">
      <c r="A42" s="253">
        <v>500241</v>
      </c>
      <c r="B42" s="14"/>
      <c r="G42" s="32"/>
      <c r="H42" s="416">
        <v>22664</v>
      </c>
      <c r="I42" s="14">
        <v>18932</v>
      </c>
    </row>
    <row r="43" spans="1:9" x14ac:dyDescent="0.2">
      <c r="A43" s="32">
        <v>500391</v>
      </c>
      <c r="B43" s="212">
        <v>5161</v>
      </c>
      <c r="G43" s="32"/>
      <c r="H43" s="416">
        <v>20248</v>
      </c>
      <c r="I43" s="14">
        <v>43064</v>
      </c>
    </row>
    <row r="44" spans="1:9" x14ac:dyDescent="0.2">
      <c r="A44" s="32">
        <v>500392</v>
      </c>
      <c r="B44" s="257">
        <v>1105</v>
      </c>
      <c r="G44" s="32"/>
      <c r="H44" s="416">
        <v>25873</v>
      </c>
      <c r="I44" s="14">
        <v>-17</v>
      </c>
    </row>
    <row r="45" spans="1:9" x14ac:dyDescent="0.2">
      <c r="B45" s="14">
        <f>SUM(B42:B44)</f>
        <v>6266</v>
      </c>
      <c r="G45" s="32"/>
      <c r="H45" s="416">
        <v>26758</v>
      </c>
      <c r="I45" s="14">
        <v>-149</v>
      </c>
    </row>
    <row r="46" spans="1:9" x14ac:dyDescent="0.2">
      <c r="B46" s="201">
        <f>+B31</f>
        <v>2.88</v>
      </c>
      <c r="C46" s="201">
        <f>+B46*B45</f>
        <v>18046.079999999998</v>
      </c>
      <c r="H46" s="416">
        <v>26372</v>
      </c>
      <c r="I46" s="14">
        <v>1467</v>
      </c>
    </row>
    <row r="47" spans="1:9" x14ac:dyDescent="0.2">
      <c r="C47" s="339">
        <f>+C46+C39</f>
        <v>750756.28999999992</v>
      </c>
      <c r="E47" s="206"/>
      <c r="H47" s="416">
        <v>26700</v>
      </c>
      <c r="I47" s="14">
        <v>1970</v>
      </c>
    </row>
    <row r="48" spans="1:9" x14ac:dyDescent="0.2">
      <c r="E48" s="216"/>
      <c r="H48" s="416">
        <v>26422</v>
      </c>
      <c r="I48" s="14">
        <v>3940</v>
      </c>
    </row>
    <row r="49" spans="1:9" x14ac:dyDescent="0.2">
      <c r="E49" s="206"/>
      <c r="H49" s="416">
        <v>26661</v>
      </c>
      <c r="I49" s="14">
        <v>28550</v>
      </c>
    </row>
    <row r="50" spans="1:9" x14ac:dyDescent="0.2">
      <c r="C50" s="324"/>
      <c r="E50" s="216"/>
      <c r="H50" s="416">
        <v>27291</v>
      </c>
      <c r="I50" s="14">
        <v>-3361</v>
      </c>
    </row>
    <row r="51" spans="1:9" x14ac:dyDescent="0.2">
      <c r="A51" s="32" t="s">
        <v>89</v>
      </c>
      <c r="C51" s="254"/>
      <c r="H51" s="416">
        <v>27137</v>
      </c>
      <c r="I51" s="14">
        <v>-8</v>
      </c>
    </row>
    <row r="52" spans="1:9" x14ac:dyDescent="0.2">
      <c r="A52" s="32">
        <v>21665</v>
      </c>
      <c r="B52" s="15" t="s">
        <v>142</v>
      </c>
      <c r="C52" s="459">
        <v>73449.16</v>
      </c>
      <c r="D52" s="32" t="s">
        <v>123</v>
      </c>
      <c r="E52" s="50"/>
      <c r="H52" s="211">
        <v>27123</v>
      </c>
      <c r="I52" s="14">
        <v>-1347</v>
      </c>
    </row>
    <row r="53" spans="1:9" x14ac:dyDescent="0.2">
      <c r="A53" s="32">
        <v>22664</v>
      </c>
      <c r="B53" s="15" t="s">
        <v>142</v>
      </c>
      <c r="C53" s="461">
        <v>23612.35</v>
      </c>
      <c r="D53" s="32" t="s">
        <v>124</v>
      </c>
      <c r="H53" s="417"/>
      <c r="I53" s="16">
        <f>SUM(I41:I52)</f>
        <v>129444</v>
      </c>
    </row>
    <row r="54" spans="1:9" x14ac:dyDescent="0.2">
      <c r="A54" s="32">
        <v>20248</v>
      </c>
      <c r="B54" s="15" t="s">
        <v>143</v>
      </c>
      <c r="C54" s="330">
        <v>141061.91</v>
      </c>
      <c r="D54" s="15"/>
      <c r="E54" s="15"/>
      <c r="H54" s="331"/>
      <c r="I54" s="87"/>
    </row>
    <row r="55" spans="1:9" x14ac:dyDescent="0.2">
      <c r="A55" s="32">
        <v>25873</v>
      </c>
      <c r="C55" s="330">
        <v>-259</v>
      </c>
      <c r="D55" s="15"/>
      <c r="H55" s="15"/>
    </row>
    <row r="56" spans="1:9" x14ac:dyDescent="0.2">
      <c r="A56" s="32">
        <v>26758</v>
      </c>
      <c r="C56" s="330">
        <v>-596</v>
      </c>
      <c r="D56" s="15"/>
      <c r="H56" s="15"/>
    </row>
    <row r="57" spans="1:9" x14ac:dyDescent="0.2">
      <c r="A57" s="32">
        <v>26372</v>
      </c>
      <c r="C57" s="330">
        <v>2997.09</v>
      </c>
      <c r="D57" s="15"/>
      <c r="H57" s="15"/>
    </row>
    <row r="58" spans="1:9" x14ac:dyDescent="0.2">
      <c r="A58" s="32">
        <v>26700</v>
      </c>
      <c r="C58" s="330">
        <v>4077.9</v>
      </c>
      <c r="D58" s="15"/>
      <c r="H58" s="331"/>
    </row>
    <row r="59" spans="1:9" x14ac:dyDescent="0.2">
      <c r="A59" s="32">
        <v>26422</v>
      </c>
      <c r="C59" s="330">
        <v>8155.8</v>
      </c>
      <c r="D59" s="15"/>
      <c r="H59" s="47"/>
    </row>
    <row r="60" spans="1:9" x14ac:dyDescent="0.2">
      <c r="A60" s="32">
        <v>26661</v>
      </c>
      <c r="C60" s="330">
        <v>146862.35</v>
      </c>
      <c r="D60" s="15"/>
      <c r="H60" s="342"/>
      <c r="I60" s="32"/>
    </row>
    <row r="61" spans="1:9" x14ac:dyDescent="0.2">
      <c r="A61" s="32">
        <v>27291</v>
      </c>
      <c r="C61" s="330">
        <v>-17965</v>
      </c>
      <c r="D61" s="15"/>
    </row>
    <row r="62" spans="1:9" x14ac:dyDescent="0.2">
      <c r="A62" s="32">
        <v>27137</v>
      </c>
      <c r="C62" s="330">
        <v>-67.28</v>
      </c>
      <c r="D62" s="15"/>
    </row>
    <row r="63" spans="1:9" x14ac:dyDescent="0.2">
      <c r="A63" s="32">
        <v>27123</v>
      </c>
      <c r="C63" s="408">
        <v>-6425.19</v>
      </c>
      <c r="D63" s="15"/>
    </row>
    <row r="64" spans="1:9" x14ac:dyDescent="0.2">
      <c r="C64" s="331">
        <f>+C19+C32+C47+C52+C53+C54+C55+C56+C57+C58+C59+C60+C61+C62+C63</f>
        <v>2678709.58</v>
      </c>
    </row>
    <row r="65" spans="3:3" x14ac:dyDescent="0.2">
      <c r="C65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5" workbookViewId="3">
      <selection activeCell="E24" sqref="E24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195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158</v>
      </c>
      <c r="I33" s="382">
        <v>23995</v>
      </c>
      <c r="J33" s="382">
        <v>22051</v>
      </c>
      <c r="K33" s="38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455991</v>
      </c>
      <c r="E35" s="11">
        <f>SUM(E4:E34)</f>
        <v>492240</v>
      </c>
      <c r="F35" s="11">
        <f>SUM(F4:F34)</f>
        <v>36215</v>
      </c>
      <c r="G35" s="11"/>
      <c r="H35" s="49">
        <f>+A40</f>
        <v>37123</v>
      </c>
      <c r="I35" s="380">
        <f>+C36</f>
        <v>-34</v>
      </c>
      <c r="J35" s="380">
        <f>+E36</f>
        <v>36249</v>
      </c>
      <c r="K35" s="208"/>
      <c r="L35" s="14"/>
    </row>
    <row r="36" spans="1:13" x14ac:dyDescent="0.2">
      <c r="C36" s="25">
        <f>+C35-B35</f>
        <v>-34</v>
      </c>
      <c r="E36" s="25">
        <f>+E35-D35</f>
        <v>36249</v>
      </c>
      <c r="F36" s="25">
        <f>+E36+C36</f>
        <v>36215</v>
      </c>
      <c r="H36" s="32"/>
      <c r="I36" s="14">
        <f>+I35+I34</f>
        <v>-178519</v>
      </c>
      <c r="J36" s="14">
        <f>+J35+J34</f>
        <v>-44283</v>
      </c>
      <c r="K36" s="14">
        <f>+J36+I36</f>
        <v>-222802</v>
      </c>
      <c r="L36" s="14"/>
    </row>
    <row r="37" spans="1:13" x14ac:dyDescent="0.2">
      <c r="C37" s="329">
        <f>+summary!H5</f>
        <v>2.98</v>
      </c>
      <c r="E37" s="104">
        <f>+C37</f>
        <v>2.98</v>
      </c>
      <c r="F37" s="138">
        <f>+F36*E37</f>
        <v>107920.7</v>
      </c>
    </row>
    <row r="38" spans="1:13" x14ac:dyDescent="0.2">
      <c r="C38" s="138">
        <f>+C37*C36</f>
        <v>-101.32</v>
      </c>
      <c r="E38" s="136">
        <f>+E37*E36</f>
        <v>108022.02</v>
      </c>
      <c r="F38" s="138">
        <f>+E38+C38</f>
        <v>107920.7</v>
      </c>
      <c r="J38" s="12">
        <v>22864</v>
      </c>
      <c r="K38" s="14">
        <v>-24566</v>
      </c>
    </row>
    <row r="39" spans="1:13" x14ac:dyDescent="0.2">
      <c r="A39" s="57">
        <v>37103</v>
      </c>
      <c r="B39" s="2" t="s">
        <v>46</v>
      </c>
      <c r="C39" s="370">
        <v>-1023166</v>
      </c>
      <c r="D39" s="338"/>
      <c r="E39" s="455">
        <v>-496043.34</v>
      </c>
      <c r="F39" s="337">
        <f>+E39+C39</f>
        <v>-1519209.34</v>
      </c>
      <c r="J39" s="12">
        <v>20379</v>
      </c>
      <c r="K39" s="14">
        <v>2979</v>
      </c>
    </row>
    <row r="40" spans="1:13" x14ac:dyDescent="0.2">
      <c r="A40" s="57">
        <v>37123</v>
      </c>
      <c r="B40" s="2" t="s">
        <v>46</v>
      </c>
      <c r="C40" s="330">
        <f>+C39+C38</f>
        <v>-1023267.32</v>
      </c>
      <c r="D40" s="259"/>
      <c r="E40" s="330">
        <f>+E39+E38</f>
        <v>-388021.32</v>
      </c>
      <c r="F40" s="330">
        <f>+E40+C40</f>
        <v>-1411288.64</v>
      </c>
      <c r="H40" s="131"/>
      <c r="J40" s="12">
        <v>21459</v>
      </c>
      <c r="K40" s="14">
        <v>6776</v>
      </c>
    </row>
    <row r="41" spans="1:13" x14ac:dyDescent="0.2">
      <c r="C41" s="349"/>
      <c r="D41" s="250"/>
      <c r="E41" s="250"/>
      <c r="H41" s="31"/>
      <c r="J41" s="12">
        <v>26357</v>
      </c>
      <c r="K41" s="14">
        <v>26521</v>
      </c>
    </row>
    <row r="42" spans="1:13" x14ac:dyDescent="0.2">
      <c r="C42" s="250"/>
      <c r="D42" s="250"/>
      <c r="E42" s="250"/>
      <c r="J42" s="12">
        <v>21544</v>
      </c>
      <c r="K42" s="14">
        <v>36108</v>
      </c>
    </row>
    <row r="43" spans="1:13" x14ac:dyDescent="0.2">
      <c r="C43" s="250"/>
      <c r="D43" s="250"/>
      <c r="E43" s="12" t="s">
        <v>115</v>
      </c>
      <c r="J43" s="12">
        <v>24532</v>
      </c>
      <c r="K43" s="212">
        <v>17769</v>
      </c>
    </row>
    <row r="44" spans="1:13" x14ac:dyDescent="0.2">
      <c r="C44" s="250"/>
      <c r="D44" s="250"/>
      <c r="E44" s="12">
        <v>22864</v>
      </c>
      <c r="F44" s="460">
        <v>-58339.66</v>
      </c>
      <c r="G44" s="254" t="s">
        <v>49</v>
      </c>
      <c r="K44" s="14">
        <f>SUM(K36:K43)</f>
        <v>-157215</v>
      </c>
    </row>
    <row r="45" spans="1:13" x14ac:dyDescent="0.2">
      <c r="C45" s="250"/>
      <c r="D45" s="250"/>
      <c r="E45" s="12">
        <v>20379</v>
      </c>
      <c r="F45" s="460">
        <v>-51695.87</v>
      </c>
      <c r="G45" s="254" t="s">
        <v>126</v>
      </c>
      <c r="M45" s="14"/>
    </row>
    <row r="46" spans="1:13" x14ac:dyDescent="0.2">
      <c r="C46" s="250"/>
      <c r="D46" s="250"/>
      <c r="E46" s="12">
        <v>21459</v>
      </c>
      <c r="F46" s="372">
        <v>10570.56</v>
      </c>
      <c r="G46" s="250"/>
      <c r="M46" s="14"/>
    </row>
    <row r="47" spans="1:13" x14ac:dyDescent="0.2">
      <c r="C47" s="250"/>
      <c r="D47" s="250"/>
      <c r="E47" s="12">
        <v>26357</v>
      </c>
      <c r="F47" s="372">
        <v>44144.84</v>
      </c>
      <c r="G47" s="254" t="s">
        <v>127</v>
      </c>
    </row>
    <row r="48" spans="1:13" x14ac:dyDescent="0.2">
      <c r="C48" s="250"/>
      <c r="D48" s="250"/>
      <c r="E48" s="12">
        <v>21544</v>
      </c>
      <c r="F48" s="460">
        <v>61340.160000000003</v>
      </c>
      <c r="G48" s="254" t="s">
        <v>128</v>
      </c>
    </row>
    <row r="49" spans="3:13" x14ac:dyDescent="0.2">
      <c r="C49" s="250"/>
      <c r="D49" s="250"/>
      <c r="E49" s="12">
        <v>24532</v>
      </c>
      <c r="F49" s="461">
        <v>-762222.24</v>
      </c>
      <c r="G49" s="254" t="s">
        <v>125</v>
      </c>
    </row>
    <row r="50" spans="3:13" x14ac:dyDescent="0.2">
      <c r="C50" s="250"/>
      <c r="D50" s="250"/>
      <c r="F50" s="350">
        <f>SUM(F40:F49)</f>
        <v>-2167490.8499999996</v>
      </c>
      <c r="G50" s="250"/>
    </row>
    <row r="51" spans="3:13" x14ac:dyDescent="0.2">
      <c r="C51" s="250"/>
      <c r="D51" s="250"/>
      <c r="F51" s="250"/>
      <c r="G51" s="250"/>
    </row>
    <row r="52" spans="3:13" x14ac:dyDescent="0.2">
      <c r="E52" s="2" t="s">
        <v>144</v>
      </c>
      <c r="F52" s="138">
        <f>+Duke!C64</f>
        <v>2678709.58</v>
      </c>
      <c r="M52" s="14">
        <f>+Duke!I53</f>
        <v>129444</v>
      </c>
    </row>
    <row r="54" spans="3:13" x14ac:dyDescent="0.2">
      <c r="F54" s="104">
        <f>+F52+F50</f>
        <v>511218.73000000045</v>
      </c>
      <c r="M54" s="16">
        <f>+M52+K44</f>
        <v>-27771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28" sqref="G28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135804</v>
      </c>
      <c r="C39" s="11">
        <f t="shared" si="1"/>
        <v>123602</v>
      </c>
      <c r="D39" s="11">
        <f t="shared" si="1"/>
        <v>0</v>
      </c>
      <c r="E39" s="11">
        <f t="shared" si="1"/>
        <v>0</v>
      </c>
      <c r="F39" s="11">
        <f t="shared" si="1"/>
        <v>21435</v>
      </c>
      <c r="G39" s="11">
        <f t="shared" si="1"/>
        <v>23000</v>
      </c>
      <c r="H39" s="11">
        <f t="shared" si="1"/>
        <v>28492</v>
      </c>
      <c r="I39" s="11">
        <f t="shared" si="1"/>
        <v>25660</v>
      </c>
      <c r="J39" s="25">
        <f t="shared" si="1"/>
        <v>-13469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-38790.720000000001</v>
      </c>
      <c r="L41"/>
      <c r="R41" s="138"/>
      <c r="X41" s="138"/>
    </row>
    <row r="42" spans="1:24" x14ac:dyDescent="0.2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37123</v>
      </c>
      <c r="C43" s="48"/>
      <c r="J43" s="138">
        <f>+J42+J41</f>
        <v>334051.16000000003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158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37123</v>
      </c>
      <c r="B48" s="32"/>
      <c r="C48" s="32"/>
      <c r="D48" s="380">
        <f>+J39</f>
        <v>-13469</v>
      </c>
      <c r="L48"/>
    </row>
    <row r="49" spans="1:12" x14ac:dyDescent="0.2">
      <c r="A49" s="32"/>
      <c r="B49" s="32"/>
      <c r="C49" s="32"/>
      <c r="D49" s="14">
        <f>+D48+D47</f>
        <v>132936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2" workbookViewId="3">
      <selection activeCell="E50" sqref="E50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236654</v>
      </c>
      <c r="C39" s="11">
        <f>SUM(C8:C38)</f>
        <v>230028</v>
      </c>
      <c r="D39" s="11">
        <f>SUM(D8:D38)</f>
        <v>-432</v>
      </c>
      <c r="E39" s="11">
        <f>SUM(E8:E38)</f>
        <v>0</v>
      </c>
      <c r="F39" s="11">
        <f>SUM(F8:F38)</f>
        <v>-6194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-17838.719999999998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37123</v>
      </c>
      <c r="C43" s="48"/>
      <c r="D43" s="48"/>
      <c r="E43" s="48"/>
      <c r="F43" s="110">
        <f>+F42+F41</f>
        <v>424337.80000000005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158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37123</v>
      </c>
      <c r="B48" s="32"/>
      <c r="C48" s="32"/>
      <c r="D48" s="380">
        <f>+F39</f>
        <v>-6194</v>
      </c>
      <c r="E48" s="11"/>
    </row>
    <row r="49" spans="1:5" x14ac:dyDescent="0.2">
      <c r="A49" s="32"/>
      <c r="B49" s="32"/>
      <c r="C49" s="32"/>
      <c r="D49" s="14">
        <f>+D48+D47</f>
        <v>-241972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workbookViewId="3">
      <selection activeCell="B12" sqref="B12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">
      <c r="G3" s="299" t="s">
        <v>30</v>
      </c>
      <c r="H3" s="373">
        <f>+'[1]0701'!$K$39</f>
        <v>2.69</v>
      </c>
      <c r="I3" s="409">
        <f ca="1">NOW()</f>
        <v>37125.564813657409</v>
      </c>
    </row>
    <row r="4" spans="1:32" ht="15" customHeight="1" x14ac:dyDescent="0.2">
      <c r="A4" s="34" t="s">
        <v>153</v>
      </c>
      <c r="C4" s="34" t="s">
        <v>5</v>
      </c>
      <c r="G4" s="300" t="s">
        <v>31</v>
      </c>
      <c r="H4" s="301">
        <f>+'[1]0701'!$M$39</f>
        <v>2.88</v>
      </c>
    </row>
    <row r="5" spans="1:32" ht="15" customHeight="1" x14ac:dyDescent="0.2">
      <c r="B5" s="368"/>
      <c r="G5" s="299" t="s">
        <v>120</v>
      </c>
      <c r="H5" s="373">
        <f>+'[1]0701'!$H$39</f>
        <v>2.98</v>
      </c>
    </row>
    <row r="6" spans="1:32" ht="9.9499999999999993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154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75" t="s">
        <v>29</v>
      </c>
      <c r="B8" s="376">
        <f>+C8*$H$3</f>
        <v>837203.32</v>
      </c>
      <c r="C8" s="285">
        <f>+williams!J40</f>
        <v>311228</v>
      </c>
      <c r="D8" s="398">
        <f>+williams!A40</f>
        <v>37123</v>
      </c>
      <c r="E8" s="206" t="s">
        <v>87</v>
      </c>
      <c r="F8" s="206" t="s">
        <v>152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75" t="s">
        <v>90</v>
      </c>
      <c r="B9" s="376">
        <f>+NNG!$D$24</f>
        <v>502623.64999999997</v>
      </c>
      <c r="C9" s="285">
        <f t="shared" ref="C9:C14" si="0">+B9/$H$4</f>
        <v>174522.10069444444</v>
      </c>
      <c r="D9" s="398">
        <f>+NNG!A24</f>
        <v>37123</v>
      </c>
      <c r="E9" s="206" t="s">
        <v>88</v>
      </c>
      <c r="F9" s="206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83</v>
      </c>
      <c r="B10" s="376">
        <f>+Conoco!$F$41</f>
        <v>588898.11</v>
      </c>
      <c r="C10" s="285">
        <f t="shared" si="0"/>
        <v>204478.51041666666</v>
      </c>
      <c r="D10" s="398">
        <f>+Conoco!A41</f>
        <v>37123</v>
      </c>
      <c r="E10" s="32" t="s">
        <v>88</v>
      </c>
      <c r="F10" s="32" t="s">
        <v>116</v>
      </c>
      <c r="G10" s="32" t="s">
        <v>150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155</v>
      </c>
      <c r="B11" s="376">
        <f>+PGETX!$H$39</f>
        <v>489762.08999999997</v>
      </c>
      <c r="C11" s="285">
        <f t="shared" si="0"/>
        <v>170056.28125</v>
      </c>
      <c r="D11" s="399">
        <f>+PGETX!E39</f>
        <v>37123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6">
        <f>+KN_Westar!F41</f>
        <v>466016.14999999997</v>
      </c>
      <c r="C12" s="285">
        <f t="shared" si="0"/>
        <v>161811.16319444444</v>
      </c>
      <c r="D12" s="399">
        <f>+KN_Westar!A41</f>
        <v>37123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6">
        <f>+CIG!$D$43</f>
        <v>428914.36</v>
      </c>
      <c r="C13" s="285">
        <f t="shared" si="0"/>
        <v>148928.59722222222</v>
      </c>
      <c r="D13" s="399">
        <f>+CIG!A43</f>
        <v>37122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76">
        <f>+'Amoco Abo'!$F$43</f>
        <v>424337.80000000005</v>
      </c>
      <c r="C14" s="285">
        <f t="shared" si="0"/>
        <v>147339.51388888891</v>
      </c>
      <c r="D14" s="399">
        <f>+'Amoco Abo'!A43</f>
        <v>37123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91</v>
      </c>
      <c r="B15" s="376">
        <f>+C15*$H$4</f>
        <v>396728.64</v>
      </c>
      <c r="C15" s="285">
        <f>+NGPL!F38</f>
        <v>137753</v>
      </c>
      <c r="D15" s="399">
        <f>+NGPL!A38</f>
        <v>37123</v>
      </c>
      <c r="E15" s="32" t="s">
        <v>87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131</v>
      </c>
      <c r="B16" s="376">
        <f>+DEFS!F54</f>
        <v>511218.73000000045</v>
      </c>
      <c r="C16" s="208">
        <f>+B16/$H$4</f>
        <v>177506.50347222239</v>
      </c>
      <c r="D16" s="399">
        <f>+DEFS!A40</f>
        <v>37123</v>
      </c>
      <c r="E16" s="32" t="s">
        <v>88</v>
      </c>
      <c r="F16" s="32" t="s">
        <v>103</v>
      </c>
      <c r="G16" s="32" t="s">
        <v>121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97</v>
      </c>
      <c r="B17" s="376">
        <f>+C17*$H$4</f>
        <v>420572.15999999997</v>
      </c>
      <c r="C17" s="285">
        <f>+Mojave!D40</f>
        <v>146032</v>
      </c>
      <c r="D17" s="399">
        <f>+Mojave!A40</f>
        <v>37123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375" t="s">
        <v>33</v>
      </c>
      <c r="B18" s="376">
        <f>+C18*$H$4</f>
        <v>480424.32</v>
      </c>
      <c r="C18" s="208">
        <f>+SoCal!F40</f>
        <v>166814</v>
      </c>
      <c r="D18" s="398">
        <f>+SoCal!A40</f>
        <v>37123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24</v>
      </c>
      <c r="B19" s="464">
        <f>+C19*H3</f>
        <v>371225.38</v>
      </c>
      <c r="C19" s="378">
        <f>+'Red C'!F43</f>
        <v>138002</v>
      </c>
      <c r="D19" s="398">
        <f>+'Red C'!B43</f>
        <v>37123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2</v>
      </c>
      <c r="B20" s="376">
        <f>+mewborne!$J$43</f>
        <v>334051.16000000003</v>
      </c>
      <c r="C20" s="285">
        <f>+B20/$H$4</f>
        <v>115989.98611111112</v>
      </c>
      <c r="D20" s="399">
        <f>+mewborne!A43</f>
        <v>37123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6">
        <f>+C21*$H$3</f>
        <v>266331.52000000002</v>
      </c>
      <c r="C21" s="285">
        <f>+Amoco!D40</f>
        <v>99008</v>
      </c>
      <c r="D21" s="399">
        <f>+Amoco!A40</f>
        <v>37123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149</v>
      </c>
      <c r="B22" s="377">
        <f>+C22*$H$4</f>
        <v>185731.19999999998</v>
      </c>
      <c r="C22" s="378">
        <f>+PEPL!D41</f>
        <v>64490</v>
      </c>
      <c r="D22" s="399">
        <f>+PEPL!A41</f>
        <v>37123</v>
      </c>
      <c r="E22" s="32" t="s">
        <v>87</v>
      </c>
      <c r="F22" s="32" t="s">
        <v>103</v>
      </c>
      <c r="G22" s="32" t="s">
        <v>148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85</v>
      </c>
      <c r="B23" s="376">
        <f>+PNM!$D$23</f>
        <v>163534.38999999998</v>
      </c>
      <c r="C23" s="285">
        <f>+B23/$H$4</f>
        <v>56782.774305555555</v>
      </c>
      <c r="D23" s="399">
        <f>+PNM!A23</f>
        <v>37123</v>
      </c>
      <c r="E23" s="32" t="s">
        <v>88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32</v>
      </c>
      <c r="B24" s="376">
        <f>+C24*$H$4</f>
        <v>178862.4</v>
      </c>
      <c r="C24" s="285">
        <f>+Lonestar!F42</f>
        <v>62105</v>
      </c>
      <c r="D24" s="398">
        <f>+Lonestar!B42</f>
        <v>37123</v>
      </c>
      <c r="E24" s="32" t="s">
        <v>87</v>
      </c>
      <c r="F24" s="32" t="s">
        <v>105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106</v>
      </c>
      <c r="B25" s="376">
        <f>+EOG!J41</f>
        <v>74249.320000000007</v>
      </c>
      <c r="C25" s="285">
        <f>+B25/$H$4</f>
        <v>25781.013888888891</v>
      </c>
      <c r="D25" s="398">
        <f>+EOG!A41</f>
        <v>37123</v>
      </c>
      <c r="E25" s="32" t="s">
        <v>88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34</v>
      </c>
      <c r="B26" s="376">
        <f>+'El Paso'!C39*summary!H4+'El Paso'!E39*summary!H3</f>
        <v>13556.110000000015</v>
      </c>
      <c r="C26" s="285">
        <f>+'El Paso'!H39</f>
        <v>500</v>
      </c>
      <c r="D26" s="399">
        <f>+'El Paso'!A39</f>
        <v>37123</v>
      </c>
      <c r="E26" s="32" t="s">
        <v>87</v>
      </c>
      <c r="F26" s="32" t="s">
        <v>103</v>
      </c>
      <c r="G26" s="32" t="s">
        <v>122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136</v>
      </c>
      <c r="B27" s="376">
        <f>+SidR!D41</f>
        <v>160593.28</v>
      </c>
      <c r="C27" s="285">
        <f>+B27/$H$4</f>
        <v>55761.555555555555</v>
      </c>
      <c r="D27" s="399">
        <f>+SidR!A41</f>
        <v>37123</v>
      </c>
      <c r="E27" s="32" t="s">
        <v>88</v>
      </c>
      <c r="F27" s="32" t="s">
        <v>105</v>
      </c>
      <c r="G27" s="32" t="s">
        <v>169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7</v>
      </c>
      <c r="B28" s="376">
        <f>+C28*$H$4</f>
        <v>120821.75999999999</v>
      </c>
      <c r="C28" s="208">
        <f>+Oasis!D40</f>
        <v>41952</v>
      </c>
      <c r="D28" s="399">
        <f>+Oasis!B40</f>
        <v>37123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117</v>
      </c>
      <c r="B29" s="376">
        <f>+C29*$H$4</f>
        <v>71809.919999999998</v>
      </c>
      <c r="C29" s="208">
        <f>+'PG&amp;E'!D40</f>
        <v>24934</v>
      </c>
      <c r="D29" s="399">
        <f>+'PG&amp;E'!A40</f>
        <v>37123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5" t="s">
        <v>132</v>
      </c>
      <c r="B30" s="376">
        <f>+Calpine!D41</f>
        <v>127115.95999999999</v>
      </c>
      <c r="C30" s="208">
        <f>+B30/$H$4</f>
        <v>44137.486111111109</v>
      </c>
      <c r="D30" s="398">
        <f>+Calpine!A41</f>
        <v>37123</v>
      </c>
      <c r="E30" s="206" t="s">
        <v>88</v>
      </c>
      <c r="F30" s="206" t="s">
        <v>102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253" t="s">
        <v>1</v>
      </c>
      <c r="B31" s="376">
        <f>+C31*$H$3</f>
        <v>203355.93</v>
      </c>
      <c r="C31" s="208">
        <f>+NW!$F$41</f>
        <v>75597</v>
      </c>
      <c r="D31" s="398">
        <f>+NW!B41</f>
        <v>37123</v>
      </c>
      <c r="E31" s="32" t="s">
        <v>87</v>
      </c>
      <c r="F31" s="32" t="s">
        <v>118</v>
      </c>
      <c r="G31" s="382"/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375" t="s">
        <v>98</v>
      </c>
      <c r="B32" s="376">
        <f>+burlington!D42</f>
        <v>13714.799999999996</v>
      </c>
      <c r="C32" s="285">
        <f>+B32/$H$3</f>
        <v>5098.4386617100354</v>
      </c>
      <c r="D32" s="398">
        <f>+burlington!A42</f>
        <v>37123</v>
      </c>
      <c r="E32" s="206" t="s">
        <v>88</v>
      </c>
      <c r="F32" s="32" t="s">
        <v>116</v>
      </c>
      <c r="G32" s="32" t="s">
        <v>151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75" t="s">
        <v>74</v>
      </c>
      <c r="B33" s="429">
        <f>+transcol!$D$43</f>
        <v>19062.740000000002</v>
      </c>
      <c r="C33" s="293">
        <f>+B33/$H$4</f>
        <v>6619.0069444444453</v>
      </c>
      <c r="D33" s="398">
        <f>+transcol!A43</f>
        <v>37123</v>
      </c>
      <c r="E33" s="206" t="s">
        <v>88</v>
      </c>
      <c r="F33" s="206" t="s">
        <v>118</v>
      </c>
      <c r="G33" s="304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7850715.2000000011</v>
      </c>
      <c r="C34" s="69">
        <f>SUM(C8:C33)</f>
        <v>2763227.9317172659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6" t="s">
        <v>92</v>
      </c>
      <c r="B36" s="357" t="s">
        <v>17</v>
      </c>
      <c r="C36" s="358" t="s">
        <v>0</v>
      </c>
      <c r="D36" s="367" t="s">
        <v>154</v>
      </c>
      <c r="E36" s="356" t="s">
        <v>93</v>
      </c>
      <c r="F36" s="359" t="s">
        <v>104</v>
      </c>
      <c r="G36" s="356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5" t="s">
        <v>140</v>
      </c>
      <c r="B37" s="376">
        <f>+Citizens!D18</f>
        <v>-802219.70000000007</v>
      </c>
      <c r="C37" s="208">
        <f>+B37/$H$4</f>
        <v>-278548.5069444445</v>
      </c>
      <c r="D37" s="398">
        <f>+Citizens!A18</f>
        <v>37123</v>
      </c>
      <c r="E37" s="206" t="s">
        <v>88</v>
      </c>
      <c r="F37" s="206" t="s">
        <v>102</v>
      </c>
      <c r="G37" s="38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6">
        <f>+'NS Steel'!D41</f>
        <v>-433979.5</v>
      </c>
      <c r="C38" s="208">
        <f>+B38/$H$4</f>
        <v>-150687.32638888891</v>
      </c>
      <c r="D38" s="399">
        <f>+'NS Steel'!A41</f>
        <v>37123</v>
      </c>
      <c r="E38" s="32" t="s">
        <v>88</v>
      </c>
      <c r="F38" s="32" t="s">
        <v>103</v>
      </c>
      <c r="G38" s="38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145</v>
      </c>
      <c r="B39" s="376">
        <f>+'Citizens-Griffith'!D41</f>
        <v>-187183.12000000002</v>
      </c>
      <c r="C39" s="285">
        <f>+B39/$H$4</f>
        <v>-64994.138888888898</v>
      </c>
      <c r="D39" s="398">
        <f>+'Citizens-Griffith'!A41</f>
        <v>37123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75" t="s">
        <v>82</v>
      </c>
      <c r="B40" s="376">
        <f>+Agave!$D$24</f>
        <v>-159048.03</v>
      </c>
      <c r="C40" s="208">
        <f>+B40/$H$4</f>
        <v>-55225.010416666672</v>
      </c>
      <c r="D40" s="398">
        <f>+Agave!A24</f>
        <v>37123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134</v>
      </c>
      <c r="B41" s="376">
        <f>+EPFS!D41</f>
        <v>-83845.72</v>
      </c>
      <c r="C41" s="208">
        <f>+B41/$H$5</f>
        <v>-28136.147651006711</v>
      </c>
      <c r="D41" s="398">
        <f>+EPFS!A41</f>
        <v>37123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9">
        <f>+Continental!F43</f>
        <v>-5216.57</v>
      </c>
      <c r="C42" s="380">
        <f>+B42/$H$4</f>
        <v>-1811.3090277777778</v>
      </c>
      <c r="D42" s="399">
        <f>+Continental!A43</f>
        <v>37123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6">
        <f>SUM(B37:B42)</f>
        <v>-1671492.6400000004</v>
      </c>
      <c r="C43" s="208">
        <f>SUM(C37:C42)</f>
        <v>-579402.43931767333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4">
        <f>+B43+B34</f>
        <v>6179222.5600000005</v>
      </c>
      <c r="C45" s="385">
        <f>+C43+C34</f>
        <v>2183825.4923995924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-547006</v>
      </c>
      <c r="C7" s="80">
        <v>-268386</v>
      </c>
      <c r="D7" s="80">
        <f t="shared" si="0"/>
        <v>278620</v>
      </c>
    </row>
    <row r="8" spans="1:8" x14ac:dyDescent="0.2">
      <c r="A8" s="32">
        <v>60667</v>
      </c>
      <c r="B8" s="323">
        <v>-404726</v>
      </c>
      <c r="C8" s="80"/>
      <c r="D8" s="80">
        <f t="shared" si="0"/>
        <v>404726</v>
      </c>
      <c r="H8" s="254"/>
    </row>
    <row r="9" spans="1:8" x14ac:dyDescent="0.2">
      <c r="A9" s="32">
        <v>60749</v>
      </c>
      <c r="B9" s="323">
        <v>851926</v>
      </c>
      <c r="C9" s="80">
        <v>71704</v>
      </c>
      <c r="D9" s="80">
        <f t="shared" si="0"/>
        <v>-780222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-69936</v>
      </c>
    </row>
    <row r="19" spans="1:5" x14ac:dyDescent="0.2">
      <c r="A19" s="32" t="s">
        <v>84</v>
      </c>
      <c r="B19" s="69"/>
      <c r="C19" s="69"/>
      <c r="D19" s="73">
        <f>+summary!H4</f>
        <v>2.88</v>
      </c>
    </row>
    <row r="20" spans="1:5" x14ac:dyDescent="0.2">
      <c r="B20" s="69"/>
      <c r="C20" s="69"/>
      <c r="D20" s="75">
        <f>+D19*D18</f>
        <v>-201415.67999999999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37123</v>
      </c>
      <c r="B24" s="69"/>
      <c r="C24" s="69"/>
      <c r="D24" s="352">
        <f>+D22+D20</f>
        <v>502623.64999999997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158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37123</v>
      </c>
      <c r="D33" s="380">
        <f>+D18</f>
        <v>-69936</v>
      </c>
    </row>
    <row r="34" spans="1:4" x14ac:dyDescent="0.2">
      <c r="D34" s="14">
        <f>+D33+D32</f>
        <v>10100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-42230</v>
      </c>
      <c r="C5" s="90">
        <v>-24184</v>
      </c>
      <c r="D5" s="90">
        <f t="shared" ref="D5:D13" si="0">+C5-B5</f>
        <v>18046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-2225733</v>
      </c>
      <c r="C7" s="90">
        <v>-2341738</v>
      </c>
      <c r="D7" s="90">
        <f t="shared" si="0"/>
        <v>-116005</v>
      </c>
      <c r="E7" s="285"/>
      <c r="F7" s="70"/>
    </row>
    <row r="8" spans="1:13" x14ac:dyDescent="0.2">
      <c r="A8" s="87">
        <v>58710</v>
      </c>
      <c r="B8" s="365">
        <v>-21848</v>
      </c>
      <c r="C8" s="90">
        <v>-880</v>
      </c>
      <c r="D8" s="90">
        <f t="shared" si="0"/>
        <v>20968</v>
      </c>
      <c r="E8" s="285"/>
      <c r="F8" s="70"/>
    </row>
    <row r="9" spans="1:13" x14ac:dyDescent="0.2">
      <c r="A9" s="87">
        <v>60921</v>
      </c>
      <c r="B9" s="319">
        <v>1940904</v>
      </c>
      <c r="C9" s="90">
        <v>1927353</v>
      </c>
      <c r="D9" s="90">
        <f t="shared" si="0"/>
        <v>-13551</v>
      </c>
      <c r="E9" s="285"/>
      <c r="F9" s="70"/>
    </row>
    <row r="10" spans="1:13" x14ac:dyDescent="0.2">
      <c r="A10" s="87">
        <v>78026</v>
      </c>
      <c r="B10" s="365"/>
      <c r="C10" s="90">
        <v>48100</v>
      </c>
      <c r="D10" s="90">
        <f t="shared" si="0"/>
        <v>48100</v>
      </c>
      <c r="E10" s="285"/>
      <c r="F10" s="283"/>
    </row>
    <row r="11" spans="1:13" x14ac:dyDescent="0.2">
      <c r="A11" s="87">
        <v>500084</v>
      </c>
      <c r="B11" s="365">
        <v>-16165</v>
      </c>
      <c r="C11" s="90">
        <v>-20000</v>
      </c>
      <c r="D11" s="90">
        <f t="shared" si="0"/>
        <v>-3835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-46266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2.88</v>
      </c>
      <c r="E18" s="287"/>
      <c r="F18" s="283"/>
    </row>
    <row r="19" spans="1:7" x14ac:dyDescent="0.2">
      <c r="A19" s="87"/>
      <c r="B19" s="88"/>
      <c r="C19" s="88"/>
      <c r="D19" s="96">
        <f>+D18*D17</f>
        <v>-133246.07999999999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37123</v>
      </c>
      <c r="B23" s="88"/>
      <c r="C23" s="88"/>
      <c r="D23" s="334">
        <f>+D21+D19</f>
        <v>163534.38999999998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158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80">
        <f>+D17</f>
        <v>-46266</v>
      </c>
    </row>
    <row r="30" spans="1:7" x14ac:dyDescent="0.2">
      <c r="A30" s="32"/>
      <c r="B30" s="32"/>
      <c r="C30" s="32"/>
      <c r="D30" s="14">
        <f>+D29+D28</f>
        <v>21354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5" workbookViewId="3">
      <selection activeCell="C47" sqref="C4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7">
        <v>63907</v>
      </c>
      <c r="C20" s="347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7">
        <v>63938</v>
      </c>
      <c r="C21" s="347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7">
        <v>58756</v>
      </c>
      <c r="C22" s="347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865280</v>
      </c>
      <c r="C34" s="297">
        <f>SUM(C3:C33)</f>
        <v>851526</v>
      </c>
      <c r="D34" s="14">
        <f>SUM(D3:D33)</f>
        <v>-965</v>
      </c>
      <c r="E34" s="14">
        <f>SUM(E3:E33)</f>
        <v>0</v>
      </c>
      <c r="F34" s="14">
        <f>SUM(F3:F33)</f>
        <v>-12789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">
      <c r="A38" s="263">
        <v>37123</v>
      </c>
      <c r="B38" s="14"/>
      <c r="C38" s="14"/>
      <c r="D38" s="14"/>
      <c r="E38" s="14"/>
      <c r="F38" s="150">
        <f>+F37+F34</f>
        <v>137753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159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">
      <c r="A44" s="49">
        <f>+A38</f>
        <v>37123</v>
      </c>
      <c r="B44" s="32"/>
      <c r="C44" s="32"/>
      <c r="D44" s="410">
        <f>+F34*'by type'!J4</f>
        <v>-36832.32</v>
      </c>
      <c r="F44" s="304"/>
    </row>
    <row r="45" spans="1:6" x14ac:dyDescent="0.2">
      <c r="A45" s="32"/>
      <c r="B45" s="32"/>
      <c r="C45" s="32"/>
      <c r="D45" s="202">
        <f>+D44+D43</f>
        <v>348919.56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24" sqref="C24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-426507</v>
      </c>
      <c r="C35" s="11">
        <f>SUM(C4:C34)</f>
        <v>-416278</v>
      </c>
      <c r="D35" s="11">
        <f>SUM(D4:D34)</f>
        <v>10229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37123</v>
      </c>
      <c r="D40" s="51">
        <f>+D38+D35</f>
        <v>146032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37123</v>
      </c>
      <c r="B46" s="32"/>
      <c r="C46" s="32"/>
      <c r="D46" s="410">
        <f>+D35*'by type'!J4</f>
        <v>29459.52</v>
      </c>
    </row>
    <row r="47" spans="1:4" x14ac:dyDescent="0.2">
      <c r="A47" s="32"/>
      <c r="B47" s="32"/>
      <c r="C47" s="32"/>
      <c r="D47" s="202">
        <f>+D46+D45</f>
        <v>111599.52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D24" sqref="D2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469735</v>
      </c>
      <c r="C35" s="11">
        <f t="shared" ref="C35:I35" si="1">SUM(C4:C34)</f>
        <v>464143</v>
      </c>
      <c r="D35" s="11">
        <f t="shared" si="1"/>
        <v>182629</v>
      </c>
      <c r="E35" s="11">
        <f t="shared" si="1"/>
        <v>161776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-26336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-75847.679999999993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37123</v>
      </c>
      <c r="J41" s="337">
        <f>+J39+J37</f>
        <v>74249.320000000007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37123</v>
      </c>
      <c r="B47" s="32"/>
      <c r="C47" s="32"/>
      <c r="D47" s="380">
        <f>+J35</f>
        <v>-26336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-86358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3" workbookViewId="3">
      <selection activeCell="C40" sqref="C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-27045</v>
      </c>
      <c r="C25" s="24">
        <v>-27119</v>
      </c>
      <c r="D25" s="24"/>
      <c r="E25" s="24"/>
      <c r="F25" s="24">
        <f t="shared" si="0"/>
        <v>-74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-1593525</v>
      </c>
      <c r="C37" s="24">
        <f>SUM(C6:C36)</f>
        <v>-1594571</v>
      </c>
      <c r="D37" s="24">
        <f>SUM(D6:D36)</f>
        <v>-46652</v>
      </c>
      <c r="E37" s="24">
        <f>SUM(E6:E36)</f>
        <v>-46908</v>
      </c>
      <c r="F37" s="24">
        <f>SUM(F6:F36)</f>
        <v>-1302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-3749.7599999999998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37123</v>
      </c>
      <c r="E41" s="14"/>
      <c r="F41" s="104">
        <f>+F40+F39</f>
        <v>466016.14999999997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158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37123</v>
      </c>
      <c r="B47" s="32"/>
      <c r="C47" s="32"/>
      <c r="D47" s="380">
        <f>+F37</f>
        <v>-1302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27725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2.88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60">
        <v>-5216.57</v>
      </c>
    </row>
    <row r="43" spans="1:6" x14ac:dyDescent="0.2">
      <c r="A43" s="57">
        <v>37123</v>
      </c>
      <c r="C43" s="48"/>
      <c r="F43" s="138">
        <f>+F42+F41</f>
        <v>-5216.57</v>
      </c>
    </row>
    <row r="47" spans="1:6" x14ac:dyDescent="0.2">
      <c r="A47" s="32" t="s">
        <v>158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37123</v>
      </c>
      <c r="B49" s="32"/>
      <c r="C49" s="32"/>
      <c r="D49" s="380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31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">
      <c r="A40" s="26"/>
      <c r="C40" s="14"/>
      <c r="D40" s="260">
        <f>+summary!H4</f>
        <v>2.88</v>
      </c>
    </row>
    <row r="41" spans="1:4" x14ac:dyDescent="0.2">
      <c r="D41" s="138">
        <f>+D40*D39</f>
        <v>102159.36</v>
      </c>
    </row>
    <row r="42" spans="1:4" x14ac:dyDescent="0.2">
      <c r="A42" s="57">
        <v>37103</v>
      </c>
      <c r="C42" s="15"/>
      <c r="D42" s="369">
        <v>326755</v>
      </c>
    </row>
    <row r="43" spans="1:4" x14ac:dyDescent="0.2">
      <c r="A43" s="57">
        <v>37122</v>
      </c>
      <c r="C43" s="48"/>
      <c r="D43" s="138">
        <f>+D42+D41</f>
        <v>428914.36</v>
      </c>
    </row>
    <row r="46" spans="1:4" x14ac:dyDescent="0.2">
      <c r="A46" s="32" t="s">
        <v>158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37122</v>
      </c>
      <c r="B48" s="32"/>
      <c r="C48" s="32"/>
      <c r="D48" s="380">
        <f>+D39</f>
        <v>35472</v>
      </c>
    </row>
    <row r="49" spans="1:4" x14ac:dyDescent="0.2">
      <c r="A49" s="32"/>
      <c r="B49" s="32"/>
      <c r="C49" s="32"/>
      <c r="D49" s="14">
        <f>+D48+D47</f>
        <v>41761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26" sqref="C2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-81637</v>
      </c>
      <c r="C25" s="11">
        <v>-60462</v>
      </c>
      <c r="D25" s="25">
        <f t="shared" si="0"/>
        <v>21175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-1341175</v>
      </c>
      <c r="C37" s="11">
        <f>SUM(C6:C36)</f>
        <v>-1304585</v>
      </c>
      <c r="D37" s="25">
        <f>SUM(D6:D36)</f>
        <v>36590</v>
      </c>
    </row>
    <row r="38" spans="1:4" x14ac:dyDescent="0.2">
      <c r="A38" s="26"/>
      <c r="C38" s="14"/>
      <c r="D38" s="346">
        <f>+summary!H4</f>
        <v>2.88</v>
      </c>
    </row>
    <row r="39" spans="1:4" x14ac:dyDescent="0.2">
      <c r="D39" s="138">
        <f>+D38*D37</f>
        <v>105379.2</v>
      </c>
    </row>
    <row r="40" spans="1:4" x14ac:dyDescent="0.2">
      <c r="A40" s="57">
        <v>37103</v>
      </c>
      <c r="C40" s="15"/>
      <c r="D40" s="463">
        <v>21736.76</v>
      </c>
    </row>
    <row r="41" spans="1:4" x14ac:dyDescent="0.2">
      <c r="A41" s="57">
        <v>37123</v>
      </c>
      <c r="C41" s="48"/>
      <c r="D41" s="138">
        <f>+D40+D39</f>
        <v>127115.95999999999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37123</v>
      </c>
      <c r="B46" s="32"/>
      <c r="C46" s="32"/>
      <c r="D46" s="380">
        <f>+D37</f>
        <v>36590</v>
      </c>
    </row>
    <row r="47" spans="1:4" x14ac:dyDescent="0.2">
      <c r="A47" s="32"/>
      <c r="B47" s="32"/>
      <c r="C47" s="32"/>
      <c r="D47" s="14">
        <f>+D46+D45</f>
        <v>145440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32" workbookViewId="3">
      <selection activeCell="C54" sqref="C54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40414</v>
      </c>
      <c r="C25" s="11">
        <v>39600</v>
      </c>
      <c r="D25" s="25">
        <f t="shared" si="0"/>
        <v>-814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752056</v>
      </c>
      <c r="C37" s="11">
        <f>SUM(C6:C36)</f>
        <v>736712</v>
      </c>
      <c r="D37" s="25">
        <f>SUM(D6:D36)</f>
        <v>-15344</v>
      </c>
    </row>
    <row r="38" spans="1:4" x14ac:dyDescent="0.2">
      <c r="A38" s="26"/>
      <c r="C38" s="14"/>
      <c r="D38" s="346">
        <f>+summary!H5</f>
        <v>2.98</v>
      </c>
    </row>
    <row r="39" spans="1:4" x14ac:dyDescent="0.2">
      <c r="D39" s="138">
        <f>+D38*D37</f>
        <v>-45725.120000000003</v>
      </c>
    </row>
    <row r="40" spans="1:4" x14ac:dyDescent="0.2">
      <c r="A40" s="57">
        <v>37103</v>
      </c>
      <c r="C40" s="15"/>
      <c r="D40" s="360">
        <v>-38120.6</v>
      </c>
    </row>
    <row r="41" spans="1:4" x14ac:dyDescent="0.2">
      <c r="A41" s="57">
        <v>37123</v>
      </c>
      <c r="C41" s="48"/>
      <c r="D41" s="138">
        <f>+D40+D39</f>
        <v>-83845.72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37123</v>
      </c>
      <c r="B46" s="32"/>
      <c r="C46" s="32"/>
      <c r="D46" s="380">
        <f>+D37</f>
        <v>-15344</v>
      </c>
    </row>
    <row r="47" spans="1:4" x14ac:dyDescent="0.2">
      <c r="A47" s="32"/>
      <c r="B47" s="32"/>
      <c r="C47" s="32"/>
      <c r="D47" s="14">
        <f>+D46+D45</f>
        <v>-17448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5" workbookViewId="3">
      <selection activeCell="B47" sqref="B47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8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1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7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7" t="s">
        <v>40</v>
      </c>
      <c r="N4" s="4" t="s">
        <v>20</v>
      </c>
      <c r="O4" s="4" t="s">
        <v>21</v>
      </c>
      <c r="P4" s="465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7"/>
      <c r="N5" s="14"/>
      <c r="O5" s="14"/>
      <c r="P5" s="14">
        <f t="shared" ref="P5:P13" si="1">+O5-N5</f>
        <v>0</v>
      </c>
      <c r="Q5" s="391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7">
        <v>36861</v>
      </c>
      <c r="N6" s="24">
        <v>19698194</v>
      </c>
      <c r="O6" s="24">
        <v>19662410</v>
      </c>
      <c r="P6" s="14">
        <f t="shared" si="1"/>
        <v>-35784</v>
      </c>
      <c r="Q6" s="391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7">
        <v>36892</v>
      </c>
      <c r="N7" s="24">
        <v>18949781</v>
      </c>
      <c r="O7" s="14">
        <v>18975457</v>
      </c>
      <c r="P7" s="14">
        <f t="shared" si="1"/>
        <v>25676</v>
      </c>
      <c r="Q7" s="391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7">
        <v>36923</v>
      </c>
      <c r="N8" s="24">
        <v>15193330</v>
      </c>
      <c r="O8" s="14">
        <v>15256233</v>
      </c>
      <c r="P8" s="14">
        <f t="shared" si="1"/>
        <v>62903</v>
      </c>
      <c r="Q8" s="391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7">
        <v>36951</v>
      </c>
      <c r="N9" s="24">
        <v>17049350</v>
      </c>
      <c r="O9" s="14">
        <v>17089226</v>
      </c>
      <c r="P9" s="14">
        <f t="shared" si="1"/>
        <v>39876</v>
      </c>
      <c r="Q9" s="391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7">
        <v>36982</v>
      </c>
      <c r="N10" s="24">
        <v>17652369</v>
      </c>
      <c r="O10" s="14">
        <v>17743987</v>
      </c>
      <c r="P10" s="14">
        <f t="shared" si="1"/>
        <v>91618</v>
      </c>
      <c r="Q10" s="391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7">
        <v>37012</v>
      </c>
      <c r="N11" s="24">
        <v>16124989</v>
      </c>
      <c r="O11" s="14">
        <v>16282021</v>
      </c>
      <c r="P11" s="14">
        <f t="shared" si="1"/>
        <v>157032</v>
      </c>
      <c r="Q11" s="391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7">
        <v>37043</v>
      </c>
      <c r="N12" s="24">
        <v>15928675</v>
      </c>
      <c r="O12" s="14">
        <v>15936227</v>
      </c>
      <c r="P12" s="14">
        <f t="shared" si="1"/>
        <v>7552</v>
      </c>
      <c r="Q12" s="391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7">
        <v>37073</v>
      </c>
      <c r="N13" s="24">
        <v>16669639</v>
      </c>
      <c r="O13" s="14">
        <v>16693576</v>
      </c>
      <c r="P13" s="14">
        <f t="shared" si="1"/>
        <v>23937</v>
      </c>
      <c r="Q13" s="391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7"/>
      <c r="N17" s="24"/>
      <c r="O17" s="14"/>
      <c r="P17" s="14">
        <f>+O17-N17</f>
        <v>0</v>
      </c>
      <c r="Q17" s="391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7"/>
      <c r="N18" s="24"/>
      <c r="O18" s="14"/>
      <c r="P18" s="14"/>
      <c r="Q18" s="391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7"/>
      <c r="N19" s="14"/>
      <c r="O19" s="14"/>
      <c r="P19" s="14"/>
      <c r="Q19" s="391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7"/>
      <c r="N20" s="14"/>
      <c r="O20" s="14"/>
      <c r="P20" s="15"/>
      <c r="Q20" s="391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7"/>
      <c r="N21" s="24"/>
      <c r="O21" s="24"/>
      <c r="P21" s="110"/>
      <c r="Q21" s="469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9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9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9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9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9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9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9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9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9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9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1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1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1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6619780</v>
      </c>
      <c r="C35" s="11">
        <f t="shared" ref="C35:I35" si="3">SUM(C4:C34)</f>
        <v>6752509</v>
      </c>
      <c r="D35" s="11">
        <f t="shared" si="3"/>
        <v>1274249</v>
      </c>
      <c r="E35" s="11">
        <f t="shared" si="3"/>
        <v>1185492</v>
      </c>
      <c r="F35" s="11">
        <f t="shared" si="3"/>
        <v>1226695</v>
      </c>
      <c r="G35" s="11">
        <f t="shared" si="3"/>
        <v>1216873</v>
      </c>
      <c r="H35" s="11">
        <f t="shared" si="3"/>
        <v>2664670</v>
      </c>
      <c r="I35" s="11">
        <f t="shared" si="3"/>
        <v>2631480</v>
      </c>
      <c r="J35" s="11">
        <f>SUM(J4:J34)</f>
        <v>960</v>
      </c>
      <c r="M35" s="32"/>
      <c r="N35" s="24"/>
      <c r="O35" s="32"/>
      <c r="P35" s="15"/>
      <c r="Q35" s="391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1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1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45">
        <v>310268</v>
      </c>
      <c r="M38" s="32"/>
      <c r="N38" s="24"/>
      <c r="O38" s="32"/>
      <c r="P38" s="15"/>
      <c r="Q38" s="391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1"/>
      <c r="R39" s="110"/>
      <c r="S39" s="19"/>
      <c r="T39" s="104"/>
      <c r="U39" s="16"/>
      <c r="V39" s="15"/>
      <c r="W39" s="13"/>
    </row>
    <row r="40" spans="1:23" x14ac:dyDescent="0.2">
      <c r="A40" s="33">
        <v>37123</v>
      </c>
      <c r="J40" s="51">
        <f>+J38+J35</f>
        <v>311228</v>
      </c>
      <c r="M40" s="32"/>
      <c r="N40" s="24"/>
      <c r="O40" s="32"/>
      <c r="P40" s="15"/>
      <c r="Q40" s="391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1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1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1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1"/>
      <c r="R44" s="110"/>
      <c r="S44" s="19"/>
      <c r="T44" s="104"/>
      <c r="U44" s="16"/>
      <c r="V44" s="15"/>
      <c r="W44" s="13"/>
    </row>
    <row r="45" spans="1:23" x14ac:dyDescent="0.2">
      <c r="A45" s="32" t="s">
        <v>159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1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1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37123</v>
      </c>
      <c r="B47" s="32"/>
      <c r="C47" s="32"/>
      <c r="D47" s="410">
        <f>+J35*'by type'!J3</f>
        <v>2582.4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1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1381851.97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1"/>
      <c r="R48" s="15"/>
      <c r="S48" s="19"/>
      <c r="T48" s="32"/>
    </row>
    <row r="49" spans="1:20" x14ac:dyDescent="0.2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1"/>
      <c r="R49" s="15"/>
      <c r="S49" s="32"/>
      <c r="T49" s="32"/>
    </row>
    <row r="50" spans="1:20" x14ac:dyDescent="0.2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1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1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1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1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1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1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1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1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1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1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1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1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1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1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1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1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1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1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9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9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9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9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9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9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9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9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9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9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9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9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9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9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9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9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9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9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9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9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9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9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1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1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1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1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1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1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1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1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1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1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1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1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1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1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1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1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1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1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1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70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65"/>
      <c r="Q255" s="143"/>
      <c r="R255" s="465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6"/>
      <c r="Q256" s="471"/>
      <c r="R256" s="46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9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9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9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9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9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9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9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9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9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9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9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9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9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9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9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9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9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9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9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9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9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9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9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9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9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9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9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9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9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9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9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9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70"/>
      <c r="S295" s="1"/>
    </row>
    <row r="296" spans="9:21" x14ac:dyDescent="0.2">
      <c r="K296" s="2"/>
      <c r="M296" s="30"/>
      <c r="N296" s="4"/>
      <c r="O296" s="4"/>
      <c r="P296" s="465"/>
      <c r="Q296" s="143"/>
      <c r="R296" s="465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6"/>
      <c r="Q297" s="471"/>
      <c r="R297" s="46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9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9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9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9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9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9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9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9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9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9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9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9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9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9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9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9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9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9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9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9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9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9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9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9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9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9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9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9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9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9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9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9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70"/>
      <c r="S337" s="1"/>
    </row>
    <row r="338" spans="11:21" x14ac:dyDescent="0.2">
      <c r="K338" s="2"/>
      <c r="M338" s="30"/>
      <c r="N338" s="4"/>
      <c r="O338" s="4"/>
      <c r="P338" s="465"/>
      <c r="Q338" s="143"/>
      <c r="R338" s="465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6"/>
      <c r="Q339" s="471"/>
      <c r="R339" s="46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9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9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9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9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9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9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9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9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9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9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9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9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9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9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9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9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9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9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9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9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9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9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9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9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9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9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9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9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9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9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9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9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70"/>
      <c r="S379" s="1"/>
    </row>
    <row r="380" spans="11:21" x14ac:dyDescent="0.2">
      <c r="K380" s="2"/>
      <c r="M380" s="30"/>
      <c r="N380" s="4"/>
      <c r="O380" s="4"/>
      <c r="P380" s="465"/>
      <c r="Q380" s="143"/>
      <c r="R380" s="465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6"/>
      <c r="Q381" s="471"/>
      <c r="R381" s="46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9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9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9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9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9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9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9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9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9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9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9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9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9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9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9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9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9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9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9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9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9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9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9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9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9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9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9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9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9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9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9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9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70"/>
      <c r="S423" s="1"/>
    </row>
    <row r="424" spans="11:21" x14ac:dyDescent="0.2">
      <c r="K424" s="2"/>
      <c r="M424" s="30"/>
      <c r="N424" s="4"/>
      <c r="O424" s="4"/>
      <c r="P424" s="465"/>
      <c r="Q424" s="143"/>
      <c r="R424" s="465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6"/>
      <c r="Q425" s="471"/>
      <c r="R425" s="46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9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9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9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9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9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9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9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9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9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9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9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9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9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9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9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9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9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9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9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9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9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9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9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9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9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9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9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9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9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9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9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9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70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65"/>
      <c r="Q466" s="143"/>
      <c r="R466" s="46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6"/>
      <c r="Q467" s="471"/>
      <c r="R467" s="46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26" sqref="C26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1231796</v>
      </c>
      <c r="C37" s="11">
        <f>SUM(C6:C36)</f>
        <v>1229332</v>
      </c>
      <c r="D37" s="25">
        <f>SUM(D6:D36)</f>
        <v>-2464</v>
      </c>
    </row>
    <row r="38" spans="1:4" x14ac:dyDescent="0.2">
      <c r="A38" s="26"/>
      <c r="C38" s="14"/>
      <c r="D38" s="346">
        <f>+summary!H5</f>
        <v>2.98</v>
      </c>
    </row>
    <row r="39" spans="1:4" x14ac:dyDescent="0.2">
      <c r="D39" s="138">
        <f>+D38*D37</f>
        <v>-7342.72</v>
      </c>
    </row>
    <row r="40" spans="1:4" x14ac:dyDescent="0.2">
      <c r="A40" s="57">
        <v>37103</v>
      </c>
      <c r="C40" s="15"/>
      <c r="D40" s="369">
        <v>167936</v>
      </c>
    </row>
    <row r="41" spans="1:4" x14ac:dyDescent="0.2">
      <c r="A41" s="57">
        <v>37123</v>
      </c>
      <c r="C41" s="48"/>
      <c r="D41" s="138">
        <f>+D40+D39</f>
        <v>160593.28</v>
      </c>
    </row>
    <row r="45" spans="1:4" x14ac:dyDescent="0.2">
      <c r="A45" s="32" t="s">
        <v>158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71406</v>
      </c>
    </row>
    <row r="47" spans="1:4" x14ac:dyDescent="0.2">
      <c r="A47" s="49">
        <f>+A41</f>
        <v>37123</v>
      </c>
      <c r="B47" s="32"/>
      <c r="C47" s="32"/>
      <c r="D47" s="380">
        <f>+D37</f>
        <v>-2464</v>
      </c>
    </row>
    <row r="48" spans="1:4" x14ac:dyDescent="0.2">
      <c r="A48" s="32"/>
      <c r="B48" s="32"/>
      <c r="C48" s="32"/>
      <c r="D48" s="14">
        <f>+D47+D46</f>
        <v>68942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2" workbookViewId="3">
      <selection activeCell="C26" sqref="C2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8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73" t="s">
        <v>198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74" t="s">
        <v>20</v>
      </c>
      <c r="J14" s="474" t="s">
        <v>21</v>
      </c>
      <c r="K14" s="475" t="s">
        <v>51</v>
      </c>
      <c r="L14" s="473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73">
        <v>8.2100000000000009</v>
      </c>
      <c r="M16" s="478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73">
        <v>5.62</v>
      </c>
      <c r="M17" s="478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73">
        <v>4.9800000000000004</v>
      </c>
      <c r="M18" s="478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73">
        <v>4.87</v>
      </c>
      <c r="M19" s="478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73">
        <v>3.82</v>
      </c>
      <c r="M20" s="478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73">
        <v>3.2</v>
      </c>
      <c r="M21" s="478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73">
        <v>2.77</v>
      </c>
      <c r="M22" s="479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6"/>
      <c r="M23" s="477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-27248</v>
      </c>
      <c r="C37" s="11">
        <f>SUM(C6:C36)</f>
        <v>-41045</v>
      </c>
      <c r="D37" s="25">
        <f>SUM(D6:D36)</f>
        <v>-13797</v>
      </c>
    </row>
    <row r="38" spans="1:4" x14ac:dyDescent="0.2">
      <c r="A38" s="26"/>
      <c r="C38" s="14"/>
      <c r="D38" s="346">
        <f>+summary!H4</f>
        <v>2.88</v>
      </c>
    </row>
    <row r="39" spans="1:4" x14ac:dyDescent="0.2">
      <c r="D39" s="138">
        <f>+D38*D37</f>
        <v>-39735.360000000001</v>
      </c>
    </row>
    <row r="40" spans="1:4" x14ac:dyDescent="0.2">
      <c r="A40" s="57">
        <v>37103</v>
      </c>
      <c r="C40" s="15"/>
      <c r="D40" s="360">
        <v>-394244.14</v>
      </c>
    </row>
    <row r="41" spans="1:4" x14ac:dyDescent="0.2">
      <c r="A41" s="57">
        <v>37123</v>
      </c>
      <c r="C41" s="48"/>
      <c r="D41" s="138">
        <f>+D40+D39</f>
        <v>-433979.5</v>
      </c>
    </row>
    <row r="47" spans="1:4" x14ac:dyDescent="0.2">
      <c r="A47" s="32" t="s">
        <v>158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37123</v>
      </c>
      <c r="B49" s="32"/>
      <c r="C49" s="32"/>
      <c r="D49" s="380">
        <f>+D37</f>
        <v>-13797</v>
      </c>
    </row>
    <row r="50" spans="1:4" x14ac:dyDescent="0.2">
      <c r="A50" s="32"/>
      <c r="B50" s="32"/>
      <c r="C50" s="32"/>
      <c r="D50" s="14">
        <f>+D49+D48</f>
        <v>-82079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-749863</v>
      </c>
      <c r="C37" s="11">
        <f>SUM(C6:C36)</f>
        <v>-692923</v>
      </c>
      <c r="D37" s="25">
        <f>SUM(D6:D36)</f>
        <v>56940</v>
      </c>
    </row>
    <row r="38" spans="1:4" x14ac:dyDescent="0.2">
      <c r="A38" s="26"/>
      <c r="C38" s="14"/>
      <c r="D38" s="346">
        <f>+summary!H4</f>
        <v>2.88</v>
      </c>
    </row>
    <row r="39" spans="1:4" x14ac:dyDescent="0.2">
      <c r="D39" s="138">
        <f>+D38*D37</f>
        <v>163987.19999999998</v>
      </c>
    </row>
    <row r="40" spans="1:4" x14ac:dyDescent="0.2">
      <c r="A40" s="57">
        <v>37103</v>
      </c>
      <c r="C40" s="15"/>
      <c r="D40" s="360">
        <v>-351170.32</v>
      </c>
    </row>
    <row r="41" spans="1:4" x14ac:dyDescent="0.2">
      <c r="A41" s="57">
        <v>37123</v>
      </c>
      <c r="C41" s="48"/>
      <c r="D41" s="138">
        <f>+D40+D39</f>
        <v>-187183.12000000002</v>
      </c>
    </row>
    <row r="42" spans="1:4" x14ac:dyDescent="0.2">
      <c r="D42" s="24"/>
    </row>
    <row r="45" spans="1:4" x14ac:dyDescent="0.2">
      <c r="A45" s="32" t="s">
        <v>158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37123</v>
      </c>
      <c r="B47" s="32"/>
      <c r="C47" s="32"/>
      <c r="D47" s="380">
        <f>+D37</f>
        <v>56940</v>
      </c>
    </row>
    <row r="48" spans="1:4" x14ac:dyDescent="0.2">
      <c r="A48" s="32"/>
      <c r="B48" s="32"/>
      <c r="C48" s="32"/>
      <c r="D48" s="14">
        <f>+D47+D46</f>
        <v>-93347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v>-20695</v>
      </c>
      <c r="C5" s="90">
        <v>-2340</v>
      </c>
      <c r="D5" s="90">
        <f>+C5-B5</f>
        <v>18355</v>
      </c>
      <c r="E5" s="285"/>
      <c r="F5" s="283"/>
    </row>
    <row r="6" spans="1:13" x14ac:dyDescent="0.2">
      <c r="A6" s="87">
        <v>500046</v>
      </c>
      <c r="B6" s="90">
        <v>-437</v>
      </c>
      <c r="C6" s="90"/>
      <c r="D6" s="90">
        <f t="shared" ref="D6:D11" si="0">+C6-B6</f>
        <v>437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18792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2.88</v>
      </c>
      <c r="E13" s="287"/>
      <c r="F13" s="283"/>
    </row>
    <row r="14" spans="1:13" x14ac:dyDescent="0.2">
      <c r="A14" s="87"/>
      <c r="B14" s="88"/>
      <c r="C14" s="88"/>
      <c r="D14" s="96">
        <f>+D13*D12</f>
        <v>54120.959999999999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37123</v>
      </c>
      <c r="B18" s="88"/>
      <c r="C18" s="88"/>
      <c r="D18" s="334">
        <f>+D16+D14</f>
        <v>-802219.70000000007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158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37123</v>
      </c>
      <c r="B23" s="32"/>
      <c r="C23" s="32"/>
      <c r="D23" s="380">
        <f>+D12</f>
        <v>18792</v>
      </c>
    </row>
    <row r="24" spans="1:7" x14ac:dyDescent="0.2">
      <c r="A24" s="32"/>
      <c r="B24" s="32"/>
      <c r="C24" s="32"/>
      <c r="D24" s="14">
        <f>+D23+D22</f>
        <v>-168961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36" sqref="A36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445">
        <v>76325</v>
      </c>
    </row>
    <row r="41" spans="1:4" x14ac:dyDescent="0.2">
      <c r="A41" s="57">
        <v>37123</v>
      </c>
      <c r="C41" s="48"/>
      <c r="D41" s="25">
        <f>+D40+D37</f>
        <v>64490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6">
        <v>341220.3</v>
      </c>
    </row>
    <row r="46" spans="1:4" x14ac:dyDescent="0.2">
      <c r="A46" s="49">
        <f>+A41</f>
        <v>37123</v>
      </c>
      <c r="B46" s="32"/>
      <c r="C46" s="32"/>
      <c r="D46" s="410">
        <f>+D37*'by type'!J4</f>
        <v>-34084.799999999996</v>
      </c>
    </row>
    <row r="47" spans="1:4" x14ac:dyDescent="0.2">
      <c r="A47" s="32"/>
      <c r="B47" s="32"/>
      <c r="C47" s="32"/>
      <c r="D47" s="202">
        <f>+D46+D45</f>
        <v>307135.5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27" sqref="C2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2229686</v>
      </c>
      <c r="C38" s="11">
        <f>SUM(C7:C37)</f>
        <v>2248406</v>
      </c>
      <c r="D38" s="11">
        <f>SUM(D7:D37)</f>
        <v>18720</v>
      </c>
    </row>
    <row r="39" spans="1:4" x14ac:dyDescent="0.2">
      <c r="A39" s="26"/>
      <c r="C39" s="14"/>
      <c r="D39" s="106">
        <f>+summary!H3</f>
        <v>2.69</v>
      </c>
    </row>
    <row r="40" spans="1:4" x14ac:dyDescent="0.2">
      <c r="D40" s="138">
        <f>+D39*D38</f>
        <v>50356.799999999996</v>
      </c>
    </row>
    <row r="41" spans="1:4" x14ac:dyDescent="0.2">
      <c r="A41" s="57">
        <v>37103</v>
      </c>
      <c r="C41" s="15"/>
      <c r="D41" s="371">
        <v>-36642</v>
      </c>
    </row>
    <row r="42" spans="1:4" x14ac:dyDescent="0.2">
      <c r="A42" s="57">
        <v>37123</v>
      </c>
      <c r="D42" s="337">
        <f>+D41+D40</f>
        <v>13714.799999999996</v>
      </c>
    </row>
    <row r="46" spans="1:4" x14ac:dyDescent="0.2">
      <c r="A46" s="32" t="s">
        <v>158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37123</v>
      </c>
      <c r="B48" s="32"/>
      <c r="C48" s="32"/>
      <c r="D48" s="380">
        <f>+D38</f>
        <v>18720</v>
      </c>
    </row>
    <row r="49" spans="1:4" x14ac:dyDescent="0.2">
      <c r="A49" s="32"/>
      <c r="B49" s="32"/>
      <c r="C49" s="32"/>
      <c r="D49" s="14">
        <f>+D48+D47</f>
        <v>3762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E25" sqref="E2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-1171503</v>
      </c>
      <c r="C36" s="44">
        <f>SUM(C5:C35)</f>
        <v>-360998</v>
      </c>
      <c r="D36" s="43">
        <f>SUM(D5:D35)</f>
        <v>-261976</v>
      </c>
      <c r="E36" s="44">
        <f>SUM(E5:E35)</f>
        <v>-1046715</v>
      </c>
      <c r="F36" s="11">
        <f>SUM(F5:F35)</f>
        <v>25766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-810505</v>
      </c>
      <c r="D37" s="24"/>
      <c r="E37" s="24">
        <f>+D36-E36</f>
        <v>784739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37123</v>
      </c>
      <c r="C42" s="14"/>
      <c r="D42" s="50"/>
      <c r="E42" s="50"/>
      <c r="F42" s="51">
        <f>+F41+F36</f>
        <v>62105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159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37123</v>
      </c>
      <c r="B48" s="32"/>
      <c r="C48" s="32"/>
      <c r="D48" s="410">
        <f>+F36*'by type'!J4</f>
        <v>74206.080000000002</v>
      </c>
    </row>
    <row r="49" spans="1:4" x14ac:dyDescent="0.2">
      <c r="A49" s="32"/>
      <c r="B49" s="32"/>
      <c r="C49" s="32"/>
      <c r="D49" s="202">
        <f>+D48+D47</f>
        <v>44237.67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9" workbookViewId="3">
      <selection activeCell="C51" sqref="C5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-3731804</v>
      </c>
      <c r="C35" s="11">
        <f>SUM(C4:C34)</f>
        <v>-3731770</v>
      </c>
      <c r="D35" s="11">
        <f>SUM(D4:D34)</f>
        <v>34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37123</v>
      </c>
      <c r="D40" s="24">
        <f>+D38+D35</f>
        <v>24934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159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37123</v>
      </c>
      <c r="B46" s="32"/>
      <c r="C46" s="32"/>
      <c r="D46" s="410">
        <f>+D35*'by type'!J4</f>
        <v>97.92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-155985.46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8" workbookViewId="3">
      <selection activeCell="E46" sqref="E46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-14485573</v>
      </c>
      <c r="C35" s="11">
        <f>SUM(C4:C34)</f>
        <v>-14474409</v>
      </c>
      <c r="D35" s="11">
        <f>SUM(D4:D34)</f>
        <v>-440548</v>
      </c>
      <c r="E35" s="11">
        <f>SUM(E4:E34)</f>
        <v>-430000</v>
      </c>
      <c r="F35" s="11">
        <f>SUM(F4:F34)</f>
        <v>21712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52">
        <v>145102</v>
      </c>
    </row>
    <row r="39" spans="1:45" x14ac:dyDescent="0.2">
      <c r="A39" s="2"/>
      <c r="F39" s="24"/>
    </row>
    <row r="40" spans="1:45" x14ac:dyDescent="0.2">
      <c r="A40" s="57">
        <v>37123</v>
      </c>
      <c r="F40" s="51">
        <f>+F38+F35</f>
        <v>166814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159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37123</v>
      </c>
      <c r="B46" s="32"/>
      <c r="C46" s="32"/>
      <c r="D46" s="410">
        <f>+F35*'by type'!J4</f>
        <v>62530.559999999998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510944.46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19" sqref="E1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72"/>
      <c r="L4" s="472"/>
      <c r="M4" s="472"/>
      <c r="N4" s="472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73" t="s">
        <v>198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74" t="s">
        <v>20</v>
      </c>
      <c r="M6" s="474" t="s">
        <v>21</v>
      </c>
      <c r="N6" s="475" t="s">
        <v>51</v>
      </c>
      <c r="O6" s="473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73">
        <v>8.2100000000000009</v>
      </c>
      <c r="P9" s="478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73">
        <v>5.62</v>
      </c>
      <c r="P10" s="478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73">
        <v>4.9800000000000004</v>
      </c>
      <c r="P11" s="478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73">
        <v>4.87</v>
      </c>
      <c r="P12" s="478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73">
        <v>3.82</v>
      </c>
      <c r="P13" s="478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73">
        <v>3.2</v>
      </c>
      <c r="P14" s="478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73">
        <v>2.77</v>
      </c>
      <c r="P15" s="479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6"/>
      <c r="P16" s="477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-119710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-1367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-2736492</v>
      </c>
      <c r="C35" s="44">
        <f t="shared" si="3"/>
        <v>-2121949</v>
      </c>
      <c r="D35" s="11">
        <f t="shared" si="3"/>
        <v>-1079769</v>
      </c>
      <c r="E35" s="44">
        <f t="shared" si="3"/>
        <v>-1684268</v>
      </c>
      <c r="F35" s="11">
        <f t="shared" si="3"/>
        <v>0</v>
      </c>
      <c r="G35" s="11">
        <f t="shared" si="3"/>
        <v>0</v>
      </c>
      <c r="H35" s="11">
        <f t="shared" si="3"/>
        <v>10044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28926.719999999998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37123</v>
      </c>
      <c r="F39" s="47"/>
      <c r="G39" s="47"/>
      <c r="H39" s="137">
        <f>+H38+H37</f>
        <v>489762.08999999997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158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37123</v>
      </c>
      <c r="E47" s="380">
        <f>+H35</f>
        <v>10044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121280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7" workbookViewId="3">
      <selection activeCell="D25" sqref="D25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-306663-500</f>
        <v>-307163</v>
      </c>
      <c r="E5" s="11">
        <v>-308597</v>
      </c>
      <c r="F5" s="11"/>
      <c r="G5" s="11"/>
      <c r="H5" s="24">
        <f>+E5-D5+C5-B5</f>
        <v>-1434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-256855-500</f>
        <v>-257355</v>
      </c>
      <c r="E6" s="11">
        <v>-261199</v>
      </c>
      <c r="F6" s="11"/>
      <c r="G6" s="11"/>
      <c r="H6" s="24">
        <f t="shared" ref="H6:H35" si="0">+E6-D6+C6-B6</f>
        <v>-3844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-279637-500</f>
        <v>-280137</v>
      </c>
      <c r="E7" s="129">
        <v>-280376</v>
      </c>
      <c r="F7" s="11"/>
      <c r="G7" s="11"/>
      <c r="H7" s="24">
        <f t="shared" si="0"/>
        <v>-239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-263561-500</f>
        <v>-264061</v>
      </c>
      <c r="E8" s="129">
        <v>-267286</v>
      </c>
      <c r="F8" s="11"/>
      <c r="G8" s="11"/>
      <c r="H8" s="24">
        <f t="shared" si="0"/>
        <v>-3225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-239483-500</f>
        <v>-239983</v>
      </c>
      <c r="E9" s="11">
        <v>-241704</v>
      </c>
      <c r="F9" s="11"/>
      <c r="G9" s="11"/>
      <c r="H9" s="24">
        <f t="shared" si="0"/>
        <v>-1721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-258498-500</f>
        <v>-258998</v>
      </c>
      <c r="E10" s="11">
        <v>-262660</v>
      </c>
      <c r="F10" s="11"/>
      <c r="G10" s="11"/>
      <c r="H10" s="24">
        <f t="shared" si="0"/>
        <v>-3662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-249479-500</f>
        <v>-249979</v>
      </c>
      <c r="E11" s="11">
        <v>-254013</v>
      </c>
      <c r="F11" s="11"/>
      <c r="G11" s="11"/>
      <c r="H11" s="24">
        <f t="shared" si="0"/>
        <v>-4034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-272276-500</f>
        <v>-272776</v>
      </c>
      <c r="E12" s="11">
        <v>-274969</v>
      </c>
      <c r="F12" s="11"/>
      <c r="G12" s="11"/>
      <c r="H12" s="24">
        <f t="shared" si="0"/>
        <v>-2193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-266075-500</f>
        <v>-266575</v>
      </c>
      <c r="E13" s="11">
        <v>-268577</v>
      </c>
      <c r="F13" s="11"/>
      <c r="G13" s="11"/>
      <c r="H13" s="24">
        <f t="shared" si="0"/>
        <v>-2002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-278307-500</f>
        <v>-278807</v>
      </c>
      <c r="E14" s="11">
        <v>-283415</v>
      </c>
      <c r="F14" s="11"/>
      <c r="G14" s="11"/>
      <c r="H14" s="24">
        <f t="shared" si="0"/>
        <v>-4608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-287669-500</f>
        <v>-288169</v>
      </c>
      <c r="E15" s="11">
        <v>-288213</v>
      </c>
      <c r="F15" s="11"/>
      <c r="G15" s="11"/>
      <c r="H15" s="24">
        <f t="shared" si="0"/>
        <v>-44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-273937-500</f>
        <v>-274437</v>
      </c>
      <c r="E16" s="11">
        <v>-275351</v>
      </c>
      <c r="F16" s="11"/>
      <c r="G16" s="11"/>
      <c r="H16" s="24">
        <f t="shared" si="0"/>
        <v>-914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-286926-500</f>
        <v>-287426</v>
      </c>
      <c r="E17" s="11">
        <v>-288307</v>
      </c>
      <c r="F17" s="11"/>
      <c r="G17" s="11"/>
      <c r="H17" s="24">
        <f t="shared" si="0"/>
        <v>-881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-5514267</v>
      </c>
      <c r="E36" s="11">
        <f t="shared" si="15"/>
        <v>-5605632</v>
      </c>
      <c r="F36" s="11">
        <f t="shared" si="15"/>
        <v>0</v>
      </c>
      <c r="G36" s="11">
        <f t="shared" si="15"/>
        <v>0</v>
      </c>
      <c r="H36" s="11">
        <f t="shared" si="15"/>
        <v>-91365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-91365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37123</v>
      </c>
      <c r="B39" s="2" t="s">
        <v>46</v>
      </c>
      <c r="C39" s="131">
        <f>+C38+C37</f>
        <v>64269</v>
      </c>
      <c r="D39" s="259"/>
      <c r="E39" s="131">
        <f>+E38+E37</f>
        <v>-63769</v>
      </c>
      <c r="F39" s="259"/>
      <c r="G39" s="131"/>
      <c r="H39" s="131">
        <f>+H38+H36</f>
        <v>500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159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37123</v>
      </c>
      <c r="B45" s="32"/>
      <c r="C45" s="47">
        <f>+C37*summary!H4</f>
        <v>0</v>
      </c>
      <c r="D45" s="207"/>
      <c r="E45" s="412">
        <f>+E37*summary!H3</f>
        <v>-245771.85</v>
      </c>
      <c r="F45" s="47">
        <f>+E45+C45</f>
        <v>-245771.85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12">
        <f>+E45+E44</f>
        <v>940964.77000000014</v>
      </c>
      <c r="F46" s="47">
        <f>+E46+C46</f>
        <v>-641996.22999999986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30" workbookViewId="3">
      <selection activeCell="C52" sqref="C52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2194518</v>
      </c>
      <c r="C37" s="11">
        <f>SUM(C6:C36)</f>
        <v>2238643</v>
      </c>
      <c r="D37" s="11">
        <f>SUM(D6:D36)</f>
        <v>44125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37123</v>
      </c>
      <c r="C40" s="48"/>
      <c r="D40" s="25">
        <f>+D39+D37</f>
        <v>99008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159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37123</v>
      </c>
      <c r="B46" s="32"/>
      <c r="C46" s="32"/>
      <c r="D46" s="410">
        <f>+D37*'by type'!J3</f>
        <v>118696.25</v>
      </c>
    </row>
    <row r="47" spans="1:16" x14ac:dyDescent="0.2">
      <c r="A47" s="32"/>
      <c r="B47" s="32"/>
      <c r="C47" s="32"/>
      <c r="D47" s="202">
        <f>+D46+D45</f>
        <v>530447.78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2001-08-22T18:33:38Z</cp:lastPrinted>
  <dcterms:created xsi:type="dcterms:W3CDTF">2000-03-28T16:52:23Z</dcterms:created>
  <dcterms:modified xsi:type="dcterms:W3CDTF">2023-09-14T18:10:10Z</dcterms:modified>
</cp:coreProperties>
</file>