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CE5E95-B5CA-42A4-A863-CCA3B3B0A324}" xr6:coauthVersionLast="47" xr6:coauthVersionMax="47" xr10:uidLastSave="{00000000-0000-0000-0000-000000000000}"/>
  <bookViews>
    <workbookView xWindow="-120" yWindow="-120" windowWidth="38640" windowHeight="15720" activeTab="3"/>
  </bookViews>
  <sheets>
    <sheet name="NNG" sheetId="1" r:id="rId1"/>
    <sheet name="TW" sheetId="2" r:id="rId2"/>
    <sheet name="Citrus" sheetId="3" r:id="rId3"/>
    <sheet name="ETS CORP" sheetId="7" r:id="rId4"/>
    <sheet name="SUMMARY 3 PIPE" sheetId="6" r:id="rId5"/>
    <sheet name="NB" sheetId="4" r:id="rId6"/>
    <sheet name="CF" sheetId="5" r:id="rId7"/>
  </sheets>
  <externalReferences>
    <externalReference r:id="rId8"/>
    <externalReference r:id="rId9"/>
    <externalReference r:id="rId10"/>
  </externalReferences>
  <definedNames>
    <definedName name="_xlnm.Print_Area" localSheetId="1">TW!$A$1:$H$140</definedName>
    <definedName name="_xlnm.Print_Titles" localSheetId="0">NNG!$A:$B,NNG!$1:$3</definedName>
    <definedName name="_xlnm.Print_Titles" localSheetId="4">'SUMMARY 3 PIPE'!$1:$3</definedName>
    <definedName name="_xlnm.Print_Titles" localSheetId="1">TW!$1:$3</definedName>
  </definedNames>
  <calcPr calcId="0" fullCalcOnLoad="1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C25" i="5"/>
  <c r="D25" i="5"/>
  <c r="E25" i="5"/>
  <c r="F25" i="5"/>
  <c r="G25" i="5"/>
  <c r="H25" i="5"/>
  <c r="C26" i="5"/>
  <c r="D26" i="5"/>
  <c r="E26" i="5"/>
  <c r="F26" i="5"/>
  <c r="G26" i="5"/>
  <c r="H26" i="5"/>
  <c r="C31" i="5"/>
  <c r="D31" i="5"/>
  <c r="E31" i="5"/>
  <c r="F31" i="5"/>
  <c r="G31" i="5"/>
  <c r="H31" i="5"/>
  <c r="C32" i="5"/>
  <c r="D32" i="5"/>
  <c r="E32" i="5"/>
  <c r="F32" i="5"/>
  <c r="G32" i="5"/>
  <c r="H32" i="5"/>
  <c r="C40" i="5"/>
  <c r="D40" i="5"/>
  <c r="E40" i="5"/>
  <c r="F40" i="5"/>
  <c r="G40" i="5"/>
  <c r="H40" i="5"/>
  <c r="C41" i="5"/>
  <c r="D41" i="5"/>
  <c r="E41" i="5"/>
  <c r="F41" i="5"/>
  <c r="G41" i="5"/>
  <c r="H41" i="5"/>
  <c r="C43" i="5"/>
  <c r="D43" i="5"/>
  <c r="E43" i="5"/>
  <c r="F43" i="5"/>
  <c r="G43" i="5"/>
  <c r="H43" i="5"/>
  <c r="C55" i="5"/>
  <c r="D55" i="5"/>
  <c r="E55" i="5"/>
  <c r="F55" i="5"/>
  <c r="G55" i="5"/>
  <c r="H55" i="5"/>
  <c r="C56" i="5"/>
  <c r="D56" i="5"/>
  <c r="E56" i="5"/>
  <c r="F56" i="5"/>
  <c r="G56" i="5"/>
  <c r="H56" i="5"/>
  <c r="C66" i="5"/>
  <c r="D66" i="5"/>
  <c r="E66" i="5"/>
  <c r="F66" i="5"/>
  <c r="G66" i="5"/>
  <c r="H66" i="5"/>
  <c r="C72" i="5"/>
  <c r="D72" i="5"/>
  <c r="E72" i="5"/>
  <c r="F72" i="5"/>
  <c r="G72" i="5"/>
  <c r="H72" i="5"/>
  <c r="C73" i="5"/>
  <c r="D73" i="5"/>
  <c r="E73" i="5"/>
  <c r="F73" i="5"/>
  <c r="G73" i="5"/>
  <c r="H73" i="5"/>
  <c r="C82" i="5"/>
  <c r="D82" i="5"/>
  <c r="E82" i="5"/>
  <c r="F82" i="5"/>
  <c r="G82" i="5"/>
  <c r="H82" i="5"/>
  <c r="C83" i="5"/>
  <c r="D83" i="5"/>
  <c r="E83" i="5"/>
  <c r="F83" i="5"/>
  <c r="G83" i="5"/>
  <c r="H83" i="5"/>
  <c r="C92" i="5"/>
  <c r="D92" i="5"/>
  <c r="E92" i="5"/>
  <c r="F92" i="5"/>
  <c r="G92" i="5"/>
  <c r="H92" i="5"/>
  <c r="C93" i="5"/>
  <c r="D93" i="5"/>
  <c r="E93" i="5"/>
  <c r="F93" i="5"/>
  <c r="G93" i="5"/>
  <c r="H93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5" i="5"/>
  <c r="D115" i="5"/>
  <c r="E115" i="5"/>
  <c r="F115" i="5"/>
  <c r="G115" i="5"/>
  <c r="H115" i="5"/>
  <c r="C121" i="5"/>
  <c r="D121" i="5"/>
  <c r="E121" i="5"/>
  <c r="F121" i="5"/>
  <c r="G121" i="5"/>
  <c r="H121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35" i="5"/>
  <c r="D135" i="5"/>
  <c r="E135" i="5"/>
  <c r="F135" i="5"/>
  <c r="G135" i="5"/>
  <c r="H135" i="5"/>
  <c r="C137" i="5"/>
  <c r="D137" i="5"/>
  <c r="E137" i="5"/>
  <c r="F137" i="5"/>
  <c r="G137" i="5"/>
  <c r="H137" i="5"/>
  <c r="C7" i="3"/>
  <c r="D7" i="3"/>
  <c r="E7" i="3"/>
  <c r="F7" i="3"/>
  <c r="G7" i="3"/>
  <c r="C8" i="3"/>
  <c r="D8" i="3"/>
  <c r="E8" i="3"/>
  <c r="F8" i="3"/>
  <c r="G8" i="3"/>
  <c r="C10" i="3"/>
  <c r="D10" i="3"/>
  <c r="E10" i="3"/>
  <c r="F10" i="3"/>
  <c r="G10" i="3"/>
  <c r="C11" i="3"/>
  <c r="D11" i="3"/>
  <c r="E11" i="3"/>
  <c r="F11" i="3"/>
  <c r="G11" i="3"/>
  <c r="E13" i="3"/>
  <c r="F13" i="3"/>
  <c r="G13" i="3"/>
  <c r="E14" i="3"/>
  <c r="F14" i="3"/>
  <c r="G14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H18" i="3"/>
  <c r="H20" i="3"/>
  <c r="D21" i="3"/>
  <c r="E21" i="3"/>
  <c r="F21" i="3"/>
  <c r="G21" i="3"/>
  <c r="H21" i="3"/>
  <c r="C23" i="3"/>
  <c r="D23" i="3"/>
  <c r="E23" i="3"/>
  <c r="F23" i="3"/>
  <c r="G23" i="3"/>
  <c r="H23" i="3"/>
  <c r="C25" i="3"/>
  <c r="D25" i="3"/>
  <c r="E25" i="3"/>
  <c r="F25" i="3"/>
  <c r="G25" i="3"/>
  <c r="H25" i="3"/>
  <c r="C26" i="3"/>
  <c r="D26" i="3"/>
  <c r="E26" i="3"/>
  <c r="F26" i="3"/>
  <c r="G26" i="3"/>
  <c r="H26" i="3"/>
  <c r="C31" i="3"/>
  <c r="D31" i="3"/>
  <c r="E31" i="3"/>
  <c r="F31" i="3"/>
  <c r="G31" i="3"/>
  <c r="H31" i="3"/>
  <c r="C32" i="3"/>
  <c r="D32" i="3"/>
  <c r="E32" i="3"/>
  <c r="F32" i="3"/>
  <c r="G32" i="3"/>
  <c r="H32" i="3"/>
  <c r="D37" i="3"/>
  <c r="E37" i="3"/>
  <c r="F37" i="3"/>
  <c r="G37" i="3"/>
  <c r="C40" i="3"/>
  <c r="D40" i="3"/>
  <c r="E40" i="3"/>
  <c r="F40" i="3"/>
  <c r="G40" i="3"/>
  <c r="H40" i="3"/>
  <c r="C41" i="3"/>
  <c r="D41" i="3"/>
  <c r="E41" i="3"/>
  <c r="F41" i="3"/>
  <c r="G41" i="3"/>
  <c r="H41" i="3"/>
  <c r="C43" i="3"/>
  <c r="D43" i="3"/>
  <c r="E43" i="3"/>
  <c r="F43" i="3"/>
  <c r="G43" i="3"/>
  <c r="H43" i="3"/>
  <c r="D49" i="3"/>
  <c r="E49" i="3"/>
  <c r="F49" i="3"/>
  <c r="G49" i="3"/>
  <c r="G50" i="3"/>
  <c r="D52" i="3"/>
  <c r="E52" i="3"/>
  <c r="F52" i="3"/>
  <c r="G52" i="3"/>
  <c r="D53" i="3"/>
  <c r="E53" i="3"/>
  <c r="F53" i="3"/>
  <c r="G53" i="3"/>
  <c r="C55" i="3"/>
  <c r="D55" i="3"/>
  <c r="E55" i="3"/>
  <c r="F55" i="3"/>
  <c r="G55" i="3"/>
  <c r="C57" i="3"/>
  <c r="D57" i="3"/>
  <c r="E57" i="3"/>
  <c r="F57" i="3"/>
  <c r="G57" i="3"/>
  <c r="H57" i="3"/>
  <c r="C58" i="3"/>
  <c r="D58" i="3"/>
  <c r="E58" i="3"/>
  <c r="F58" i="3"/>
  <c r="G58" i="3"/>
  <c r="H58" i="3"/>
  <c r="C68" i="3"/>
  <c r="D68" i="3"/>
  <c r="E68" i="3"/>
  <c r="F68" i="3"/>
  <c r="G68" i="3"/>
  <c r="H68" i="3"/>
  <c r="C70" i="3"/>
  <c r="D70" i="3"/>
  <c r="E70" i="3"/>
  <c r="F70" i="3"/>
  <c r="G70" i="3"/>
  <c r="D71" i="3"/>
  <c r="E71" i="3"/>
  <c r="F71" i="3"/>
  <c r="G71" i="3"/>
  <c r="D72" i="3"/>
  <c r="E72" i="3"/>
  <c r="F72" i="3"/>
  <c r="G72" i="3"/>
  <c r="C75" i="3"/>
  <c r="D75" i="3"/>
  <c r="E75" i="3"/>
  <c r="F75" i="3"/>
  <c r="G75" i="3"/>
  <c r="H75" i="3"/>
  <c r="C76" i="3"/>
  <c r="D76" i="3"/>
  <c r="E76" i="3"/>
  <c r="F76" i="3"/>
  <c r="G76" i="3"/>
  <c r="H76" i="3"/>
  <c r="C81" i="3"/>
  <c r="D81" i="3"/>
  <c r="E81" i="3"/>
  <c r="F81" i="3"/>
  <c r="G81" i="3"/>
  <c r="D82" i="3"/>
  <c r="E82" i="3"/>
  <c r="F82" i="3"/>
  <c r="G82" i="3"/>
  <c r="E84" i="3"/>
  <c r="F84" i="3"/>
  <c r="C85" i="3"/>
  <c r="D85" i="3"/>
  <c r="E85" i="3"/>
  <c r="F85" i="3"/>
  <c r="G85" i="3"/>
  <c r="H85" i="3"/>
  <c r="C86" i="3"/>
  <c r="D86" i="3"/>
  <c r="E86" i="3"/>
  <c r="F86" i="3"/>
  <c r="G86" i="3"/>
  <c r="H86" i="3"/>
  <c r="D91" i="3"/>
  <c r="E91" i="3"/>
  <c r="F91" i="3"/>
  <c r="G91" i="3"/>
  <c r="C96" i="3"/>
  <c r="D96" i="3"/>
  <c r="E96" i="3"/>
  <c r="F96" i="3"/>
  <c r="G96" i="3"/>
  <c r="H96" i="3"/>
  <c r="C97" i="3"/>
  <c r="D97" i="3"/>
  <c r="E97" i="3"/>
  <c r="F97" i="3"/>
  <c r="G97" i="3"/>
  <c r="H97" i="3"/>
  <c r="C102" i="3"/>
  <c r="D102" i="3"/>
  <c r="E102" i="3"/>
  <c r="F102" i="3"/>
  <c r="G102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12" i="3"/>
  <c r="D112" i="3"/>
  <c r="E112" i="3"/>
  <c r="F112" i="3"/>
  <c r="G112" i="3"/>
  <c r="C115" i="3"/>
  <c r="D115" i="3"/>
  <c r="E115" i="3"/>
  <c r="F115" i="3"/>
  <c r="G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9" i="3"/>
  <c r="D119" i="3"/>
  <c r="E119" i="3"/>
  <c r="F119" i="3"/>
  <c r="G119" i="3"/>
  <c r="H119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43" i="3"/>
  <c r="D143" i="3"/>
  <c r="E143" i="3"/>
  <c r="F143" i="3"/>
  <c r="G143" i="3"/>
  <c r="H143" i="3"/>
  <c r="C145" i="3"/>
  <c r="D145" i="3"/>
  <c r="E145" i="3"/>
  <c r="F145" i="3"/>
  <c r="G145" i="3"/>
  <c r="H145" i="3"/>
  <c r="C15" i="7"/>
  <c r="D15" i="7"/>
  <c r="E15" i="7"/>
  <c r="F15" i="7"/>
  <c r="G15" i="7"/>
  <c r="H15" i="7"/>
  <c r="C27" i="7"/>
  <c r="D27" i="7"/>
  <c r="E27" i="7"/>
  <c r="F27" i="7"/>
  <c r="G27" i="7"/>
  <c r="H27" i="7"/>
  <c r="C28" i="7"/>
  <c r="D28" i="7"/>
  <c r="E28" i="7"/>
  <c r="F28" i="7"/>
  <c r="G28" i="7"/>
  <c r="H28" i="7"/>
  <c r="C33" i="7"/>
  <c r="D33" i="7"/>
  <c r="E33" i="7"/>
  <c r="F33" i="7"/>
  <c r="G33" i="7"/>
  <c r="H33" i="7"/>
  <c r="C34" i="7"/>
  <c r="D34" i="7"/>
  <c r="E34" i="7"/>
  <c r="F34" i="7"/>
  <c r="G34" i="7"/>
  <c r="H34" i="7"/>
  <c r="C42" i="7"/>
  <c r="D42" i="7"/>
  <c r="E42" i="7"/>
  <c r="F42" i="7"/>
  <c r="G42" i="7"/>
  <c r="H42" i="7"/>
  <c r="C43" i="7"/>
  <c r="D43" i="7"/>
  <c r="E43" i="7"/>
  <c r="F43" i="7"/>
  <c r="G43" i="7"/>
  <c r="H43" i="7"/>
  <c r="C45" i="7"/>
  <c r="D45" i="7"/>
  <c r="E45" i="7"/>
  <c r="F45" i="7"/>
  <c r="G45" i="7"/>
  <c r="H45" i="7"/>
  <c r="C55" i="7"/>
  <c r="D55" i="7"/>
  <c r="E55" i="7"/>
  <c r="F55" i="7"/>
  <c r="G55" i="7"/>
  <c r="H55" i="7"/>
  <c r="C56" i="7"/>
  <c r="D56" i="7"/>
  <c r="E56" i="7"/>
  <c r="F56" i="7"/>
  <c r="G56" i="7"/>
  <c r="H56" i="7"/>
  <c r="C67" i="7"/>
  <c r="D67" i="7"/>
  <c r="E67" i="7"/>
  <c r="F67" i="7"/>
  <c r="G67" i="7"/>
  <c r="H67" i="7"/>
  <c r="C68" i="7"/>
  <c r="D68" i="7"/>
  <c r="E68" i="7"/>
  <c r="F68" i="7"/>
  <c r="G68" i="7"/>
  <c r="H68" i="7"/>
  <c r="G74" i="7"/>
  <c r="C77" i="7"/>
  <c r="D77" i="7"/>
  <c r="E77" i="7"/>
  <c r="F77" i="7"/>
  <c r="G77" i="7"/>
  <c r="H77" i="7"/>
  <c r="C78" i="7"/>
  <c r="D78" i="7"/>
  <c r="E78" i="7"/>
  <c r="F78" i="7"/>
  <c r="G78" i="7"/>
  <c r="H78" i="7"/>
  <c r="C87" i="7"/>
  <c r="D87" i="7"/>
  <c r="E87" i="7"/>
  <c r="F87" i="7"/>
  <c r="G87" i="7"/>
  <c r="H87" i="7"/>
  <c r="C88" i="7"/>
  <c r="D88" i="7"/>
  <c r="E88" i="7"/>
  <c r="F88" i="7"/>
  <c r="G88" i="7"/>
  <c r="H88" i="7"/>
  <c r="C98" i="7"/>
  <c r="D98" i="7"/>
  <c r="E98" i="7"/>
  <c r="F98" i="7"/>
  <c r="G98" i="7"/>
  <c r="H98" i="7"/>
  <c r="C99" i="7"/>
  <c r="D99" i="7"/>
  <c r="E99" i="7"/>
  <c r="F99" i="7"/>
  <c r="G99" i="7"/>
  <c r="H99" i="7"/>
  <c r="C110" i="7"/>
  <c r="D110" i="7"/>
  <c r="E110" i="7"/>
  <c r="F110" i="7"/>
  <c r="G110" i="7"/>
  <c r="H110" i="7"/>
  <c r="C111" i="7"/>
  <c r="D111" i="7"/>
  <c r="E111" i="7"/>
  <c r="F111" i="7"/>
  <c r="G111" i="7"/>
  <c r="H111" i="7"/>
  <c r="C113" i="7"/>
  <c r="D113" i="7"/>
  <c r="E113" i="7"/>
  <c r="F113" i="7"/>
  <c r="G113" i="7"/>
  <c r="H113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C123" i="7"/>
  <c r="D123" i="7"/>
  <c r="E123" i="7"/>
  <c r="F123" i="7"/>
  <c r="G123" i="7"/>
  <c r="H123" i="7"/>
  <c r="C125" i="7"/>
  <c r="D125" i="7"/>
  <c r="E125" i="7"/>
  <c r="F125" i="7"/>
  <c r="G125" i="7"/>
  <c r="C130" i="7"/>
  <c r="D130" i="7"/>
  <c r="E130" i="7"/>
  <c r="F130" i="7"/>
  <c r="G130" i="7"/>
  <c r="H130" i="7"/>
  <c r="C131" i="7"/>
  <c r="D131" i="7"/>
  <c r="E131" i="7"/>
  <c r="F131" i="7"/>
  <c r="G131" i="7"/>
  <c r="H131" i="7"/>
  <c r="D138" i="7"/>
  <c r="E138" i="7"/>
  <c r="C139" i="7"/>
  <c r="D139" i="7"/>
  <c r="E139" i="7"/>
  <c r="F139" i="7"/>
  <c r="G139" i="7"/>
  <c r="H139" i="7"/>
  <c r="C141" i="7"/>
  <c r="D141" i="7"/>
  <c r="E141" i="7"/>
  <c r="F141" i="7"/>
  <c r="G141" i="7"/>
  <c r="H141" i="7"/>
  <c r="D18" i="4"/>
  <c r="E18" i="4"/>
  <c r="F18" i="4"/>
  <c r="G18" i="4"/>
  <c r="H18" i="4"/>
  <c r="C25" i="4"/>
  <c r="D25" i="4"/>
  <c r="E25" i="4"/>
  <c r="F25" i="4"/>
  <c r="G25" i="4"/>
  <c r="H25" i="4"/>
  <c r="C26" i="4"/>
  <c r="D26" i="4"/>
  <c r="E26" i="4"/>
  <c r="F26" i="4"/>
  <c r="G26" i="4"/>
  <c r="H26" i="4"/>
  <c r="C31" i="4"/>
  <c r="D31" i="4"/>
  <c r="E31" i="4"/>
  <c r="F31" i="4"/>
  <c r="G31" i="4"/>
  <c r="H31" i="4"/>
  <c r="C32" i="4"/>
  <c r="D32" i="4"/>
  <c r="E32" i="4"/>
  <c r="F32" i="4"/>
  <c r="G32" i="4"/>
  <c r="H32" i="4"/>
  <c r="C40" i="4"/>
  <c r="D40" i="4"/>
  <c r="E40" i="4"/>
  <c r="F40" i="4"/>
  <c r="G40" i="4"/>
  <c r="H40" i="4"/>
  <c r="C41" i="4"/>
  <c r="D41" i="4"/>
  <c r="E41" i="4"/>
  <c r="F41" i="4"/>
  <c r="G41" i="4"/>
  <c r="H41" i="4"/>
  <c r="C43" i="4"/>
  <c r="D43" i="4"/>
  <c r="E43" i="4"/>
  <c r="F43" i="4"/>
  <c r="G43" i="4"/>
  <c r="H43" i="4"/>
  <c r="C55" i="4"/>
  <c r="D55" i="4"/>
  <c r="E55" i="4"/>
  <c r="F55" i="4"/>
  <c r="G55" i="4"/>
  <c r="H55" i="4"/>
  <c r="C56" i="4"/>
  <c r="D56" i="4"/>
  <c r="E56" i="4"/>
  <c r="F56" i="4"/>
  <c r="G56" i="4"/>
  <c r="H56" i="4"/>
  <c r="C66" i="4"/>
  <c r="D66" i="4"/>
  <c r="E66" i="4"/>
  <c r="F66" i="4"/>
  <c r="G66" i="4"/>
  <c r="H66" i="4"/>
  <c r="C72" i="4"/>
  <c r="D72" i="4"/>
  <c r="E72" i="4"/>
  <c r="F72" i="4"/>
  <c r="G72" i="4"/>
  <c r="H72" i="4"/>
  <c r="C73" i="4"/>
  <c r="D73" i="4"/>
  <c r="E73" i="4"/>
  <c r="F73" i="4"/>
  <c r="G73" i="4"/>
  <c r="H73" i="4"/>
  <c r="C82" i="4"/>
  <c r="D82" i="4"/>
  <c r="E82" i="4"/>
  <c r="F82" i="4"/>
  <c r="G82" i="4"/>
  <c r="H82" i="4"/>
  <c r="C83" i="4"/>
  <c r="D83" i="4"/>
  <c r="E83" i="4"/>
  <c r="F83" i="4"/>
  <c r="G83" i="4"/>
  <c r="H83" i="4"/>
  <c r="C92" i="4"/>
  <c r="D92" i="4"/>
  <c r="E92" i="4"/>
  <c r="F92" i="4"/>
  <c r="G92" i="4"/>
  <c r="H92" i="4"/>
  <c r="C93" i="4"/>
  <c r="D93" i="4"/>
  <c r="E93" i="4"/>
  <c r="F93" i="4"/>
  <c r="G93" i="4"/>
  <c r="H93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5" i="4"/>
  <c r="D115" i="4"/>
  <c r="E115" i="4"/>
  <c r="F115" i="4"/>
  <c r="G115" i="4"/>
  <c r="H115" i="4"/>
  <c r="C121" i="4"/>
  <c r="D121" i="4"/>
  <c r="E121" i="4"/>
  <c r="F121" i="4"/>
  <c r="G121" i="4"/>
  <c r="H121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35" i="4"/>
  <c r="D135" i="4"/>
  <c r="E135" i="4"/>
  <c r="F135" i="4"/>
  <c r="G135" i="4"/>
  <c r="H135" i="4"/>
  <c r="C137" i="4"/>
  <c r="D137" i="4"/>
  <c r="E137" i="4"/>
  <c r="F137" i="4"/>
  <c r="G137" i="4"/>
  <c r="H137" i="4"/>
  <c r="D14" i="1"/>
  <c r="F14" i="1"/>
  <c r="C15" i="1"/>
  <c r="D15" i="1"/>
  <c r="E15" i="1"/>
  <c r="F15" i="1"/>
  <c r="G15" i="1"/>
  <c r="H15" i="1"/>
  <c r="C25" i="1"/>
  <c r="D26" i="1"/>
  <c r="G26" i="1"/>
  <c r="C27" i="1"/>
  <c r="D27" i="1"/>
  <c r="E27" i="1"/>
  <c r="F27" i="1"/>
  <c r="G27" i="1"/>
  <c r="H27" i="1"/>
  <c r="C28" i="1"/>
  <c r="D28" i="1"/>
  <c r="E28" i="1"/>
  <c r="F28" i="1"/>
  <c r="G28" i="1"/>
  <c r="H28" i="1"/>
  <c r="C33" i="1"/>
  <c r="D33" i="1"/>
  <c r="E33" i="1"/>
  <c r="F33" i="1"/>
  <c r="G33" i="1"/>
  <c r="H33" i="1"/>
  <c r="C34" i="1"/>
  <c r="D34" i="1"/>
  <c r="E34" i="1"/>
  <c r="F34" i="1"/>
  <c r="G34" i="1"/>
  <c r="H34" i="1"/>
  <c r="C39" i="1"/>
  <c r="D39" i="1"/>
  <c r="E39" i="1"/>
  <c r="F39" i="1"/>
  <c r="G39" i="1"/>
  <c r="C42" i="1"/>
  <c r="D42" i="1"/>
  <c r="E42" i="1"/>
  <c r="F42" i="1"/>
  <c r="G42" i="1"/>
  <c r="H42" i="1"/>
  <c r="C43" i="1"/>
  <c r="D43" i="1"/>
  <c r="E43" i="1"/>
  <c r="F43" i="1"/>
  <c r="G43" i="1"/>
  <c r="H43" i="1"/>
  <c r="C45" i="1"/>
  <c r="D45" i="1"/>
  <c r="E45" i="1"/>
  <c r="F45" i="1"/>
  <c r="G45" i="1"/>
  <c r="H45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E53" i="1"/>
  <c r="G54" i="1"/>
  <c r="C55" i="1"/>
  <c r="D55" i="1"/>
  <c r="E55" i="1"/>
  <c r="F55" i="1"/>
  <c r="G55" i="1"/>
  <c r="H55" i="1"/>
  <c r="C56" i="1"/>
  <c r="D56" i="1"/>
  <c r="E56" i="1"/>
  <c r="F56" i="1"/>
  <c r="G56" i="1"/>
  <c r="H56" i="1"/>
  <c r="C61" i="1"/>
  <c r="D61" i="1"/>
  <c r="E61" i="1"/>
  <c r="F61" i="1"/>
  <c r="G61" i="1"/>
  <c r="F65" i="1"/>
  <c r="C66" i="1"/>
  <c r="D66" i="1"/>
  <c r="E66" i="1"/>
  <c r="F66" i="1"/>
  <c r="G66" i="1"/>
  <c r="C67" i="1"/>
  <c r="D67" i="1"/>
  <c r="E67" i="1"/>
  <c r="F67" i="1"/>
  <c r="G67" i="1"/>
  <c r="H67" i="1"/>
  <c r="C68" i="1"/>
  <c r="D68" i="1"/>
  <c r="E68" i="1"/>
  <c r="F68" i="1"/>
  <c r="G68" i="1"/>
  <c r="H68" i="1"/>
  <c r="C73" i="1"/>
  <c r="D73" i="1"/>
  <c r="E73" i="1"/>
  <c r="F73" i="1"/>
  <c r="G73" i="1"/>
  <c r="G74" i="1"/>
  <c r="E76" i="1"/>
  <c r="C77" i="1"/>
  <c r="D77" i="1"/>
  <c r="E77" i="1"/>
  <c r="F77" i="1"/>
  <c r="G77" i="1"/>
  <c r="H77" i="1"/>
  <c r="C78" i="1"/>
  <c r="D78" i="1"/>
  <c r="E78" i="1"/>
  <c r="F78" i="1"/>
  <c r="G78" i="1"/>
  <c r="H78" i="1"/>
  <c r="C83" i="1"/>
  <c r="D83" i="1"/>
  <c r="E83" i="1"/>
  <c r="F83" i="1"/>
  <c r="G83" i="1"/>
  <c r="C84" i="1"/>
  <c r="D84" i="1"/>
  <c r="E84" i="1"/>
  <c r="F84" i="1"/>
  <c r="G84" i="1"/>
  <c r="C86" i="1"/>
  <c r="D86" i="1"/>
  <c r="E86" i="1"/>
  <c r="F86" i="1"/>
  <c r="C87" i="1"/>
  <c r="D87" i="1"/>
  <c r="E87" i="1"/>
  <c r="F87" i="1"/>
  <c r="G87" i="1"/>
  <c r="H87" i="1"/>
  <c r="C88" i="1"/>
  <c r="D88" i="1"/>
  <c r="E88" i="1"/>
  <c r="F88" i="1"/>
  <c r="G88" i="1"/>
  <c r="H88" i="1"/>
  <c r="C93" i="1"/>
  <c r="D93" i="1"/>
  <c r="E93" i="1"/>
  <c r="F93" i="1"/>
  <c r="G93" i="1"/>
  <c r="C95" i="1"/>
  <c r="D95" i="1"/>
  <c r="E95" i="1"/>
  <c r="F95" i="1"/>
  <c r="G95" i="1"/>
  <c r="C98" i="1"/>
  <c r="D98" i="1"/>
  <c r="E98" i="1"/>
  <c r="F98" i="1"/>
  <c r="G98" i="1"/>
  <c r="H98" i="1"/>
  <c r="C99" i="1"/>
  <c r="D99" i="1"/>
  <c r="E99" i="1"/>
  <c r="F99" i="1"/>
  <c r="G99" i="1"/>
  <c r="H99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3" i="1"/>
  <c r="D113" i="1"/>
  <c r="E113" i="1"/>
  <c r="F113" i="1"/>
  <c r="G113" i="1"/>
  <c r="H113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C123" i="1"/>
  <c r="D123" i="1"/>
  <c r="E123" i="1"/>
  <c r="F123" i="1"/>
  <c r="G123" i="1"/>
  <c r="H123" i="1"/>
  <c r="C125" i="1"/>
  <c r="D125" i="1"/>
  <c r="E125" i="1"/>
  <c r="F125" i="1"/>
  <c r="G125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D138" i="1"/>
  <c r="E138" i="1"/>
  <c r="C139" i="1"/>
  <c r="D139" i="1"/>
  <c r="E139" i="1"/>
  <c r="F139" i="1"/>
  <c r="G139" i="1"/>
  <c r="H139" i="1"/>
  <c r="C141" i="1"/>
  <c r="D141" i="1"/>
  <c r="E141" i="1"/>
  <c r="F141" i="1"/>
  <c r="G141" i="1"/>
  <c r="H141" i="1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6" i="6"/>
  <c r="D16" i="6"/>
  <c r="E16" i="6"/>
  <c r="F16" i="6"/>
  <c r="G16" i="6"/>
  <c r="H16" i="6"/>
  <c r="I16" i="6"/>
  <c r="J16" i="6"/>
  <c r="A18" i="6"/>
  <c r="C19" i="6"/>
  <c r="D19" i="6"/>
  <c r="E19" i="6"/>
  <c r="F19" i="6"/>
  <c r="G19" i="6"/>
  <c r="H19" i="6"/>
  <c r="I19" i="6"/>
  <c r="J19" i="6"/>
  <c r="C20" i="6"/>
  <c r="D20" i="6"/>
  <c r="E20" i="6"/>
  <c r="F20" i="6"/>
  <c r="G20" i="6"/>
  <c r="H20" i="6"/>
  <c r="I20" i="6"/>
  <c r="J20" i="6"/>
  <c r="C21" i="6"/>
  <c r="D21" i="6"/>
  <c r="E21" i="6"/>
  <c r="F21" i="6"/>
  <c r="G21" i="6"/>
  <c r="H21" i="6"/>
  <c r="I21" i="6"/>
  <c r="J21" i="6"/>
  <c r="C22" i="6"/>
  <c r="D22" i="6"/>
  <c r="E22" i="6"/>
  <c r="F22" i="6"/>
  <c r="G22" i="6"/>
  <c r="H22" i="6"/>
  <c r="I22" i="6"/>
  <c r="J22" i="6"/>
  <c r="C24" i="6"/>
  <c r="D24" i="6"/>
  <c r="E24" i="6"/>
  <c r="F24" i="6"/>
  <c r="G24" i="6"/>
  <c r="H24" i="6"/>
  <c r="I24" i="6"/>
  <c r="J24" i="6"/>
  <c r="A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C29" i="6"/>
  <c r="D29" i="6"/>
  <c r="E29" i="6"/>
  <c r="F29" i="6"/>
  <c r="G29" i="6"/>
  <c r="H29" i="6"/>
  <c r="I29" i="6"/>
  <c r="J29" i="6"/>
  <c r="C30" i="6"/>
  <c r="D30" i="6"/>
  <c r="E30" i="6"/>
  <c r="F30" i="6"/>
  <c r="G30" i="6"/>
  <c r="H30" i="6"/>
  <c r="I30" i="6"/>
  <c r="J30" i="6"/>
  <c r="A32" i="6"/>
  <c r="C34" i="6"/>
  <c r="D34" i="6"/>
  <c r="E34" i="6"/>
  <c r="F34" i="6"/>
  <c r="G34" i="6"/>
  <c r="H34" i="6"/>
  <c r="I34" i="6"/>
  <c r="J34" i="6"/>
  <c r="C35" i="6"/>
  <c r="D35" i="6"/>
  <c r="E35" i="6"/>
  <c r="F35" i="6"/>
  <c r="G35" i="6"/>
  <c r="H35" i="6"/>
  <c r="I35" i="6"/>
  <c r="J35" i="6"/>
  <c r="C36" i="6"/>
  <c r="D36" i="6"/>
  <c r="E36" i="6"/>
  <c r="F36" i="6"/>
  <c r="G36" i="6"/>
  <c r="H36" i="6"/>
  <c r="I36" i="6"/>
  <c r="J36" i="6"/>
  <c r="C37" i="6"/>
  <c r="D37" i="6"/>
  <c r="E37" i="6"/>
  <c r="F37" i="6"/>
  <c r="G37" i="6"/>
  <c r="H37" i="6"/>
  <c r="I37" i="6"/>
  <c r="J37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A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A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A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A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C66" i="6"/>
  <c r="D66" i="6"/>
  <c r="E66" i="6"/>
  <c r="F66" i="6"/>
  <c r="G66" i="6"/>
  <c r="H66" i="6"/>
  <c r="I66" i="6"/>
  <c r="J66" i="6"/>
  <c r="C67" i="6"/>
  <c r="D67" i="6"/>
  <c r="E67" i="6"/>
  <c r="F67" i="6"/>
  <c r="G67" i="6"/>
  <c r="H67" i="6"/>
  <c r="I67" i="6"/>
  <c r="J67" i="6"/>
  <c r="A69" i="6"/>
  <c r="C70" i="6"/>
  <c r="D70" i="6"/>
  <c r="E70" i="6"/>
  <c r="F70" i="6"/>
  <c r="G70" i="6"/>
  <c r="H70" i="6"/>
  <c r="I70" i="6"/>
  <c r="J70" i="6"/>
  <c r="C71" i="6"/>
  <c r="D71" i="6"/>
  <c r="E71" i="6"/>
  <c r="F71" i="6"/>
  <c r="G71" i="6"/>
  <c r="H71" i="6"/>
  <c r="I71" i="6"/>
  <c r="J71" i="6"/>
  <c r="C72" i="6"/>
  <c r="D72" i="6"/>
  <c r="E72" i="6"/>
  <c r="F72" i="6"/>
  <c r="G72" i="6"/>
  <c r="H72" i="6"/>
  <c r="I72" i="6"/>
  <c r="J72" i="6"/>
  <c r="C73" i="6"/>
  <c r="D73" i="6"/>
  <c r="E73" i="6"/>
  <c r="F73" i="6"/>
  <c r="G73" i="6"/>
  <c r="H73" i="6"/>
  <c r="I73" i="6"/>
  <c r="J73" i="6"/>
  <c r="I74" i="6"/>
  <c r="J74" i="6"/>
  <c r="A75" i="6"/>
  <c r="I75" i="6"/>
  <c r="J75" i="6"/>
  <c r="C76" i="6"/>
  <c r="D76" i="6"/>
  <c r="E76" i="6"/>
  <c r="F76" i="6"/>
  <c r="G76" i="6"/>
  <c r="H76" i="6"/>
  <c r="I76" i="6"/>
  <c r="J76" i="6"/>
  <c r="C77" i="6"/>
  <c r="D77" i="6"/>
  <c r="E77" i="6"/>
  <c r="F77" i="6"/>
  <c r="G77" i="6"/>
  <c r="H77" i="6"/>
  <c r="I77" i="6"/>
  <c r="J77" i="6"/>
  <c r="C78" i="6"/>
  <c r="D78" i="6"/>
  <c r="E78" i="6"/>
  <c r="F78" i="6"/>
  <c r="G78" i="6"/>
  <c r="H78" i="6"/>
  <c r="I78" i="6"/>
  <c r="J78" i="6"/>
  <c r="C79" i="6"/>
  <c r="D79" i="6"/>
  <c r="E79" i="6"/>
  <c r="F79" i="6"/>
  <c r="G79" i="6"/>
  <c r="H79" i="6"/>
  <c r="I79" i="6"/>
  <c r="J79" i="6"/>
  <c r="C81" i="6"/>
  <c r="D81" i="6"/>
  <c r="E81" i="6"/>
  <c r="F81" i="6"/>
  <c r="G81" i="6"/>
  <c r="H81" i="6"/>
  <c r="I81" i="6"/>
  <c r="J81" i="6"/>
  <c r="C6" i="2"/>
  <c r="C12" i="2"/>
  <c r="D12" i="2"/>
  <c r="E12" i="2"/>
  <c r="F12" i="2"/>
  <c r="G12" i="2"/>
  <c r="C13" i="2"/>
  <c r="D13" i="2"/>
  <c r="E13" i="2"/>
  <c r="F13" i="2"/>
  <c r="G13" i="2"/>
  <c r="H13" i="2"/>
  <c r="C17" i="2"/>
  <c r="D17" i="2"/>
  <c r="E17" i="2"/>
  <c r="F17" i="2"/>
  <c r="G17" i="2"/>
  <c r="E19" i="2"/>
  <c r="H19" i="2"/>
  <c r="D20" i="2"/>
  <c r="C21" i="2"/>
  <c r="C22" i="2"/>
  <c r="D22" i="2"/>
  <c r="G22" i="2"/>
  <c r="C23" i="2"/>
  <c r="D23" i="2"/>
  <c r="E23" i="2"/>
  <c r="F23" i="2"/>
  <c r="G23" i="2"/>
  <c r="H23" i="2"/>
  <c r="C24" i="2"/>
  <c r="D24" i="2"/>
  <c r="E24" i="2"/>
  <c r="F24" i="2"/>
  <c r="G24" i="2"/>
  <c r="H24" i="2"/>
  <c r="C29" i="2"/>
  <c r="D29" i="2"/>
  <c r="E29" i="2"/>
  <c r="F29" i="2"/>
  <c r="G29" i="2"/>
  <c r="H29" i="2"/>
  <c r="C30" i="2"/>
  <c r="D30" i="2"/>
  <c r="E30" i="2"/>
  <c r="F30" i="2"/>
  <c r="G30" i="2"/>
  <c r="H30" i="2"/>
  <c r="C35" i="2"/>
  <c r="D35" i="2"/>
  <c r="E35" i="2"/>
  <c r="F35" i="2"/>
  <c r="G35" i="2"/>
  <c r="C38" i="2"/>
  <c r="D38" i="2"/>
  <c r="E38" i="2"/>
  <c r="F38" i="2"/>
  <c r="G38" i="2"/>
  <c r="H38" i="2"/>
  <c r="C39" i="2"/>
  <c r="D39" i="2"/>
  <c r="E39" i="2"/>
  <c r="F39" i="2"/>
  <c r="G39" i="2"/>
  <c r="H39" i="2"/>
  <c r="C41" i="2"/>
  <c r="D41" i="2"/>
  <c r="E41" i="2"/>
  <c r="F41" i="2"/>
  <c r="G41" i="2"/>
  <c r="H41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52" i="2"/>
  <c r="D52" i="2"/>
  <c r="E52" i="2"/>
  <c r="F52" i="2"/>
  <c r="G52" i="2"/>
  <c r="C53" i="2"/>
  <c r="D53" i="2"/>
  <c r="E53" i="2"/>
  <c r="F53" i="2"/>
  <c r="G53" i="2"/>
  <c r="H53" i="2"/>
  <c r="C54" i="2"/>
  <c r="D54" i="2"/>
  <c r="E54" i="2"/>
  <c r="F54" i="2"/>
  <c r="G54" i="2"/>
  <c r="H54" i="2"/>
  <c r="C59" i="2"/>
  <c r="D59" i="2"/>
  <c r="E59" i="2"/>
  <c r="F59" i="2"/>
  <c r="G59" i="2"/>
  <c r="E61" i="2"/>
  <c r="C64" i="2"/>
  <c r="D64" i="2"/>
  <c r="E64" i="2"/>
  <c r="F64" i="2"/>
  <c r="G64" i="2"/>
  <c r="C65" i="2"/>
  <c r="D65" i="2"/>
  <c r="E65" i="2"/>
  <c r="F65" i="2"/>
  <c r="G65" i="2"/>
  <c r="H65" i="2"/>
  <c r="C66" i="2"/>
  <c r="D66" i="2"/>
  <c r="E66" i="2"/>
  <c r="F66" i="2"/>
  <c r="G66" i="2"/>
  <c r="H66" i="2"/>
  <c r="C71" i="2"/>
  <c r="D71" i="2"/>
  <c r="E71" i="2"/>
  <c r="F71" i="2"/>
  <c r="G71" i="2"/>
  <c r="E74" i="2"/>
  <c r="C75" i="2"/>
  <c r="D75" i="2"/>
  <c r="E75" i="2"/>
  <c r="F75" i="2"/>
  <c r="G75" i="2"/>
  <c r="H75" i="2"/>
  <c r="C76" i="2"/>
  <c r="D76" i="2"/>
  <c r="E76" i="2"/>
  <c r="F76" i="2"/>
  <c r="G76" i="2"/>
  <c r="H76" i="2"/>
  <c r="C81" i="2"/>
  <c r="D81" i="2"/>
  <c r="E81" i="2"/>
  <c r="F81" i="2"/>
  <c r="G81" i="2"/>
  <c r="C82" i="2"/>
  <c r="D82" i="2"/>
  <c r="E82" i="2"/>
  <c r="F82" i="2"/>
  <c r="G82" i="2"/>
  <c r="C85" i="2"/>
  <c r="D85" i="2"/>
  <c r="E85" i="2"/>
  <c r="F85" i="2"/>
  <c r="G85" i="2"/>
  <c r="H85" i="2"/>
  <c r="C86" i="2"/>
  <c r="D86" i="2"/>
  <c r="E86" i="2"/>
  <c r="F86" i="2"/>
  <c r="G86" i="2"/>
  <c r="H86" i="2"/>
  <c r="C91" i="2"/>
  <c r="D91" i="2"/>
  <c r="E91" i="2"/>
  <c r="F91" i="2"/>
  <c r="G91" i="2"/>
  <c r="C95" i="2"/>
  <c r="D95" i="2"/>
  <c r="E95" i="2"/>
  <c r="F95" i="2"/>
  <c r="G95" i="2"/>
  <c r="H95" i="2"/>
  <c r="C96" i="2"/>
  <c r="D96" i="2"/>
  <c r="E96" i="2"/>
  <c r="F96" i="2"/>
  <c r="G96" i="2"/>
  <c r="H96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G104" i="2"/>
  <c r="E105" i="2"/>
  <c r="C106" i="2"/>
  <c r="D106" i="2"/>
  <c r="E106" i="2"/>
  <c r="F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10" i="2"/>
  <c r="D110" i="2"/>
  <c r="E110" i="2"/>
  <c r="F110" i="2"/>
  <c r="G110" i="2"/>
  <c r="H110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D119" i="2"/>
  <c r="E119" i="2"/>
  <c r="F119" i="2"/>
  <c r="G119" i="2"/>
  <c r="C120" i="2"/>
  <c r="D120" i="2"/>
  <c r="E120" i="2"/>
  <c r="F120" i="2"/>
  <c r="G120" i="2"/>
  <c r="H120" i="2"/>
  <c r="E122" i="2"/>
  <c r="F122" i="2"/>
  <c r="G122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E135" i="2"/>
  <c r="C136" i="2"/>
  <c r="D136" i="2"/>
  <c r="E136" i="2"/>
  <c r="F136" i="2"/>
  <c r="G136" i="2"/>
  <c r="H136" i="2"/>
  <c r="C138" i="2"/>
  <c r="D138" i="2"/>
  <c r="E138" i="2"/>
  <c r="F138" i="2"/>
  <c r="G138" i="2"/>
  <c r="H138" i="2"/>
</calcChain>
</file>

<file path=xl/sharedStrings.xml><?xml version="1.0" encoding="utf-8"?>
<sst xmlns="http://schemas.openxmlformats.org/spreadsheetml/2006/main" count="862" uniqueCount="164">
  <si>
    <t>Actual</t>
  </si>
  <si>
    <t>Plan</t>
  </si>
  <si>
    <t>Estimate</t>
  </si>
  <si>
    <t>NNG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</si>
  <si>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</si>
  <si>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</si>
  <si>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</si>
  <si>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</si>
  <si>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</si>
  <si>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</si>
  <si>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</si>
  <si>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</si>
  <si>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</si>
  <si>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</si>
  <si>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</si>
  <si>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Fuel</t>
  </si>
  <si>
    <t>Revenue Management</t>
  </si>
  <si>
    <t>O&amp;M &amp; G&amp;A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</si>
  <si>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</si>
  <si>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</si>
  <si>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</si>
  <si>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</si>
  <si>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</si>
  <si>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</si>
  <si>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</si>
  <si>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</si>
  <si>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Target</t>
  </si>
  <si>
    <t>New Deals</t>
  </si>
  <si>
    <t>Citrus</t>
  </si>
  <si>
    <t>TW</t>
  </si>
  <si>
    <t>Storage</t>
  </si>
  <si>
    <t>Tranche 2&amp;3</t>
  </si>
  <si>
    <t>FTS-1</t>
  </si>
  <si>
    <t>FTS-2</t>
  </si>
  <si>
    <t>Other - IT, SFTS, PNR, Western</t>
  </si>
  <si>
    <t>TC &amp; S Costs</t>
  </si>
  <si>
    <t>CitrusNet</t>
  </si>
  <si>
    <t>Operations</t>
  </si>
  <si>
    <t>O&amp;M/G&amp;A</t>
  </si>
  <si>
    <t>Field Operations</t>
  </si>
  <si>
    <t>Other Income</t>
  </si>
  <si>
    <t xml:space="preserve">     Demand</t>
  </si>
  <si>
    <t xml:space="preserve">     Commodity</t>
  </si>
  <si>
    <t>Market Services</t>
  </si>
  <si>
    <t>Amortizations</t>
  </si>
  <si>
    <t>Other Expenses</t>
  </si>
  <si>
    <t>Group Services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</si>
  <si>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</si>
  <si>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</si>
  <si>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</si>
  <si>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</si>
  <si>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</si>
  <si>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</si>
  <si>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</si>
  <si>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</si>
  <si>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</si>
  <si>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</si>
  <si>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Net Contribution Legal</t>
  </si>
  <si>
    <t>Field Operations Support</t>
  </si>
  <si>
    <t>Commercial Support</t>
  </si>
  <si>
    <t>Human Resources/Communications</t>
  </si>
  <si>
    <t>Net Contribution HR/C</t>
  </si>
  <si>
    <t>Net Contribution FA&amp;A</t>
  </si>
  <si>
    <t>Executive &amp; Other</t>
  </si>
  <si>
    <t>Net Contribution Executive/Other</t>
  </si>
  <si>
    <t>Total Net Contribution</t>
  </si>
  <si>
    <t>Other Expenses:</t>
  </si>
  <si>
    <t>Corporate</t>
  </si>
  <si>
    <t xml:space="preserve">     Allocated</t>
  </si>
  <si>
    <t xml:space="preserve">     Direct</t>
  </si>
  <si>
    <t xml:space="preserve">CESI </t>
  </si>
  <si>
    <t>Trading</t>
  </si>
  <si>
    <t>Phase IV</t>
  </si>
  <si>
    <t>Phase V</t>
  </si>
  <si>
    <t>ACA</t>
  </si>
  <si>
    <t>DD&amp;A</t>
  </si>
  <si>
    <t>Other Taxes</t>
  </si>
  <si>
    <t xml:space="preserve">     Ad Valorem</t>
  </si>
  <si>
    <t xml:space="preserve">     Other</t>
  </si>
  <si>
    <t xml:space="preserve">     Total Other Taxes</t>
  </si>
  <si>
    <t xml:space="preserve">     Total Corporate</t>
  </si>
  <si>
    <t>Other Income(Deductions)</t>
  </si>
  <si>
    <t>Trailblazer</t>
  </si>
  <si>
    <t>Overthrust</t>
  </si>
  <si>
    <t>Discontinued Operations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</si>
  <si>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</si>
  <si>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</si>
  <si>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</si>
  <si>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</si>
  <si>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</si>
  <si>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Field Operations For Expansions</t>
  </si>
  <si>
    <t>Swap gains</t>
  </si>
  <si>
    <t>FAS 133</t>
  </si>
  <si>
    <t>Supply Credits</t>
  </si>
  <si>
    <t>AFUDC Amortization</t>
  </si>
  <si>
    <t>Total Other Income</t>
  </si>
  <si>
    <t>Electric Compression</t>
  </si>
  <si>
    <t>Clean Fuels</t>
  </si>
  <si>
    <t>Northern Border</t>
  </si>
  <si>
    <t>Skill-based Pay amortization</t>
  </si>
  <si>
    <t>Aviation</t>
  </si>
  <si>
    <t>Corporate Overhead</t>
  </si>
  <si>
    <t>EIS</t>
  </si>
  <si>
    <t>EP&amp;S</t>
  </si>
  <si>
    <t>Other Expenses - G&amp;A</t>
  </si>
  <si>
    <t>Other - G&amp;A</t>
  </si>
  <si>
    <t>Omaha Rent</t>
  </si>
  <si>
    <t>Mangement Overview</t>
  </si>
  <si>
    <t xml:space="preserve">O&amp;M </t>
  </si>
  <si>
    <t>Other -  NNG Exec</t>
  </si>
  <si>
    <t xml:space="preserve">Other </t>
  </si>
  <si>
    <t>Other - OH to Exec</t>
  </si>
  <si>
    <t>OH to Executive</t>
  </si>
  <si>
    <t>Overhead (incl.fr.Legal,F&amp;A,HR)</t>
  </si>
  <si>
    <t>To IT Technology</t>
  </si>
  <si>
    <t>To IT Technology &amp; Exec</t>
  </si>
  <si>
    <t>From OPS</t>
  </si>
  <si>
    <t>Group Operations(OTS)</t>
  </si>
  <si>
    <t>OH (incl.Legal,F&amp;A,HR)</t>
  </si>
  <si>
    <t>Corporate OH</t>
  </si>
  <si>
    <t>VP</t>
  </si>
  <si>
    <t>Other Expenses-VP,SAP</t>
  </si>
  <si>
    <t>Overview</t>
  </si>
  <si>
    <t>To Exec</t>
  </si>
  <si>
    <t>Operations Support</t>
  </si>
  <si>
    <t>Revised 10/02/00</t>
  </si>
  <si>
    <t>Rate Case Amortization</t>
  </si>
  <si>
    <t>Amortizations  (Encore)</t>
  </si>
  <si>
    <t>ETS Operations Services (OTS)</t>
  </si>
  <si>
    <t>Allocations in from HPL</t>
  </si>
  <si>
    <t>Overhaul Amortizations</t>
  </si>
  <si>
    <t>OTS Work Order Amortization</t>
  </si>
  <si>
    <t>ETS Fin &amp; Admin</t>
  </si>
  <si>
    <t>Field Ops Support (GCO Alloc out)</t>
  </si>
  <si>
    <t>Amortizations  (Ramp up)</t>
  </si>
  <si>
    <t>Deferred Legal Fees Expensed</t>
  </si>
  <si>
    <t>Other (G&amp;A, Add Captlizd Costs)</t>
  </si>
  <si>
    <t xml:space="preserve">     Allocated (SAP, MMF)</t>
  </si>
  <si>
    <t xml:space="preserve">     Direct (inc Aviation, Fuji Lease)</t>
  </si>
  <si>
    <t>CIAC Gross up</t>
  </si>
  <si>
    <t>Interest Income</t>
  </si>
  <si>
    <t>Inventory Revaluation</t>
  </si>
  <si>
    <t>Stretch</t>
  </si>
  <si>
    <t>FGT</t>
  </si>
  <si>
    <t>Margins Net of Expenses</t>
  </si>
  <si>
    <t>Total</t>
  </si>
  <si>
    <t>Nonrecurring Income</t>
  </si>
  <si>
    <t>Total Commercial Contribution</t>
  </si>
  <si>
    <t>Total Contribution from Market</t>
  </si>
  <si>
    <t>Total Contribution from FA&amp;A</t>
  </si>
  <si>
    <t>Total Contribution from Operations</t>
  </si>
  <si>
    <t>Total Contribution from IT</t>
  </si>
  <si>
    <t>Special</t>
  </si>
  <si>
    <t>Total Special</t>
  </si>
  <si>
    <t>Recurring</t>
  </si>
  <si>
    <t>Total Recurring</t>
  </si>
  <si>
    <t>Total Contribution from Legal</t>
  </si>
  <si>
    <t>Total Contribution from HR/Comm</t>
  </si>
  <si>
    <t>Total Contribution from Exec/Other</t>
  </si>
  <si>
    <t>Total Other Expenses</t>
  </si>
  <si>
    <t>IBIT</t>
  </si>
  <si>
    <t xml:space="preserve">Variance </t>
  </si>
  <si>
    <t>To Plan</t>
  </si>
  <si>
    <t>To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</si>
</sst>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_);_(@_)"/>
    <numFmt numFmtId="165" formatCode="#,##0.0_);\(#,##0.0\)"/>
    <numFmt numFmtId="167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5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6" fillId="0" borderId="0" xfId="2" applyFont="1"/>
    <xf numFmtId="164" fontId="0" fillId="0" borderId="1" xfId="0" applyNumberFormat="1" applyBorder="1"/>
    <xf numFmtId="0" fontId="7" fillId="0" borderId="0" xfId="0" applyFont="1"/>
    <xf numFmtId="165" fontId="4" fillId="0" borderId="0" xfId="2" applyFont="1"/>
    <xf numFmtId="164" fontId="6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8" fillId="0" borderId="0" xfId="0" applyFont="1"/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Border="1"/>
    <xf numFmtId="164" fontId="6" fillId="0" borderId="0" xfId="0" applyNumberFormat="1" applyFont="1" applyFill="1"/>
    <xf numFmtId="167" fontId="1" fillId="0" borderId="0" xfId="1" applyNumberFormat="1" applyFill="1"/>
    <xf numFmtId="167" fontId="1" fillId="0" borderId="0" xfId="1" applyNumberFormat="1"/>
    <xf numFmtId="164" fontId="3" fillId="0" borderId="0" xfId="0" applyNumberFormat="1" applyFont="1" applyFill="1"/>
    <xf numFmtId="167" fontId="0" fillId="0" borderId="0" xfId="0" applyNumberFormat="1" applyFill="1"/>
    <xf numFmtId="167" fontId="3" fillId="0" borderId="0" xfId="0" applyNumberFormat="1" applyFont="1" applyFill="1"/>
    <xf numFmtId="167" fontId="3" fillId="0" borderId="0" xfId="0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Normal_DETAI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cfuncin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CDetail/085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ollups/review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"/>
      <sheetName val="TW"/>
      <sheetName val="Citrus"/>
      <sheetName val="NB"/>
      <sheetName val="CF"/>
    </sheetNames>
    <sheetDataSet>
      <sheetData sheetId="0" refreshError="1"/>
      <sheetData sheetId="1" refreshError="1"/>
      <sheetData sheetId="2" refreshError="1">
        <row r="7">
          <cell r="C7">
            <v>122.0693</v>
          </cell>
          <cell r="D7">
            <v>122.7</v>
          </cell>
          <cell r="E7">
            <v>123.1</v>
          </cell>
          <cell r="F7">
            <v>123.4</v>
          </cell>
          <cell r="G7">
            <v>123.1</v>
          </cell>
        </row>
        <row r="8">
          <cell r="C8">
            <v>8.5322999999999993</v>
          </cell>
          <cell r="D8">
            <v>9.5</v>
          </cell>
          <cell r="E8">
            <v>8.8490000000000002</v>
          </cell>
          <cell r="F8">
            <v>9.6999999999999993</v>
          </cell>
          <cell r="G8">
            <v>9.4</v>
          </cell>
        </row>
        <row r="10">
          <cell r="C10">
            <v>157.09560000000002</v>
          </cell>
          <cell r="D10">
            <v>156.1</v>
          </cell>
          <cell r="E10">
            <v>153.80000000000001</v>
          </cell>
          <cell r="F10">
            <v>156.5</v>
          </cell>
          <cell r="G10">
            <v>139.9</v>
          </cell>
        </row>
        <row r="11">
          <cell r="C11">
            <v>2.9611000000000001</v>
          </cell>
          <cell r="D11">
            <v>3.1</v>
          </cell>
          <cell r="E11">
            <v>3.3</v>
          </cell>
          <cell r="F11">
            <v>3.4</v>
          </cell>
          <cell r="G11">
            <v>3.2</v>
          </cell>
        </row>
        <row r="13">
          <cell r="E13">
            <v>0.7</v>
          </cell>
          <cell r="F13">
            <v>1.4</v>
          </cell>
          <cell r="G13">
            <v>50.4</v>
          </cell>
        </row>
        <row r="14">
          <cell r="E14">
            <v>2E-3</v>
          </cell>
          <cell r="F14">
            <v>2.3E-3</v>
          </cell>
          <cell r="G14">
            <v>1</v>
          </cell>
        </row>
        <row r="16">
          <cell r="C16">
            <v>3.9339999999999997</v>
          </cell>
          <cell r="D16">
            <v>6</v>
          </cell>
          <cell r="E16">
            <v>4.2</v>
          </cell>
          <cell r="F16">
            <v>5.6</v>
          </cell>
          <cell r="G16">
            <v>3.351</v>
          </cell>
        </row>
        <row r="17">
          <cell r="C17">
            <v>-7.2</v>
          </cell>
          <cell r="D17">
            <v>-7.2</v>
          </cell>
          <cell r="E17">
            <v>-7.2</v>
          </cell>
          <cell r="F17">
            <v>-6.6</v>
          </cell>
          <cell r="G17">
            <v>-6.6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Variance"/>
      <sheetName val="0705 BACKUP"/>
    </sheetNames>
    <sheetDataSet>
      <sheetData sheetId="0" refreshError="1"/>
      <sheetData sheetId="1" refreshError="1"/>
      <sheetData sheetId="2" refreshError="1">
        <row r="14">
          <cell r="E14">
            <v>546996</v>
          </cell>
          <cell r="H14">
            <v>546996</v>
          </cell>
          <cell r="I14">
            <v>546996</v>
          </cell>
        </row>
        <row r="38">
          <cell r="E38">
            <v>665700</v>
          </cell>
          <cell r="H38">
            <v>665700</v>
          </cell>
          <cell r="I38">
            <v>665700</v>
          </cell>
        </row>
        <row r="40">
          <cell r="E40">
            <v>430860</v>
          </cell>
          <cell r="H40">
            <v>430848</v>
          </cell>
          <cell r="I40">
            <v>430860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w_99 Actuals"/>
      <sheetName val="summary"/>
      <sheetName val="Jim summary"/>
      <sheetName val="Summary-Presentation format"/>
      <sheetName val="variance"/>
      <sheetName val="DETAIL"/>
      <sheetName val="field"/>
      <sheetName val="cor&amp;gpg"/>
      <sheetName val="Ins Prem"/>
      <sheetName val="GPG Restated 2000"/>
    </sheetNames>
    <sheetDataSet>
      <sheetData sheetId="0" refreshError="1">
        <row r="6">
          <cell r="C6">
            <v>368.88</v>
          </cell>
          <cell r="D6">
            <v>327.77252000000004</v>
          </cell>
          <cell r="E6">
            <v>262.81544857142865</v>
          </cell>
          <cell r="F6">
            <v>0</v>
          </cell>
        </row>
        <row r="9">
          <cell r="C9">
            <v>2113.527</v>
          </cell>
          <cell r="D9">
            <v>2439.12567693662</v>
          </cell>
          <cell r="E9">
            <v>2108.5214299319996</v>
          </cell>
          <cell r="F9">
            <v>2150.2784500000002</v>
          </cell>
        </row>
        <row r="10">
          <cell r="C10">
            <v>-115.02072</v>
          </cell>
          <cell r="D10">
            <v>-107</v>
          </cell>
          <cell r="E10">
            <v>-107</v>
          </cell>
          <cell r="F10">
            <v>-81.779027499999998</v>
          </cell>
        </row>
        <row r="13">
          <cell r="C13">
            <v>29217.476999999999</v>
          </cell>
          <cell r="D13">
            <v>27178</v>
          </cell>
          <cell r="E13">
            <v>27518.903999999999</v>
          </cell>
          <cell r="F13">
            <v>27568.687999999998</v>
          </cell>
        </row>
        <row r="14">
          <cell r="C14">
            <v>388.66923000000003</v>
          </cell>
          <cell r="D14">
            <v>605</v>
          </cell>
          <cell r="E14">
            <v>605</v>
          </cell>
          <cell r="F14">
            <v>817.4</v>
          </cell>
        </row>
        <row r="19">
          <cell r="C19">
            <v>3189.2979999999998</v>
          </cell>
          <cell r="D19">
            <v>3406.4182999999998</v>
          </cell>
          <cell r="E19">
            <v>2818.3924200000001</v>
          </cell>
          <cell r="F19">
            <v>2800.2628</v>
          </cell>
        </row>
        <row r="22">
          <cell r="C22">
            <v>2657.8829999999998</v>
          </cell>
          <cell r="D22">
            <v>2844.596</v>
          </cell>
          <cell r="E22">
            <v>2938.7342499999995</v>
          </cell>
          <cell r="F22">
            <v>2880.0279999999998</v>
          </cell>
        </row>
        <row r="25">
          <cell r="C25">
            <v>2684.873</v>
          </cell>
          <cell r="D25">
            <v>3623</v>
          </cell>
          <cell r="E25">
            <v>2627</v>
          </cell>
          <cell r="F25">
            <v>2733</v>
          </cell>
        </row>
        <row r="26">
          <cell r="C26">
            <v>363.04903999999999</v>
          </cell>
          <cell r="D26">
            <v>141</v>
          </cell>
          <cell r="E26">
            <v>141</v>
          </cell>
          <cell r="F26">
            <v>223</v>
          </cell>
        </row>
        <row r="27">
          <cell r="C27">
            <v>563.60424</v>
          </cell>
          <cell r="D27">
            <v>665</v>
          </cell>
          <cell r="E27">
            <v>665</v>
          </cell>
          <cell r="F27">
            <v>667</v>
          </cell>
        </row>
        <row r="28">
          <cell r="C28">
            <v>253.03800000000001</v>
          </cell>
          <cell r="D28">
            <v>435</v>
          </cell>
          <cell r="E28">
            <v>435</v>
          </cell>
          <cell r="F28">
            <v>457</v>
          </cell>
        </row>
        <row r="30">
          <cell r="D30">
            <v>-354</v>
          </cell>
          <cell r="E30">
            <v>178</v>
          </cell>
        </row>
        <row r="32">
          <cell r="C32">
            <v>3820.3041100000005</v>
          </cell>
          <cell r="D32">
            <v>2028.2887599999999</v>
          </cell>
          <cell r="E32">
            <v>2341.5707200000002</v>
          </cell>
          <cell r="F32">
            <v>4507.21108</v>
          </cell>
        </row>
        <row r="36">
          <cell r="F36">
            <v>700</v>
          </cell>
        </row>
        <row r="41">
          <cell r="C41">
            <v>0</v>
          </cell>
          <cell r="D41">
            <v>-1000</v>
          </cell>
          <cell r="E41">
            <v>-2274.0259999999998</v>
          </cell>
          <cell r="F41">
            <v>-2000</v>
          </cell>
        </row>
        <row r="50">
          <cell r="C50">
            <v>440.05200000000002</v>
          </cell>
          <cell r="D50">
            <v>440.05200000000002</v>
          </cell>
          <cell r="E50">
            <v>440.05200000000002</v>
          </cell>
          <cell r="F50">
            <v>440.05200000000002</v>
          </cell>
        </row>
        <row r="51">
          <cell r="C51">
            <v>92.364760000000004</v>
          </cell>
          <cell r="D51">
            <v>59</v>
          </cell>
          <cell r="E51">
            <v>102.678</v>
          </cell>
          <cell r="F51">
            <v>59</v>
          </cell>
        </row>
        <row r="54">
          <cell r="C54">
            <v>2203.5005299999998</v>
          </cell>
          <cell r="D54">
            <v>2083.5</v>
          </cell>
          <cell r="E54">
            <v>2083.5</v>
          </cell>
          <cell r="F54">
            <v>2083.5</v>
          </cell>
        </row>
        <row r="55">
          <cell r="C55">
            <v>2027.152</v>
          </cell>
          <cell r="D55">
            <v>2179.2559999999999</v>
          </cell>
          <cell r="E55">
            <v>2179.2559999999999</v>
          </cell>
          <cell r="F55">
            <v>2179.2559999999999</v>
          </cell>
        </row>
        <row r="56">
          <cell r="C56">
            <v>0</v>
          </cell>
          <cell r="D56">
            <v>700</v>
          </cell>
          <cell r="E56">
            <v>700</v>
          </cell>
          <cell r="F56">
            <v>700</v>
          </cell>
        </row>
        <row r="57">
          <cell r="C57">
            <v>1404.0965000000001</v>
          </cell>
          <cell r="D57">
            <v>5409</v>
          </cell>
          <cell r="E57">
            <v>5409</v>
          </cell>
          <cell r="F57">
            <v>6734</v>
          </cell>
        </row>
        <row r="58">
          <cell r="C58">
            <v>1657.4794900000002</v>
          </cell>
          <cell r="D58">
            <v>1757.963</v>
          </cell>
          <cell r="E58">
            <v>1757.963</v>
          </cell>
          <cell r="F58">
            <v>1988.2165</v>
          </cell>
        </row>
        <row r="59">
          <cell r="C59">
            <v>1286.72288</v>
          </cell>
          <cell r="D59">
            <v>1195</v>
          </cell>
          <cell r="E59">
            <v>1195</v>
          </cell>
          <cell r="F59">
            <v>1176.0485000000001</v>
          </cell>
        </row>
        <row r="62">
          <cell r="C62">
            <v>1305.0318399999999</v>
          </cell>
          <cell r="D62">
            <v>487.41199999999998</v>
          </cell>
          <cell r="E62">
            <v>487.41199999999998</v>
          </cell>
          <cell r="F62">
            <v>517.43499999999995</v>
          </cell>
        </row>
        <row r="63">
          <cell r="C63">
            <v>731.59183000000007</v>
          </cell>
          <cell r="D63">
            <v>813.05499999999995</v>
          </cell>
          <cell r="E63">
            <v>813.05499999999995</v>
          </cell>
          <cell r="F63">
            <v>732.30799999999999</v>
          </cell>
        </row>
        <row r="64">
          <cell r="C64">
            <v>114.88141</v>
          </cell>
          <cell r="D64">
            <v>115</v>
          </cell>
          <cell r="E64">
            <v>115</v>
          </cell>
        </row>
        <row r="65">
          <cell r="C65">
            <v>0</v>
          </cell>
          <cell r="D65">
            <v>1247.424</v>
          </cell>
          <cell r="E65">
            <v>1247.424</v>
          </cell>
          <cell r="F65">
            <v>964.76199999999994</v>
          </cell>
        </row>
        <row r="66">
          <cell r="C66">
            <v>1624.2683099999999</v>
          </cell>
          <cell r="D66">
            <v>1353.991</v>
          </cell>
          <cell r="E66">
            <v>1353.991</v>
          </cell>
          <cell r="F66">
            <v>1446.4269999999999</v>
          </cell>
        </row>
        <row r="67">
          <cell r="C67">
            <v>1875.5400099999999</v>
          </cell>
          <cell r="D67">
            <v>1326.7070000000001</v>
          </cell>
          <cell r="E67">
            <v>1326.7070000000001</v>
          </cell>
          <cell r="F67">
            <v>1439.627</v>
          </cell>
        </row>
        <row r="68">
          <cell r="C68">
            <v>1332.8452100000002</v>
          </cell>
          <cell r="D68">
            <v>2248.819</v>
          </cell>
          <cell r="E68">
            <v>2248.819</v>
          </cell>
          <cell r="F68">
            <v>2659.6130000000003</v>
          </cell>
        </row>
        <row r="69">
          <cell r="C69">
            <v>195.17374000000001</v>
          </cell>
          <cell r="D69">
            <v>210</v>
          </cell>
          <cell r="E69">
            <v>223.81100000000001</v>
          </cell>
          <cell r="F69">
            <v>210</v>
          </cell>
        </row>
        <row r="72">
          <cell r="C72">
            <v>84</v>
          </cell>
          <cell r="D72">
            <v>-213</v>
          </cell>
          <cell r="E72">
            <v>112.35499999999999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9"/>
  <sheetViews>
    <sheetView showGridLines="0" zoomScaleNormal="100" workbookViewId="0">
      <pane xSplit="2" ySplit="3" topLeftCell="C133" activePane="bottomRight" state="frozen"/>
      <selection activeCell="G135" sqref="G135"/>
      <selection pane="topRight" activeCell="G135" sqref="G135"/>
      <selection pane="bottomLeft" activeCell="G135" sqref="G135"/>
      <selection pane="bottomRight" activeCell="A2" sqref="A2:H141"/>
    </sheetView>
  </sheetViews>
  <sheetFormatPr defaultRowHeight="12.75" x14ac:dyDescent="0.2"/>
  <cols>
    <col min="1" max="1" width="5.7109375" customWidth="1"/>
    <col min="2" max="2" width="27.140625" bestFit="1" customWidth="1"/>
  </cols>
  <sheetData>
    <row r="1" spans="1:8" x14ac:dyDescent="0.2">
      <c r="A1" s="6" t="s">
        <v>3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</row>
    <row r="5" spans="1:8" x14ac:dyDescent="0.2">
      <c r="A5" s="6" t="s">
        <v>48</v>
      </c>
      <c r="C5" s="3"/>
      <c r="D5" s="3"/>
      <c r="E5" s="3"/>
      <c r="F5" s="3"/>
      <c r="G5" s="3"/>
      <c r="H5" s="3"/>
    </row>
    <row r="6" spans="1:8" x14ac:dyDescent="0.2">
      <c r="B6" t="s">
        <v>4</v>
      </c>
      <c r="C6" s="3"/>
      <c r="D6" s="3"/>
      <c r="E6" s="3"/>
      <c r="F6" s="3"/>
      <c r="G6" s="3"/>
      <c r="H6" s="3"/>
    </row>
    <row r="7" spans="1:8" x14ac:dyDescent="0.2">
      <c r="B7" t="s">
        <v>41</v>
      </c>
      <c r="C7" s="3">
        <v>351.8</v>
      </c>
      <c r="D7" s="3">
        <v>367</v>
      </c>
      <c r="E7" s="3">
        <v>350.4</v>
      </c>
      <c r="F7" s="3">
        <v>351.2</v>
      </c>
      <c r="G7" s="3">
        <v>342</v>
      </c>
      <c r="H7" s="3">
        <v>327.3</v>
      </c>
    </row>
    <row r="8" spans="1:8" x14ac:dyDescent="0.2">
      <c r="B8" t="s">
        <v>42</v>
      </c>
      <c r="C8" s="3">
        <v>43.1</v>
      </c>
      <c r="D8" s="3">
        <v>41.1</v>
      </c>
      <c r="E8" s="3">
        <v>41.6</v>
      </c>
      <c r="F8" s="3">
        <v>43.8</v>
      </c>
      <c r="G8" s="3">
        <v>36.700000000000003</v>
      </c>
      <c r="H8" s="3">
        <v>31.7</v>
      </c>
    </row>
    <row r="9" spans="1:8" x14ac:dyDescent="0.2">
      <c r="B9" t="s">
        <v>30</v>
      </c>
      <c r="C9" s="3">
        <v>36.299999999999997</v>
      </c>
      <c r="D9" s="3">
        <v>36.1</v>
      </c>
      <c r="E9" s="3">
        <v>35</v>
      </c>
      <c r="F9" s="3">
        <v>38.799999999999997</v>
      </c>
      <c r="G9" s="3">
        <v>37</v>
      </c>
      <c r="H9" s="3">
        <v>35</v>
      </c>
    </row>
    <row r="10" spans="1:8" x14ac:dyDescent="0.2">
      <c r="B10" t="s">
        <v>5</v>
      </c>
      <c r="C10" s="3">
        <v>0</v>
      </c>
      <c r="D10" s="3">
        <v>0</v>
      </c>
      <c r="E10" s="3">
        <v>10</v>
      </c>
      <c r="F10" s="3">
        <v>1.1000000000000001</v>
      </c>
      <c r="G10" s="3">
        <v>12.7</v>
      </c>
      <c r="H10" s="3">
        <v>0</v>
      </c>
    </row>
    <row r="11" spans="1:8" x14ac:dyDescent="0.2">
      <c r="B11" t="s">
        <v>31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27.6</v>
      </c>
    </row>
    <row r="12" spans="1:8" x14ac:dyDescent="0.2">
      <c r="B12" t="s">
        <v>6</v>
      </c>
      <c r="C12" s="3">
        <v>0</v>
      </c>
      <c r="D12" s="3">
        <v>0</v>
      </c>
      <c r="E12" s="3">
        <v>0</v>
      </c>
      <c r="F12" s="3">
        <v>0.8</v>
      </c>
      <c r="G12" s="3">
        <v>0</v>
      </c>
      <c r="H12" s="3">
        <v>0</v>
      </c>
    </row>
    <row r="13" spans="1:8" x14ac:dyDescent="0.2">
      <c r="B13" t="s">
        <v>27</v>
      </c>
      <c r="C13" s="3">
        <v>0</v>
      </c>
      <c r="D13" s="3">
        <v>0</v>
      </c>
      <c r="E13" s="3">
        <v>5</v>
      </c>
      <c r="F13" s="3">
        <v>0</v>
      </c>
      <c r="G13" s="3">
        <v>53.4</v>
      </c>
      <c r="H13" s="3">
        <v>40</v>
      </c>
    </row>
    <row r="14" spans="1:8" x14ac:dyDescent="0.2">
      <c r="B14" t="s">
        <v>7</v>
      </c>
      <c r="C14" s="4">
        <v>1.2</v>
      </c>
      <c r="D14" s="4">
        <f>-0.7+0.7</f>
        <v>0</v>
      </c>
      <c r="E14" s="4">
        <v>1</v>
      </c>
      <c r="F14" s="4">
        <f>0.5-0.5</f>
        <v>0</v>
      </c>
      <c r="G14" s="4">
        <v>1</v>
      </c>
      <c r="H14" s="4">
        <v>0</v>
      </c>
    </row>
    <row r="15" spans="1:8" x14ac:dyDescent="0.2">
      <c r="B15" s="6" t="s">
        <v>25</v>
      </c>
      <c r="C15" s="3">
        <f t="shared" ref="C15:H15" si="0">SUM(C6:C14)</f>
        <v>432.40000000000003</v>
      </c>
      <c r="D15" s="3">
        <f t="shared" si="0"/>
        <v>444.20000000000005</v>
      </c>
      <c r="E15" s="3">
        <f t="shared" si="0"/>
        <v>443</v>
      </c>
      <c r="F15" s="3">
        <f t="shared" si="0"/>
        <v>435.70000000000005</v>
      </c>
      <c r="G15" s="3">
        <f t="shared" si="0"/>
        <v>482.79999999999995</v>
      </c>
      <c r="H15" s="3">
        <f t="shared" si="0"/>
        <v>461.6</v>
      </c>
    </row>
    <row r="16" spans="1:8" x14ac:dyDescent="0.2">
      <c r="A16" s="6" t="s">
        <v>8</v>
      </c>
      <c r="C16" s="3"/>
      <c r="D16" s="3"/>
      <c r="E16" s="3"/>
      <c r="F16" s="3"/>
      <c r="G16" s="3"/>
      <c r="H16" s="3"/>
    </row>
    <row r="17" spans="1:8" x14ac:dyDescent="0.2">
      <c r="B17" t="s">
        <v>9</v>
      </c>
      <c r="C17" s="3">
        <v>-15.9</v>
      </c>
      <c r="D17" s="3">
        <v>-13</v>
      </c>
      <c r="E17" s="3">
        <v>-12.9</v>
      </c>
      <c r="F17" s="3">
        <v>-11.6</v>
      </c>
      <c r="G17" s="3">
        <v>-9.8000000000000007</v>
      </c>
      <c r="H17" s="3">
        <v>-12.9</v>
      </c>
    </row>
    <row r="18" spans="1:8" x14ac:dyDescent="0.2">
      <c r="B18" t="s">
        <v>10</v>
      </c>
      <c r="C18" s="3">
        <v>-1.1000000000000001</v>
      </c>
      <c r="D18" s="3">
        <v>-0.6</v>
      </c>
      <c r="E18" s="3">
        <v>-0.7</v>
      </c>
      <c r="F18" s="3">
        <v>-0.7</v>
      </c>
      <c r="G18" s="3">
        <v>-0.7</v>
      </c>
      <c r="H18" s="3">
        <v>-0.7</v>
      </c>
    </row>
    <row r="19" spans="1:8" x14ac:dyDescent="0.2">
      <c r="B19" t="s">
        <v>11</v>
      </c>
      <c r="C19" s="3">
        <v>-0.2</v>
      </c>
      <c r="D19" s="3">
        <v>-1.9</v>
      </c>
      <c r="E19" s="3">
        <v>-5.8</v>
      </c>
      <c r="F19" s="3">
        <v>-5.8</v>
      </c>
      <c r="G19" s="3">
        <v>-5.9</v>
      </c>
      <c r="H19" s="3">
        <v>-5.8</v>
      </c>
    </row>
    <row r="20" spans="1:8" x14ac:dyDescent="0.2">
      <c r="B20" t="s">
        <v>12</v>
      </c>
      <c r="C20" s="3">
        <v>7.4</v>
      </c>
      <c r="D20" s="3">
        <v>6.4</v>
      </c>
      <c r="E20" s="3">
        <v>1.7</v>
      </c>
      <c r="F20" s="3">
        <v>1.7</v>
      </c>
      <c r="G20" s="3">
        <v>0.7</v>
      </c>
      <c r="H20" s="3">
        <v>1.7</v>
      </c>
    </row>
    <row r="21" spans="1:8" x14ac:dyDescent="0.2">
      <c r="B21" t="s">
        <v>13</v>
      </c>
      <c r="C21" s="3">
        <v>-1.5</v>
      </c>
      <c r="D21" s="3">
        <v>-2.2000000000000002</v>
      </c>
      <c r="E21" s="3">
        <v>-2.1</v>
      </c>
      <c r="F21" s="3">
        <v>-2.1</v>
      </c>
      <c r="G21" s="3">
        <v>-1.7</v>
      </c>
      <c r="H21" s="3">
        <v>-2.1</v>
      </c>
    </row>
    <row r="22" spans="1:8" x14ac:dyDescent="0.2">
      <c r="B22" t="s">
        <v>14</v>
      </c>
      <c r="C22" s="3">
        <v>0</v>
      </c>
      <c r="D22" s="3">
        <v>-1.5</v>
      </c>
      <c r="E22" s="3">
        <v>-3</v>
      </c>
      <c r="F22" s="3">
        <v>-10.199999999999999</v>
      </c>
      <c r="G22" s="3">
        <v>-14.3</v>
      </c>
      <c r="H22" s="3">
        <v>-3</v>
      </c>
    </row>
    <row r="23" spans="1:8" x14ac:dyDescent="0.2">
      <c r="B23" t="s">
        <v>15</v>
      </c>
      <c r="C23" s="3">
        <v>0</v>
      </c>
      <c r="D23" s="3">
        <v>-0.5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">
      <c r="B24" t="s">
        <v>16</v>
      </c>
      <c r="C24" s="3">
        <v>0</v>
      </c>
      <c r="D24" s="3">
        <v>-0.3</v>
      </c>
      <c r="E24" s="3">
        <v>0</v>
      </c>
      <c r="F24" s="3">
        <v>0</v>
      </c>
      <c r="G24" s="3">
        <v>-0.9</v>
      </c>
      <c r="H24" s="3">
        <v>0</v>
      </c>
    </row>
    <row r="25" spans="1:8" x14ac:dyDescent="0.2">
      <c r="B25" s="12" t="s">
        <v>108</v>
      </c>
      <c r="C25" s="3">
        <f>-11.9+2.5</f>
        <v>-9.4</v>
      </c>
      <c r="D25" s="3">
        <v>-12.4</v>
      </c>
      <c r="E25" s="3">
        <v>-13.4</v>
      </c>
      <c r="F25" s="3">
        <v>-12.2</v>
      </c>
      <c r="G25" s="3">
        <v>-12.7</v>
      </c>
      <c r="H25" s="3">
        <v>-13.6</v>
      </c>
    </row>
    <row r="26" spans="1:8" ht="15" x14ac:dyDescent="0.35">
      <c r="B26" s="12" t="s">
        <v>110</v>
      </c>
      <c r="C26" s="5">
        <v>0</v>
      </c>
      <c r="D26" s="5">
        <f>-0.3</f>
        <v>-0.3</v>
      </c>
      <c r="E26" s="5">
        <v>0</v>
      </c>
      <c r="F26" s="5">
        <v>0</v>
      </c>
      <c r="G26" s="5">
        <f>1.5</f>
        <v>1.5</v>
      </c>
      <c r="H26" s="5">
        <v>0</v>
      </c>
    </row>
    <row r="27" spans="1:8" ht="15" x14ac:dyDescent="0.35">
      <c r="B27" s="6" t="s">
        <v>19</v>
      </c>
      <c r="C27" s="5">
        <f t="shared" ref="C27:H27" si="1">SUM(C17:C26)</f>
        <v>-20.7</v>
      </c>
      <c r="D27" s="5">
        <f t="shared" si="1"/>
        <v>-26.3</v>
      </c>
      <c r="E27" s="5">
        <f t="shared" si="1"/>
        <v>-36.200000000000003</v>
      </c>
      <c r="F27" s="5">
        <f t="shared" si="1"/>
        <v>-40.9</v>
      </c>
      <c r="G27" s="5">
        <f t="shared" si="1"/>
        <v>-43.8</v>
      </c>
      <c r="H27" s="5">
        <f t="shared" si="1"/>
        <v>-36.4</v>
      </c>
    </row>
    <row r="28" spans="1:8" x14ac:dyDescent="0.2">
      <c r="A28" s="6" t="s">
        <v>18</v>
      </c>
      <c r="C28" s="3">
        <f t="shared" ref="C28:H28" si="2">+C15+C27</f>
        <v>411.70000000000005</v>
      </c>
      <c r="D28" s="3">
        <f t="shared" si="2"/>
        <v>417.90000000000003</v>
      </c>
      <c r="E28" s="3">
        <f t="shared" si="2"/>
        <v>406.8</v>
      </c>
      <c r="F28" s="3">
        <f t="shared" si="2"/>
        <v>394.80000000000007</v>
      </c>
      <c r="G28" s="3">
        <f t="shared" si="2"/>
        <v>438.99999999999994</v>
      </c>
      <c r="H28" s="3">
        <f t="shared" si="2"/>
        <v>425.20000000000005</v>
      </c>
    </row>
    <row r="29" spans="1:8" x14ac:dyDescent="0.2">
      <c r="A29" s="6" t="s">
        <v>20</v>
      </c>
      <c r="C29" s="3"/>
      <c r="D29" s="3"/>
      <c r="E29" s="3"/>
      <c r="F29" s="3"/>
      <c r="G29" s="3"/>
      <c r="H29" s="3"/>
    </row>
    <row r="30" spans="1:8" x14ac:dyDescent="0.2">
      <c r="B30" t="s">
        <v>21</v>
      </c>
      <c r="C30" s="3">
        <v>0</v>
      </c>
      <c r="D30" s="3">
        <v>22.6</v>
      </c>
      <c r="E30" s="3">
        <v>10</v>
      </c>
      <c r="F30" s="3">
        <v>42.2</v>
      </c>
      <c r="G30" s="3">
        <v>0</v>
      </c>
      <c r="H30" s="3">
        <v>0</v>
      </c>
    </row>
    <row r="31" spans="1:8" x14ac:dyDescent="0.2">
      <c r="B31" t="s">
        <v>22</v>
      </c>
      <c r="C31" s="3">
        <v>25.7</v>
      </c>
      <c r="D31" s="3">
        <v>0.7</v>
      </c>
      <c r="E31" s="3">
        <v>11.6</v>
      </c>
      <c r="F31" s="3">
        <v>1</v>
      </c>
      <c r="G31" s="3">
        <v>9.9</v>
      </c>
      <c r="H31" s="3">
        <v>10</v>
      </c>
    </row>
    <row r="32" spans="1:8" ht="15" x14ac:dyDescent="0.35">
      <c r="B32" t="s">
        <v>23</v>
      </c>
      <c r="C32" s="5">
        <v>0</v>
      </c>
      <c r="D32" s="5">
        <v>0</v>
      </c>
      <c r="E32" s="5">
        <v>3</v>
      </c>
      <c r="F32" s="5">
        <v>2</v>
      </c>
      <c r="G32" s="5">
        <v>0</v>
      </c>
      <c r="H32" s="5">
        <v>0</v>
      </c>
    </row>
    <row r="33" spans="1:8" ht="15" x14ac:dyDescent="0.35">
      <c r="B33" s="6" t="s">
        <v>24</v>
      </c>
      <c r="C33" s="5">
        <f t="shared" ref="C33:H33" si="3">SUM(C30:C32)</f>
        <v>25.7</v>
      </c>
      <c r="D33" s="5">
        <f t="shared" si="3"/>
        <v>23.3</v>
      </c>
      <c r="E33" s="5">
        <f t="shared" si="3"/>
        <v>24.6</v>
      </c>
      <c r="F33" s="5">
        <f t="shared" si="3"/>
        <v>45.2</v>
      </c>
      <c r="G33" s="5">
        <f t="shared" si="3"/>
        <v>9.9</v>
      </c>
      <c r="H33" s="5">
        <f t="shared" si="3"/>
        <v>10</v>
      </c>
    </row>
    <row r="34" spans="1:8" ht="15" x14ac:dyDescent="0.35">
      <c r="A34" s="6" t="s">
        <v>49</v>
      </c>
      <c r="C34" s="5">
        <f t="shared" ref="C34:H34" si="4">+C28+C33</f>
        <v>437.40000000000003</v>
      </c>
      <c r="D34" s="5">
        <f t="shared" si="4"/>
        <v>441.20000000000005</v>
      </c>
      <c r="E34" s="5">
        <f t="shared" si="4"/>
        <v>431.40000000000003</v>
      </c>
      <c r="F34" s="5">
        <f t="shared" si="4"/>
        <v>440.00000000000006</v>
      </c>
      <c r="G34" s="5">
        <f t="shared" si="4"/>
        <v>448.89999999999992</v>
      </c>
      <c r="H34" s="5">
        <f t="shared" si="4"/>
        <v>435.20000000000005</v>
      </c>
    </row>
    <row r="35" spans="1:8" x14ac:dyDescent="0.2">
      <c r="C35" s="3"/>
      <c r="D35" s="3"/>
      <c r="E35" s="3"/>
      <c r="F35" s="3"/>
      <c r="G35" s="3"/>
      <c r="H35" s="3"/>
    </row>
    <row r="36" spans="1:8" x14ac:dyDescent="0.2">
      <c r="A36" s="9" t="s">
        <v>43</v>
      </c>
      <c r="C36" s="3"/>
      <c r="D36" s="3"/>
      <c r="E36" s="3"/>
      <c r="F36" s="3"/>
      <c r="G36" s="3"/>
      <c r="H36" s="3"/>
    </row>
    <row r="37" spans="1:8" x14ac:dyDescent="0.2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A38" s="6" t="s">
        <v>8</v>
      </c>
      <c r="C38" s="3"/>
      <c r="D38" s="3"/>
      <c r="E38" s="3"/>
      <c r="F38" s="3"/>
      <c r="G38" s="3"/>
      <c r="H38" s="3"/>
    </row>
    <row r="39" spans="1:8" x14ac:dyDescent="0.2">
      <c r="B39" t="s">
        <v>38</v>
      </c>
      <c r="C39" s="3">
        <f>-5.2</f>
        <v>-5.2</v>
      </c>
      <c r="D39" s="3">
        <f>-5.4</f>
        <v>-5.4</v>
      </c>
      <c r="E39" s="3">
        <f>-5.2</f>
        <v>-5.2</v>
      </c>
      <c r="F39" s="3">
        <f>-5.1</f>
        <v>-5.0999999999999996</v>
      </c>
      <c r="G39" s="3">
        <f>-5</f>
        <v>-5</v>
      </c>
      <c r="H39" s="3">
        <v>0</v>
      </c>
    </row>
    <row r="40" spans="1:8" x14ac:dyDescent="0.2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35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35">
      <c r="B42" s="6" t="s">
        <v>19</v>
      </c>
      <c r="C42" s="5">
        <f t="shared" ref="C42:H42" si="5">SUM(C39:C41)</f>
        <v>-5.2</v>
      </c>
      <c r="D42" s="5">
        <f t="shared" si="5"/>
        <v>-5.4</v>
      </c>
      <c r="E42" s="5">
        <f t="shared" si="5"/>
        <v>-5.2</v>
      </c>
      <c r="F42" s="5">
        <f t="shared" si="5"/>
        <v>-5.0999999999999996</v>
      </c>
      <c r="G42" s="5">
        <f t="shared" si="5"/>
        <v>-5</v>
      </c>
      <c r="H42" s="5">
        <f t="shared" si="5"/>
        <v>0</v>
      </c>
    </row>
    <row r="43" spans="1:8" ht="15" x14ac:dyDescent="0.35">
      <c r="A43" s="6" t="s">
        <v>50</v>
      </c>
      <c r="C43" s="5">
        <f t="shared" ref="C43:H43" si="6">+C37+C42</f>
        <v>-5.2</v>
      </c>
      <c r="D43" s="5">
        <f t="shared" si="6"/>
        <v>-5.4</v>
      </c>
      <c r="E43" s="5">
        <f t="shared" si="6"/>
        <v>-5.2</v>
      </c>
      <c r="F43" s="5">
        <f t="shared" si="6"/>
        <v>-5.0999999999999996</v>
      </c>
      <c r="G43" s="5">
        <f t="shared" si="6"/>
        <v>-5</v>
      </c>
      <c r="H43" s="5">
        <f t="shared" si="6"/>
        <v>0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ht="15" x14ac:dyDescent="0.35">
      <c r="A45" s="6" t="s">
        <v>51</v>
      </c>
      <c r="C45" s="5">
        <f t="shared" ref="C45:H45" si="7">+C34+C43</f>
        <v>432.20000000000005</v>
      </c>
      <c r="D45" s="5">
        <f t="shared" si="7"/>
        <v>435.80000000000007</v>
      </c>
      <c r="E45" s="5">
        <f t="shared" si="7"/>
        <v>426.20000000000005</v>
      </c>
      <c r="F45" s="5">
        <f t="shared" si="7"/>
        <v>434.90000000000003</v>
      </c>
      <c r="G45" s="5">
        <f t="shared" si="7"/>
        <v>443.89999999999992</v>
      </c>
      <c r="H45" s="5">
        <f t="shared" si="7"/>
        <v>435.20000000000005</v>
      </c>
    </row>
    <row r="46" spans="1:8" ht="15" x14ac:dyDescent="0.35">
      <c r="A46" s="6"/>
      <c r="C46" s="5"/>
      <c r="D46" s="5"/>
      <c r="E46" s="5"/>
      <c r="F46" s="5"/>
      <c r="G46" s="5"/>
      <c r="H46" s="5"/>
    </row>
    <row r="47" spans="1:8" x14ac:dyDescent="0.2">
      <c r="A47" s="9" t="s">
        <v>37</v>
      </c>
      <c r="C47" s="3"/>
      <c r="D47" s="3"/>
      <c r="E47" s="3"/>
      <c r="F47" s="3"/>
      <c r="G47" s="3"/>
      <c r="H47" s="3"/>
    </row>
    <row r="48" spans="1:8" x14ac:dyDescent="0.2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">
      <c r="A49" s="6" t="s">
        <v>8</v>
      </c>
      <c r="C49" s="3"/>
      <c r="D49" s="3"/>
      <c r="E49" s="3"/>
      <c r="F49" s="3"/>
      <c r="G49" s="3"/>
      <c r="H49" s="3"/>
    </row>
    <row r="50" spans="1:8" x14ac:dyDescent="0.2">
      <c r="B50" t="s">
        <v>39</v>
      </c>
      <c r="C50" s="3">
        <f>-90.4+3.5</f>
        <v>-86.9</v>
      </c>
      <c r="D50" s="3">
        <f>-93.1+3.3</f>
        <v>-89.8</v>
      </c>
      <c r="E50" s="3">
        <f>-89.9+3.2</f>
        <v>-86.7</v>
      </c>
      <c r="F50" s="3">
        <f>-85.6+3.5</f>
        <v>-82.1</v>
      </c>
      <c r="G50" s="3">
        <f>-88.5+2.8</f>
        <v>-85.7</v>
      </c>
      <c r="H50" s="3">
        <v>0</v>
      </c>
    </row>
    <row r="51" spans="1:8" x14ac:dyDescent="0.2">
      <c r="B51" s="12" t="s">
        <v>117</v>
      </c>
      <c r="C51" s="3">
        <f>-3.4</f>
        <v>-3.4</v>
      </c>
      <c r="D51" s="3">
        <f>-4.2</f>
        <v>-4.2</v>
      </c>
      <c r="E51" s="3">
        <f>-4.6</f>
        <v>-4.5999999999999996</v>
      </c>
      <c r="F51" s="3">
        <f>-3</f>
        <v>-3</v>
      </c>
      <c r="G51" s="3">
        <f>-4.6</f>
        <v>-4.5999999999999996</v>
      </c>
      <c r="H51" s="3">
        <v>0</v>
      </c>
    </row>
    <row r="52" spans="1:8" x14ac:dyDescent="0.2">
      <c r="B52" t="s">
        <v>124</v>
      </c>
      <c r="C52" s="3">
        <f>-3.5</f>
        <v>-3.5</v>
      </c>
      <c r="D52" s="3">
        <f>-3.3</f>
        <v>-3.3</v>
      </c>
      <c r="E52" s="3">
        <f>-3.2</f>
        <v>-3.2</v>
      </c>
      <c r="F52" s="3">
        <f>-3.5</f>
        <v>-3.5</v>
      </c>
      <c r="G52" s="3">
        <f>-2.8</f>
        <v>-2.8</v>
      </c>
      <c r="H52" s="3">
        <v>0</v>
      </c>
    </row>
    <row r="53" spans="1:8" x14ac:dyDescent="0.2">
      <c r="B53" s="12" t="s">
        <v>115</v>
      </c>
      <c r="C53" s="3"/>
      <c r="D53" s="3"/>
      <c r="E53" s="3">
        <f>1.4+0.4</f>
        <v>1.7999999999999998</v>
      </c>
      <c r="F53" s="3"/>
      <c r="G53" s="3"/>
      <c r="H53" s="3"/>
    </row>
    <row r="54" spans="1:8" ht="15" x14ac:dyDescent="0.35">
      <c r="B54" s="12" t="s">
        <v>104</v>
      </c>
      <c r="C54" s="5">
        <v>0.2</v>
      </c>
      <c r="D54" s="5">
        <v>0.2</v>
      </c>
      <c r="E54" s="5">
        <v>0.4</v>
      </c>
      <c r="F54" s="5">
        <v>0.4</v>
      </c>
      <c r="G54" s="5">
        <f>-0.4</f>
        <v>-0.4</v>
      </c>
      <c r="H54" s="5">
        <v>0</v>
      </c>
    </row>
    <row r="55" spans="1:8" ht="15" x14ac:dyDescent="0.35">
      <c r="B55" s="6" t="s">
        <v>19</v>
      </c>
      <c r="C55" s="5">
        <f t="shared" ref="C55:H55" si="8">SUM(C50:C54)</f>
        <v>-93.600000000000009</v>
      </c>
      <c r="D55" s="5">
        <f t="shared" si="8"/>
        <v>-97.1</v>
      </c>
      <c r="E55" s="5">
        <f t="shared" si="8"/>
        <v>-92.3</v>
      </c>
      <c r="F55" s="5">
        <f t="shared" si="8"/>
        <v>-88.199999999999989</v>
      </c>
      <c r="G55" s="5">
        <f t="shared" si="8"/>
        <v>-93.5</v>
      </c>
      <c r="H55" s="5">
        <f t="shared" si="8"/>
        <v>0</v>
      </c>
    </row>
    <row r="56" spans="1:8" ht="15" x14ac:dyDescent="0.35">
      <c r="A56" s="6" t="s">
        <v>53</v>
      </c>
      <c r="C56" s="5">
        <f t="shared" ref="C56:H56" si="9">+C48+C55</f>
        <v>-93.600000000000009</v>
      </c>
      <c r="D56" s="5">
        <f t="shared" si="9"/>
        <v>-97.1</v>
      </c>
      <c r="E56" s="5">
        <f t="shared" si="9"/>
        <v>-92.3</v>
      </c>
      <c r="F56" s="5">
        <f t="shared" si="9"/>
        <v>-88.199999999999989</v>
      </c>
      <c r="G56" s="5">
        <f t="shared" si="9"/>
        <v>-93.5</v>
      </c>
      <c r="H56" s="5">
        <f t="shared" si="9"/>
        <v>0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40</v>
      </c>
      <c r="C59" s="3">
        <v>0</v>
      </c>
      <c r="D59" s="3">
        <v>0</v>
      </c>
      <c r="E59" s="3">
        <v>2</v>
      </c>
      <c r="F59" s="3">
        <v>14.7</v>
      </c>
      <c r="G59" s="3">
        <v>0</v>
      </c>
      <c r="H59" s="3">
        <v>0</v>
      </c>
    </row>
    <row r="60" spans="1:8" x14ac:dyDescent="0.2">
      <c r="A60" s="6" t="s">
        <v>8</v>
      </c>
      <c r="C60" s="3"/>
      <c r="D60" s="3"/>
      <c r="E60" s="3"/>
      <c r="F60" s="3"/>
      <c r="G60" s="3"/>
      <c r="H60" s="3"/>
    </row>
    <row r="61" spans="1:8" x14ac:dyDescent="0.2">
      <c r="B61" t="s">
        <v>59</v>
      </c>
      <c r="C61" s="3">
        <f>-1.5-4.338</f>
        <v>-5.8380000000000001</v>
      </c>
      <c r="D61" s="3">
        <f>-1.5-4.1</f>
        <v>-5.6</v>
      </c>
      <c r="E61" s="3">
        <f>-1.6-3.7</f>
        <v>-5.3000000000000007</v>
      </c>
      <c r="F61" s="3">
        <f>-1.5-1.5</f>
        <v>-3</v>
      </c>
      <c r="G61" s="3">
        <f>-1.5-1.6</f>
        <v>-3.1</v>
      </c>
      <c r="H61" s="3">
        <v>0</v>
      </c>
    </row>
    <row r="62" spans="1:8" x14ac:dyDescent="0.2"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">
      <c r="B64" t="s">
        <v>114</v>
      </c>
      <c r="C64" s="3"/>
      <c r="D64" s="3"/>
      <c r="E64" s="3">
        <v>2</v>
      </c>
      <c r="F64" s="3"/>
      <c r="G64" s="3"/>
      <c r="H64" s="3"/>
    </row>
    <row r="65" spans="1:8" x14ac:dyDescent="0.2">
      <c r="B65" t="s">
        <v>112</v>
      </c>
      <c r="C65" s="3">
        <v>0.3</v>
      </c>
      <c r="D65" s="3">
        <v>0.4</v>
      </c>
      <c r="E65" s="3">
        <v>0.4</v>
      </c>
      <c r="F65" s="3">
        <f>0</f>
        <v>0</v>
      </c>
      <c r="G65" s="3"/>
      <c r="H65" s="3"/>
    </row>
    <row r="66" spans="1:8" ht="15" x14ac:dyDescent="0.35">
      <c r="B66" s="12" t="s">
        <v>104</v>
      </c>
      <c r="C66" s="5">
        <f>-1.7+2.5</f>
        <v>0.8</v>
      </c>
      <c r="D66" s="5">
        <f>-4.4</f>
        <v>-4.4000000000000004</v>
      </c>
      <c r="E66" s="5">
        <f>-4.6</f>
        <v>-4.5999999999999996</v>
      </c>
      <c r="F66" s="5">
        <f>-5.5</f>
        <v>-5.5</v>
      </c>
      <c r="G66" s="5">
        <f>-4.8</f>
        <v>-4.8</v>
      </c>
      <c r="H66" s="5">
        <v>0</v>
      </c>
    </row>
    <row r="67" spans="1:8" ht="15" x14ac:dyDescent="0.35">
      <c r="B67" s="6" t="s">
        <v>19</v>
      </c>
      <c r="C67" s="5">
        <f t="shared" ref="C67:H67" si="10">SUM(C61:C66)</f>
        <v>-4.7380000000000004</v>
      </c>
      <c r="D67" s="5">
        <f t="shared" si="10"/>
        <v>-9.6</v>
      </c>
      <c r="E67" s="5">
        <f t="shared" si="10"/>
        <v>-7.5</v>
      </c>
      <c r="F67" s="5">
        <f t="shared" si="10"/>
        <v>-8.5</v>
      </c>
      <c r="G67" s="5">
        <f t="shared" si="10"/>
        <v>-7.9</v>
      </c>
      <c r="H67" s="5">
        <f t="shared" si="10"/>
        <v>0</v>
      </c>
    </row>
    <row r="68" spans="1:8" ht="15" x14ac:dyDescent="0.35">
      <c r="A68" s="6" t="s">
        <v>62</v>
      </c>
      <c r="C68" s="5">
        <f t="shared" ref="C68:H68" si="11">+C59+C67</f>
        <v>-4.7380000000000004</v>
      </c>
      <c r="D68" s="5">
        <f t="shared" si="11"/>
        <v>-9.6</v>
      </c>
      <c r="E68" s="5">
        <f t="shared" si="11"/>
        <v>-5.5</v>
      </c>
      <c r="F68" s="5">
        <f t="shared" si="11"/>
        <v>6.1999999999999993</v>
      </c>
      <c r="G68" s="5">
        <f t="shared" si="11"/>
        <v>-7.9</v>
      </c>
      <c r="H68" s="5">
        <f t="shared" si="11"/>
        <v>0</v>
      </c>
    </row>
    <row r="69" spans="1:8" x14ac:dyDescent="0.2">
      <c r="C69" s="3"/>
      <c r="D69" s="3"/>
      <c r="E69" s="3"/>
      <c r="F69" s="3"/>
      <c r="G69" s="3"/>
      <c r="H69" s="3"/>
    </row>
    <row r="70" spans="1:8" x14ac:dyDescent="0.2">
      <c r="A70" s="9" t="s">
        <v>54</v>
      </c>
      <c r="C70" s="3"/>
      <c r="D70" s="3"/>
      <c r="E70" s="3"/>
      <c r="F70" s="3"/>
      <c r="G70" s="3"/>
      <c r="H70" s="3"/>
    </row>
    <row r="71" spans="1:8" x14ac:dyDescent="0.2">
      <c r="A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">
      <c r="A72" s="6" t="s">
        <v>8</v>
      </c>
      <c r="C72" s="3"/>
      <c r="D72" s="3"/>
      <c r="E72" s="3"/>
      <c r="F72" s="3"/>
      <c r="G72" s="3"/>
      <c r="H72" s="3"/>
    </row>
    <row r="73" spans="1:8" x14ac:dyDescent="0.2">
      <c r="B73" t="s">
        <v>59</v>
      </c>
      <c r="C73" s="3">
        <f>-6.1</f>
        <v>-6.1</v>
      </c>
      <c r="D73" s="3">
        <f>-5.4</f>
        <v>-5.4</v>
      </c>
      <c r="E73" s="3">
        <f>-6.1</f>
        <v>-6.1</v>
      </c>
      <c r="F73" s="3">
        <f>-5.7-3.8</f>
        <v>-9.5</v>
      </c>
      <c r="G73" s="3">
        <f>-10.2-2.4</f>
        <v>-12.6</v>
      </c>
      <c r="H73" s="3">
        <v>0</v>
      </c>
    </row>
    <row r="74" spans="1:8" x14ac:dyDescent="0.2">
      <c r="B74" t="s">
        <v>58</v>
      </c>
      <c r="C74" s="3">
        <v>0</v>
      </c>
      <c r="D74" s="3">
        <v>0</v>
      </c>
      <c r="E74" s="3">
        <v>0</v>
      </c>
      <c r="F74" s="3">
        <v>0</v>
      </c>
      <c r="G74" s="3">
        <f>0</f>
        <v>0</v>
      </c>
      <c r="H74" s="3">
        <v>0</v>
      </c>
    </row>
    <row r="75" spans="1:8" x14ac:dyDescent="0.2">
      <c r="B75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 ht="15" x14ac:dyDescent="0.35">
      <c r="B76" t="s">
        <v>45</v>
      </c>
      <c r="C76" s="5">
        <v>0</v>
      </c>
      <c r="D76" s="5">
        <v>0</v>
      </c>
      <c r="E76" s="5">
        <f>-2-1.4</f>
        <v>-3.4</v>
      </c>
      <c r="F76" s="5">
        <v>0</v>
      </c>
      <c r="G76" s="5">
        <v>0</v>
      </c>
      <c r="H76" s="5">
        <v>0</v>
      </c>
    </row>
    <row r="77" spans="1:8" ht="15" x14ac:dyDescent="0.35">
      <c r="B77" s="6" t="s">
        <v>19</v>
      </c>
      <c r="C77" s="5">
        <f t="shared" ref="C77:H77" si="12">SUM(C73:C76)</f>
        <v>-6.1</v>
      </c>
      <c r="D77" s="5">
        <f t="shared" si="12"/>
        <v>-5.4</v>
      </c>
      <c r="E77" s="5">
        <f t="shared" si="12"/>
        <v>-9.5</v>
      </c>
      <c r="F77" s="5">
        <f t="shared" si="12"/>
        <v>-9.5</v>
      </c>
      <c r="G77" s="5">
        <f t="shared" si="12"/>
        <v>-12.6</v>
      </c>
      <c r="H77" s="5">
        <f t="shared" si="12"/>
        <v>0</v>
      </c>
    </row>
    <row r="78" spans="1:8" ht="15" x14ac:dyDescent="0.35">
      <c r="A78" s="6" t="s">
        <v>55</v>
      </c>
      <c r="C78" s="5">
        <f t="shared" ref="C78:H78" si="13">+C71+C77</f>
        <v>-6.1</v>
      </c>
      <c r="D78" s="5">
        <f t="shared" si="13"/>
        <v>-5.4</v>
      </c>
      <c r="E78" s="5">
        <f t="shared" si="13"/>
        <v>-9.5</v>
      </c>
      <c r="F78" s="5">
        <f t="shared" si="13"/>
        <v>-9.5</v>
      </c>
      <c r="G78" s="5">
        <f t="shared" si="13"/>
        <v>-12.6</v>
      </c>
      <c r="H78" s="5">
        <f t="shared" si="13"/>
        <v>0</v>
      </c>
    </row>
    <row r="79" spans="1:8" x14ac:dyDescent="0.2">
      <c r="C79" s="3"/>
      <c r="D79" s="3"/>
      <c r="E79" s="3"/>
      <c r="F79" s="3"/>
      <c r="G79" s="3"/>
      <c r="H79" s="3"/>
    </row>
    <row r="80" spans="1:8" x14ac:dyDescent="0.2">
      <c r="A80" s="9" t="s">
        <v>56</v>
      </c>
      <c r="C80" s="3"/>
      <c r="D80" s="3"/>
      <c r="E80" s="3"/>
      <c r="F80" s="3"/>
      <c r="G80" s="3"/>
      <c r="H80" s="3"/>
    </row>
    <row r="81" spans="1:8" x14ac:dyDescent="0.2">
      <c r="A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">
      <c r="A82" s="6" t="s">
        <v>8</v>
      </c>
      <c r="C82" s="3"/>
      <c r="D82" s="3"/>
      <c r="E82" s="3"/>
      <c r="F82" s="3"/>
      <c r="G82" s="3"/>
      <c r="H82" s="3"/>
    </row>
    <row r="83" spans="1:8" x14ac:dyDescent="0.2">
      <c r="B83" t="s">
        <v>59</v>
      </c>
      <c r="C83" s="3">
        <f>-2.3</f>
        <v>-2.2999999999999998</v>
      </c>
      <c r="D83" s="3">
        <f>-2.9</f>
        <v>-2.9</v>
      </c>
      <c r="E83" s="3">
        <f>-2</f>
        <v>-2</v>
      </c>
      <c r="F83" s="3">
        <f>-2.2</f>
        <v>-2.2000000000000002</v>
      </c>
      <c r="G83" s="3">
        <f>-1.4</f>
        <v>-1.4</v>
      </c>
      <c r="H83" s="3">
        <v>0</v>
      </c>
    </row>
    <row r="84" spans="1:8" x14ac:dyDescent="0.2">
      <c r="B84" t="s">
        <v>58</v>
      </c>
      <c r="C84" s="3">
        <f>-0.4</f>
        <v>-0.4</v>
      </c>
      <c r="D84" s="3">
        <f>-0.5</f>
        <v>-0.5</v>
      </c>
      <c r="E84" s="3">
        <f>-0.5</f>
        <v>-0.5</v>
      </c>
      <c r="F84" s="3">
        <f>-0.5</f>
        <v>-0.5</v>
      </c>
      <c r="G84" s="3">
        <f>-0.6</f>
        <v>-0.6</v>
      </c>
      <c r="H84" s="3">
        <v>0</v>
      </c>
    </row>
    <row r="85" spans="1:8" x14ac:dyDescent="0.2">
      <c r="B85" t="s">
        <v>44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ht="15" x14ac:dyDescent="0.35">
      <c r="B86" s="12" t="s">
        <v>111</v>
      </c>
      <c r="C86" s="5">
        <f>0.3</f>
        <v>0.3</v>
      </c>
      <c r="D86" s="5">
        <f>0.4</f>
        <v>0.4</v>
      </c>
      <c r="E86" s="5">
        <f>0.4</f>
        <v>0.4</v>
      </c>
      <c r="F86" s="5">
        <f>0.1</f>
        <v>0.1</v>
      </c>
      <c r="G86" s="5">
        <v>0</v>
      </c>
      <c r="H86" s="5">
        <v>0</v>
      </c>
    </row>
    <row r="87" spans="1:8" ht="15" x14ac:dyDescent="0.35">
      <c r="B87" s="6" t="s">
        <v>19</v>
      </c>
      <c r="C87" s="5">
        <f t="shared" ref="C87:H87" si="14">SUM(C83:C86)</f>
        <v>-2.4</v>
      </c>
      <c r="D87" s="5">
        <f t="shared" si="14"/>
        <v>-3</v>
      </c>
      <c r="E87" s="5">
        <f t="shared" si="14"/>
        <v>-2.1</v>
      </c>
      <c r="F87" s="5">
        <f t="shared" si="14"/>
        <v>-2.6</v>
      </c>
      <c r="G87" s="5">
        <f t="shared" si="14"/>
        <v>-2</v>
      </c>
      <c r="H87" s="5">
        <f t="shared" si="14"/>
        <v>0</v>
      </c>
    </row>
    <row r="88" spans="1:8" ht="15" x14ac:dyDescent="0.35">
      <c r="A88" s="6" t="s">
        <v>57</v>
      </c>
      <c r="C88" s="5">
        <f t="shared" ref="C88:H88" si="15">+C81+C87</f>
        <v>-2.4</v>
      </c>
      <c r="D88" s="5">
        <f t="shared" si="15"/>
        <v>-3</v>
      </c>
      <c r="E88" s="5">
        <f t="shared" si="15"/>
        <v>-2.1</v>
      </c>
      <c r="F88" s="5">
        <f t="shared" si="15"/>
        <v>-2.6</v>
      </c>
      <c r="G88" s="5">
        <f t="shared" si="15"/>
        <v>-2</v>
      </c>
      <c r="H88" s="5">
        <f t="shared" si="15"/>
        <v>0</v>
      </c>
    </row>
    <row r="89" spans="1:8" x14ac:dyDescent="0.2">
      <c r="C89" s="3"/>
      <c r="D89" s="3"/>
      <c r="E89" s="3"/>
      <c r="F89" s="3"/>
      <c r="G89" s="3"/>
      <c r="H89" s="3"/>
    </row>
    <row r="90" spans="1:8" x14ac:dyDescent="0.2">
      <c r="A90" s="9" t="s">
        <v>60</v>
      </c>
      <c r="C90" s="3"/>
      <c r="D90" s="3"/>
      <c r="E90" s="3"/>
      <c r="F90" s="3"/>
      <c r="G90" s="3"/>
      <c r="H90" s="3"/>
    </row>
    <row r="91" spans="1:8" x14ac:dyDescent="0.2">
      <c r="A91" s="6" t="s">
        <v>40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">
      <c r="A92" s="6" t="s">
        <v>8</v>
      </c>
      <c r="C92" s="3"/>
      <c r="D92" s="3"/>
      <c r="E92" s="3"/>
      <c r="F92" s="3"/>
      <c r="G92" s="3"/>
      <c r="H92" s="3"/>
    </row>
    <row r="93" spans="1:8" x14ac:dyDescent="0.2">
      <c r="B93" t="s">
        <v>59</v>
      </c>
      <c r="C93" s="3">
        <f>-1.5</f>
        <v>-1.5</v>
      </c>
      <c r="D93" s="3">
        <f>-1.5</f>
        <v>-1.5</v>
      </c>
      <c r="E93" s="3">
        <f>-2</f>
        <v>-2</v>
      </c>
      <c r="F93" s="3">
        <f>-1.1</f>
        <v>-1.1000000000000001</v>
      </c>
      <c r="G93" s="3">
        <f>-1.5</f>
        <v>-1.5</v>
      </c>
      <c r="H93" s="3">
        <v>0</v>
      </c>
    </row>
    <row r="94" spans="1:8" x14ac:dyDescent="0.2">
      <c r="B94" t="s">
        <v>58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">
      <c r="B95" t="s">
        <v>99</v>
      </c>
      <c r="C95" s="3">
        <f>-0.4</f>
        <v>-0.4</v>
      </c>
      <c r="D95" s="3">
        <f>-0.4</f>
        <v>-0.4</v>
      </c>
      <c r="E95" s="3">
        <f>-0.4</f>
        <v>-0.4</v>
      </c>
      <c r="F95" s="3">
        <f>-0.5</f>
        <v>-0.5</v>
      </c>
      <c r="G95" s="3">
        <f>0</f>
        <v>0</v>
      </c>
      <c r="H95" s="3">
        <v>0</v>
      </c>
    </row>
    <row r="96" spans="1:8" x14ac:dyDescent="0.2">
      <c r="B96" t="s">
        <v>112</v>
      </c>
      <c r="C96" s="3">
        <v>0.4</v>
      </c>
      <c r="D96" s="3">
        <v>0.5</v>
      </c>
      <c r="E96" s="3">
        <v>0.4</v>
      </c>
      <c r="F96" s="3">
        <v>0.1</v>
      </c>
      <c r="G96" s="3"/>
      <c r="H96" s="3"/>
    </row>
    <row r="97" spans="1:8" ht="15" x14ac:dyDescent="0.35">
      <c r="B97" s="12" t="s">
        <v>104</v>
      </c>
      <c r="C97" s="5">
        <v>0.3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</row>
    <row r="98" spans="1:8" ht="15" x14ac:dyDescent="0.35">
      <c r="B98" s="6" t="s">
        <v>19</v>
      </c>
      <c r="C98" s="5">
        <f t="shared" ref="C98:H98" si="16">SUM(C93:C97)</f>
        <v>-1.2</v>
      </c>
      <c r="D98" s="5">
        <f t="shared" si="16"/>
        <v>-1.4</v>
      </c>
      <c r="E98" s="5">
        <f t="shared" si="16"/>
        <v>-2</v>
      </c>
      <c r="F98" s="5">
        <f t="shared" si="16"/>
        <v>-1.5</v>
      </c>
      <c r="G98" s="5">
        <f t="shared" si="16"/>
        <v>-1.5</v>
      </c>
      <c r="H98" s="5">
        <f t="shared" si="16"/>
        <v>0</v>
      </c>
    </row>
    <row r="99" spans="1:8" ht="15" x14ac:dyDescent="0.35">
      <c r="A99" s="6" t="s">
        <v>61</v>
      </c>
      <c r="C99" s="5">
        <f t="shared" ref="C99:H99" si="17">+C91+C98</f>
        <v>-1.2</v>
      </c>
      <c r="D99" s="5">
        <f t="shared" si="17"/>
        <v>-1.4</v>
      </c>
      <c r="E99" s="5">
        <f t="shared" si="17"/>
        <v>-2</v>
      </c>
      <c r="F99" s="5">
        <f t="shared" si="17"/>
        <v>-1.5</v>
      </c>
      <c r="G99" s="5">
        <f t="shared" si="17"/>
        <v>-1.5</v>
      </c>
      <c r="H99" s="5">
        <f t="shared" si="17"/>
        <v>0</v>
      </c>
    </row>
    <row r="100" spans="1:8" x14ac:dyDescent="0.2">
      <c r="C100" s="3"/>
      <c r="D100" s="3"/>
      <c r="E100" s="3"/>
      <c r="F100" s="3"/>
      <c r="G100" s="3"/>
      <c r="H100" s="3"/>
    </row>
    <row r="101" spans="1:8" x14ac:dyDescent="0.2">
      <c r="A101" s="9" t="s">
        <v>63</v>
      </c>
      <c r="C101" s="3"/>
      <c r="D101" s="3"/>
      <c r="E101" s="3"/>
      <c r="F101" s="3"/>
      <c r="G101" s="3"/>
      <c r="H101" s="3"/>
    </row>
    <row r="102" spans="1:8" x14ac:dyDescent="0.2">
      <c r="A102" s="6" t="s">
        <v>40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">
      <c r="A103" s="6" t="s">
        <v>8</v>
      </c>
      <c r="C103" s="3"/>
      <c r="D103" s="3"/>
      <c r="E103" s="3"/>
      <c r="F103" s="3"/>
      <c r="G103" s="3"/>
      <c r="H103" s="3"/>
    </row>
    <row r="104" spans="1:8" x14ac:dyDescent="0.2">
      <c r="B104" t="s">
        <v>59</v>
      </c>
      <c r="C104" s="3">
        <f>-1.2</f>
        <v>-1.2</v>
      </c>
      <c r="D104" s="3">
        <f>-1</f>
        <v>-1</v>
      </c>
      <c r="E104" s="3">
        <f>-0.6</f>
        <v>-0.6</v>
      </c>
      <c r="F104" s="3">
        <f>-1.7</f>
        <v>-1.7</v>
      </c>
      <c r="G104" s="3">
        <f>-1.2</f>
        <v>-1.2</v>
      </c>
      <c r="H104" s="3">
        <v>0</v>
      </c>
    </row>
    <row r="105" spans="1:8" x14ac:dyDescent="0.2">
      <c r="B105" t="s">
        <v>100</v>
      </c>
      <c r="C105" s="3">
        <f>-0.3</f>
        <v>-0.3</v>
      </c>
      <c r="D105" s="3">
        <f>-0.2</f>
        <v>-0.2</v>
      </c>
      <c r="E105" s="3">
        <f>-0.1</f>
        <v>-0.1</v>
      </c>
      <c r="F105" s="3">
        <f>-0.2</f>
        <v>-0.2</v>
      </c>
      <c r="G105" s="3">
        <f>-0.1</f>
        <v>-0.1</v>
      </c>
      <c r="H105" s="3">
        <v>0</v>
      </c>
    </row>
    <row r="106" spans="1:8" x14ac:dyDescent="0.2">
      <c r="B106" s="12" t="s">
        <v>113</v>
      </c>
      <c r="C106" s="3">
        <f>-0.4-0.3-0.3-0.4</f>
        <v>-1.4</v>
      </c>
      <c r="D106" s="3">
        <f>-1.3-0.4-0.4-0.5</f>
        <v>-2.6</v>
      </c>
      <c r="E106" s="3">
        <f>-0.9-0.4-0.4-0.4</f>
        <v>-2.1</v>
      </c>
      <c r="F106" s="3">
        <f>-2.6-0.1</f>
        <v>-2.7</v>
      </c>
      <c r="G106" s="3">
        <f>-2.1</f>
        <v>-2.1</v>
      </c>
      <c r="H106" s="3">
        <v>0</v>
      </c>
    </row>
    <row r="107" spans="1:8" x14ac:dyDescent="0.2">
      <c r="B107" t="s">
        <v>101</v>
      </c>
      <c r="C107" s="3">
        <f>0</f>
        <v>0</v>
      </c>
      <c r="D107" s="3">
        <f>0</f>
        <v>0</v>
      </c>
      <c r="E107" s="3">
        <f>0</f>
        <v>0</v>
      </c>
      <c r="F107" s="3">
        <f>0</f>
        <v>0</v>
      </c>
      <c r="G107" s="3">
        <f>-2.9</f>
        <v>-2.9</v>
      </c>
      <c r="H107" s="3">
        <v>0</v>
      </c>
    </row>
    <row r="108" spans="1:8" x14ac:dyDescent="0.2">
      <c r="B108" t="s">
        <v>116</v>
      </c>
      <c r="C108" s="3">
        <f>0</f>
        <v>0</v>
      </c>
      <c r="D108" s="3">
        <f>0</f>
        <v>0</v>
      </c>
      <c r="E108" s="3">
        <f>-0.4</f>
        <v>-0.4</v>
      </c>
      <c r="F108" s="3">
        <f>0</f>
        <v>0</v>
      </c>
      <c r="G108" s="3">
        <f>0</f>
        <v>0</v>
      </c>
      <c r="H108" s="3"/>
    </row>
    <row r="109" spans="1:8" ht="15" x14ac:dyDescent="0.35">
      <c r="B109" s="12" t="s">
        <v>109</v>
      </c>
      <c r="C109" s="5">
        <f>-4+4-0.3</f>
        <v>-0.3</v>
      </c>
      <c r="D109" s="5">
        <f>-0.8+0.8-0.3</f>
        <v>-0.3</v>
      </c>
      <c r="E109" s="5">
        <f>-0.3</f>
        <v>-0.3</v>
      </c>
      <c r="F109" s="5">
        <f>-0.2</f>
        <v>-0.2</v>
      </c>
      <c r="G109" s="5">
        <f>-0.1</f>
        <v>-0.1</v>
      </c>
      <c r="H109" s="5">
        <v>0</v>
      </c>
    </row>
    <row r="110" spans="1:8" ht="15" x14ac:dyDescent="0.35">
      <c r="B110" s="6" t="s">
        <v>19</v>
      </c>
      <c r="C110" s="5">
        <f t="shared" ref="C110:H110" si="18">SUM(C104:C109)</f>
        <v>-3.1999999999999997</v>
      </c>
      <c r="D110" s="5">
        <f t="shared" si="18"/>
        <v>-4.0999999999999996</v>
      </c>
      <c r="E110" s="5">
        <f t="shared" si="18"/>
        <v>-3.4999999999999996</v>
      </c>
      <c r="F110" s="5">
        <f t="shared" si="18"/>
        <v>-4.8</v>
      </c>
      <c r="G110" s="5">
        <f t="shared" si="18"/>
        <v>-6.4</v>
      </c>
      <c r="H110" s="5">
        <f t="shared" si="18"/>
        <v>0</v>
      </c>
    </row>
    <row r="111" spans="1:8" ht="15" x14ac:dyDescent="0.35">
      <c r="A111" s="6" t="s">
        <v>64</v>
      </c>
      <c r="C111" s="5">
        <f t="shared" ref="C111:H111" si="19">+C102+C110</f>
        <v>-3.1999999999999997</v>
      </c>
      <c r="D111" s="5">
        <f t="shared" si="19"/>
        <v>-4.0999999999999996</v>
      </c>
      <c r="E111" s="5">
        <f t="shared" si="19"/>
        <v>-3.4999999999999996</v>
      </c>
      <c r="F111" s="5">
        <f t="shared" si="19"/>
        <v>-4.8</v>
      </c>
      <c r="G111" s="5">
        <f t="shared" si="19"/>
        <v>-6.4</v>
      </c>
      <c r="H111" s="5">
        <f t="shared" si="19"/>
        <v>0</v>
      </c>
    </row>
    <row r="112" spans="1:8" x14ac:dyDescent="0.2">
      <c r="C112" s="3"/>
      <c r="D112" s="3"/>
      <c r="E112" s="3"/>
      <c r="F112" s="3"/>
      <c r="G112" s="3"/>
      <c r="H112" s="3"/>
    </row>
    <row r="113" spans="1:8" ht="15" x14ac:dyDescent="0.35">
      <c r="A113" s="6" t="s">
        <v>65</v>
      </c>
      <c r="C113" s="5">
        <f t="shared" ref="C113:H113" si="20">+C45+C56+C68+C78+C88+C99+C111</f>
        <v>320.96200000000005</v>
      </c>
      <c r="D113" s="5">
        <f t="shared" si="20"/>
        <v>315.20000000000005</v>
      </c>
      <c r="E113" s="5">
        <f t="shared" si="20"/>
        <v>311.3</v>
      </c>
      <c r="F113" s="5">
        <f t="shared" si="20"/>
        <v>334.5</v>
      </c>
      <c r="G113" s="5">
        <f t="shared" si="20"/>
        <v>319.99999999999994</v>
      </c>
      <c r="H113" s="5">
        <f t="shared" si="20"/>
        <v>435.20000000000005</v>
      </c>
    </row>
    <row r="114" spans="1:8" x14ac:dyDescent="0.2">
      <c r="C114" s="3"/>
      <c r="D114" s="3"/>
      <c r="E114" s="3"/>
      <c r="F114" s="3"/>
      <c r="G114" s="3"/>
      <c r="H114" s="3"/>
    </row>
    <row r="115" spans="1:8" x14ac:dyDescent="0.2">
      <c r="A115" s="6" t="s">
        <v>66</v>
      </c>
      <c r="C115" s="3"/>
      <c r="D115" s="3"/>
      <c r="E115" s="3"/>
      <c r="F115" s="3"/>
      <c r="G115" s="3"/>
      <c r="H115" s="3"/>
    </row>
    <row r="116" spans="1:8" x14ac:dyDescent="0.2">
      <c r="B116" t="s">
        <v>67</v>
      </c>
      <c r="C116" s="3"/>
      <c r="D116" s="3"/>
      <c r="E116" s="3"/>
      <c r="F116" s="3"/>
      <c r="G116" s="3"/>
      <c r="H116" s="3"/>
    </row>
    <row r="117" spans="1:8" x14ac:dyDescent="0.2">
      <c r="B117" t="s">
        <v>68</v>
      </c>
      <c r="C117" s="3">
        <f>-7.6</f>
        <v>-7.6</v>
      </c>
      <c r="D117" s="3">
        <f>-6.4</f>
        <v>-6.4</v>
      </c>
      <c r="E117" s="3">
        <f>-6.4</f>
        <v>-6.4</v>
      </c>
      <c r="F117" s="3">
        <f>-6.4</f>
        <v>-6.4</v>
      </c>
      <c r="G117" s="3">
        <f>-6.4</f>
        <v>-6.4</v>
      </c>
      <c r="H117" s="3">
        <v>0</v>
      </c>
    </row>
    <row r="118" spans="1:8" x14ac:dyDescent="0.2">
      <c r="B118" t="s">
        <v>69</v>
      </c>
      <c r="C118" s="11">
        <f>(0.1+0.4+3.8+6+1.2+1.5)*-1</f>
        <v>-13</v>
      </c>
      <c r="D118" s="11">
        <f>(5.3+0.4+5.4+0.1+1.7+0.5+0.8)*-1</f>
        <v>-14.200000000000001</v>
      </c>
      <c r="E118" s="11">
        <f>(5.8+0.4+7.4+0.1+1.5+0.3+0.1)*-1</f>
        <v>-15.600000000000001</v>
      </c>
      <c r="F118" s="11">
        <f>(0.2+0.4+15.6+0.1+1.2-1.1)*-1</f>
        <v>-16.399999999999999</v>
      </c>
      <c r="G118" s="11">
        <f>(0.3+0.4+14.3+0.1+1.5+0.3)*-1</f>
        <v>-16.900000000000002</v>
      </c>
      <c r="H118" s="11">
        <v>0</v>
      </c>
    </row>
    <row r="119" spans="1:8" ht="15" x14ac:dyDescent="0.35">
      <c r="B119" t="s">
        <v>102</v>
      </c>
      <c r="C119" s="11">
        <f>-2.5</f>
        <v>-2.5</v>
      </c>
      <c r="D119" s="11">
        <f>-1.9</f>
        <v>-1.9</v>
      </c>
      <c r="E119" s="11">
        <f>-1.9</f>
        <v>-1.9</v>
      </c>
      <c r="F119" s="11">
        <f>-1.5</f>
        <v>-1.5</v>
      </c>
      <c r="G119" s="11">
        <f>-1.9</f>
        <v>-1.9</v>
      </c>
      <c r="H119" s="5"/>
    </row>
    <row r="120" spans="1:8" ht="15" x14ac:dyDescent="0.35">
      <c r="B120" t="s">
        <v>103</v>
      </c>
      <c r="C120" s="11">
        <f>-3.2+1.1</f>
        <v>-2.1</v>
      </c>
      <c r="D120" s="11">
        <f>-2.4</f>
        <v>-2.4</v>
      </c>
      <c r="E120" s="11">
        <f>-2.3</f>
        <v>-2.2999999999999998</v>
      </c>
      <c r="F120" s="11">
        <f>-2.2</f>
        <v>-2.2000000000000002</v>
      </c>
      <c r="G120" s="11">
        <f>-2.3</f>
        <v>-2.2999999999999998</v>
      </c>
      <c r="H120" s="5"/>
    </row>
    <row r="121" spans="1:8" ht="15" x14ac:dyDescent="0.35">
      <c r="B121" t="s">
        <v>100</v>
      </c>
      <c r="C121" s="11">
        <f>-1.1</f>
        <v>-1.1000000000000001</v>
      </c>
      <c r="D121" s="11">
        <f>-1.5</f>
        <v>-1.5</v>
      </c>
      <c r="E121" s="11">
        <f>-1.7</f>
        <v>-1.7</v>
      </c>
      <c r="F121" s="11">
        <f>-1.7</f>
        <v>-1.7</v>
      </c>
      <c r="G121" s="11">
        <f>-1.7</f>
        <v>-1.7</v>
      </c>
      <c r="H121" s="5"/>
    </row>
    <row r="122" spans="1:8" ht="15" x14ac:dyDescent="0.35">
      <c r="B122" t="s">
        <v>105</v>
      </c>
      <c r="C122" s="11">
        <f>8+1.7</f>
        <v>9.6999999999999993</v>
      </c>
      <c r="D122" s="11"/>
      <c r="E122" s="5"/>
      <c r="F122" s="11"/>
      <c r="G122" s="11"/>
      <c r="H122" s="5"/>
    </row>
    <row r="123" spans="1:8" x14ac:dyDescent="0.2">
      <c r="B123" t="s">
        <v>80</v>
      </c>
      <c r="C123" s="3">
        <f>SUM(C117:C122)</f>
        <v>-16.600000000000005</v>
      </c>
      <c r="D123" s="3">
        <f>SUM(D117:D122)</f>
        <v>-26.4</v>
      </c>
      <c r="E123" s="3">
        <f>SUM(E117:E122)</f>
        <v>-27.9</v>
      </c>
      <c r="F123" s="3">
        <f>SUM(F117:F122)</f>
        <v>-28.199999999999996</v>
      </c>
      <c r="G123" s="3">
        <f>SUM(G117:G122)</f>
        <v>-29.200000000000003</v>
      </c>
      <c r="H123" s="3">
        <f>SUM(H117:H118)</f>
        <v>0</v>
      </c>
    </row>
    <row r="124" spans="1:8" x14ac:dyDescent="0.2">
      <c r="B124" t="s">
        <v>75</v>
      </c>
      <c r="C124" s="3">
        <v>-48.9</v>
      </c>
      <c r="D124" s="3">
        <v>-47.2</v>
      </c>
      <c r="E124" s="3">
        <v>-45.4</v>
      </c>
      <c r="F124" s="3">
        <v>-47.8</v>
      </c>
      <c r="G124" s="3">
        <v>-49.6</v>
      </c>
      <c r="H124" s="3">
        <v>0</v>
      </c>
    </row>
    <row r="125" spans="1:8" x14ac:dyDescent="0.2">
      <c r="B125" t="s">
        <v>106</v>
      </c>
      <c r="C125" s="3">
        <f>-2.5</f>
        <v>-2.5</v>
      </c>
      <c r="D125" s="3">
        <f>-2.5</f>
        <v>-2.5</v>
      </c>
      <c r="E125" s="3">
        <f>-2.5</f>
        <v>-2.5</v>
      </c>
      <c r="F125" s="3">
        <f>-2.3</f>
        <v>-2.2999999999999998</v>
      </c>
      <c r="G125" s="3">
        <f>-2.6</f>
        <v>-2.6</v>
      </c>
      <c r="H125" s="3"/>
    </row>
    <row r="126" spans="1:8" x14ac:dyDescent="0.2">
      <c r="B126" t="s">
        <v>107</v>
      </c>
      <c r="C126" s="3"/>
      <c r="D126" s="3"/>
      <c r="E126" s="3">
        <v>2</v>
      </c>
      <c r="F126" s="3"/>
      <c r="G126" s="3"/>
      <c r="H126" s="3"/>
    </row>
    <row r="127" spans="1:8" x14ac:dyDescent="0.2">
      <c r="B127" t="s">
        <v>76</v>
      </c>
      <c r="C127" s="3"/>
      <c r="D127" s="3"/>
      <c r="E127" s="3"/>
      <c r="F127" s="3"/>
      <c r="G127" s="3"/>
      <c r="H127" s="3"/>
    </row>
    <row r="128" spans="1:8" x14ac:dyDescent="0.2">
      <c r="B128" t="s">
        <v>77</v>
      </c>
      <c r="C128" s="3">
        <v>-27.3</v>
      </c>
      <c r="D128" s="3">
        <v>-27.9</v>
      </c>
      <c r="E128" s="3">
        <v>-26.9</v>
      </c>
      <c r="F128" s="3">
        <v>-27.4</v>
      </c>
      <c r="G128" s="3">
        <v>-28.3</v>
      </c>
      <c r="H128" s="3">
        <v>0</v>
      </c>
    </row>
    <row r="129" spans="1:8" ht="15" x14ac:dyDescent="0.35">
      <c r="B129" t="s">
        <v>78</v>
      </c>
      <c r="C129" s="5">
        <v>-4.5999999999999996</v>
      </c>
      <c r="D129" s="5">
        <v>-5.3</v>
      </c>
      <c r="E129" s="5">
        <v>-6.5</v>
      </c>
      <c r="F129" s="5">
        <v>-5.8</v>
      </c>
      <c r="G129" s="5">
        <v>-6.2</v>
      </c>
      <c r="H129" s="5">
        <v>0</v>
      </c>
    </row>
    <row r="130" spans="1:8" ht="15" x14ac:dyDescent="0.35">
      <c r="B130" t="s">
        <v>79</v>
      </c>
      <c r="C130" s="5">
        <f t="shared" ref="C130:H130" si="21">SUM(C128:C129)</f>
        <v>-31.9</v>
      </c>
      <c r="D130" s="5">
        <f t="shared" si="21"/>
        <v>-33.199999999999996</v>
      </c>
      <c r="E130" s="5">
        <f t="shared" si="21"/>
        <v>-33.4</v>
      </c>
      <c r="F130" s="5">
        <f t="shared" si="21"/>
        <v>-33.199999999999996</v>
      </c>
      <c r="G130" s="5">
        <f t="shared" si="21"/>
        <v>-34.5</v>
      </c>
      <c r="H130" s="5">
        <f t="shared" si="21"/>
        <v>0</v>
      </c>
    </row>
    <row r="131" spans="1:8" ht="15" x14ac:dyDescent="0.35">
      <c r="B131" s="6" t="s">
        <v>88</v>
      </c>
      <c r="C131" s="5">
        <f t="shared" ref="C131:H131" si="22">+C123+C124+C130</f>
        <v>-97.4</v>
      </c>
      <c r="D131" s="5">
        <f t="shared" si="22"/>
        <v>-106.79999999999998</v>
      </c>
      <c r="E131" s="5">
        <f t="shared" si="22"/>
        <v>-106.69999999999999</v>
      </c>
      <c r="F131" s="5">
        <f t="shared" si="22"/>
        <v>-109.19999999999999</v>
      </c>
      <c r="G131" s="5">
        <f t="shared" si="22"/>
        <v>-113.30000000000001</v>
      </c>
      <c r="H131" s="5">
        <f t="shared" si="22"/>
        <v>0</v>
      </c>
    </row>
    <row r="132" spans="1:8" x14ac:dyDescent="0.2">
      <c r="B132" s="6"/>
      <c r="C132" s="3"/>
      <c r="D132" s="3"/>
      <c r="E132" s="3"/>
      <c r="F132" s="3"/>
      <c r="G132" s="3"/>
      <c r="H132" s="3"/>
    </row>
    <row r="133" spans="1:8" x14ac:dyDescent="0.2">
      <c r="A133" s="6" t="s">
        <v>81</v>
      </c>
      <c r="C133" s="3"/>
      <c r="D133" s="3"/>
      <c r="E133" s="3"/>
      <c r="F133" s="3"/>
      <c r="G133" s="3"/>
      <c r="H133" s="3"/>
    </row>
    <row r="134" spans="1:8" x14ac:dyDescent="0.2">
      <c r="B134" t="s">
        <v>82</v>
      </c>
      <c r="C134" s="3">
        <v>4.8</v>
      </c>
      <c r="D134" s="3">
        <v>1.9</v>
      </c>
      <c r="E134" s="3">
        <v>4.8</v>
      </c>
      <c r="F134" s="3">
        <v>3.7</v>
      </c>
      <c r="G134" s="3">
        <v>3.7</v>
      </c>
      <c r="H134" s="3">
        <v>0</v>
      </c>
    </row>
    <row r="135" spans="1:8" x14ac:dyDescent="0.2">
      <c r="B135" t="s">
        <v>83</v>
      </c>
      <c r="C135" s="3">
        <v>0.4</v>
      </c>
      <c r="D135" s="3">
        <v>0.3</v>
      </c>
      <c r="E135" s="3">
        <v>0.3</v>
      </c>
      <c r="F135" s="3">
        <v>0</v>
      </c>
      <c r="G135" s="3">
        <v>0</v>
      </c>
      <c r="H135" s="3">
        <v>0</v>
      </c>
    </row>
    <row r="136" spans="1:8" x14ac:dyDescent="0.2">
      <c r="B136" t="s">
        <v>84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">
      <c r="B137" t="s">
        <v>85</v>
      </c>
      <c r="C137" s="3">
        <v>0</v>
      </c>
      <c r="D137" s="3">
        <v>14.3</v>
      </c>
      <c r="E137" s="3">
        <v>3.1</v>
      </c>
      <c r="F137" s="3">
        <v>0</v>
      </c>
      <c r="G137" s="3">
        <v>0</v>
      </c>
      <c r="H137" s="3">
        <v>0</v>
      </c>
    </row>
    <row r="138" spans="1:8" ht="15" x14ac:dyDescent="0.35">
      <c r="B138" t="s">
        <v>7</v>
      </c>
      <c r="C138" s="5">
        <v>0.3</v>
      </c>
      <c r="D138" s="5">
        <f>2.2+0.5+1.5+0.5</f>
        <v>4.7</v>
      </c>
      <c r="E138" s="5">
        <f>2.3-0.1</f>
        <v>2.1999999999999997</v>
      </c>
      <c r="F138" s="5">
        <v>-0.5</v>
      </c>
      <c r="G138" s="5">
        <v>-0.4</v>
      </c>
      <c r="H138" s="5">
        <v>0</v>
      </c>
    </row>
    <row r="139" spans="1:8" ht="15" x14ac:dyDescent="0.35">
      <c r="B139" t="s">
        <v>86</v>
      </c>
      <c r="C139" s="5">
        <f t="shared" ref="C139:H139" si="23">SUM(C134:C138)</f>
        <v>5.5</v>
      </c>
      <c r="D139" s="5">
        <f t="shared" si="23"/>
        <v>21.2</v>
      </c>
      <c r="E139" s="5">
        <f t="shared" si="23"/>
        <v>10.399999999999999</v>
      </c>
      <c r="F139" s="5">
        <f t="shared" si="23"/>
        <v>3.2</v>
      </c>
      <c r="G139" s="5">
        <f t="shared" si="23"/>
        <v>3.3000000000000003</v>
      </c>
      <c r="H139" s="5">
        <f t="shared" si="23"/>
        <v>0</v>
      </c>
    </row>
    <row r="140" spans="1:8" x14ac:dyDescent="0.2">
      <c r="C140" s="3"/>
      <c r="D140" s="3"/>
      <c r="E140" s="3"/>
      <c r="F140" s="3"/>
      <c r="G140" s="3"/>
      <c r="H140" s="3"/>
    </row>
    <row r="141" spans="1:8" x14ac:dyDescent="0.2">
      <c r="A141" s="6" t="s">
        <v>87</v>
      </c>
      <c r="C141" s="3">
        <f t="shared" ref="C141:H141" si="24">+C113+C131+C139</f>
        <v>229.06200000000004</v>
      </c>
      <c r="D141" s="3">
        <f t="shared" si="24"/>
        <v>229.60000000000005</v>
      </c>
      <c r="E141" s="3">
        <f t="shared" si="24"/>
        <v>215.00000000000003</v>
      </c>
      <c r="F141" s="3">
        <f t="shared" si="24"/>
        <v>228.5</v>
      </c>
      <c r="G141" s="3">
        <f t="shared" si="24"/>
        <v>209.99999999999994</v>
      </c>
      <c r="H141" s="3">
        <f t="shared" si="24"/>
        <v>435.20000000000005</v>
      </c>
    </row>
    <row r="142" spans="1:8" x14ac:dyDescent="0.2">
      <c r="C142" s="3"/>
      <c r="D142" s="3"/>
      <c r="E142" s="3"/>
      <c r="F142" s="3"/>
      <c r="G142" s="3"/>
      <c r="H142" s="3"/>
    </row>
    <row r="143" spans="1:8" x14ac:dyDescent="0.2">
      <c r="C143" s="3"/>
      <c r="D143" s="3"/>
      <c r="E143" s="3"/>
      <c r="F143" s="3"/>
      <c r="G143" s="3"/>
      <c r="H143" s="3"/>
    </row>
    <row r="144" spans="1:8" x14ac:dyDescent="0.2">
      <c r="C144" s="3"/>
      <c r="D144" s="3"/>
      <c r="E144" s="3"/>
      <c r="F144" s="3"/>
      <c r="G144" s="3"/>
      <c r="H144" s="3"/>
    </row>
    <row r="145" spans="3:8" x14ac:dyDescent="0.2">
      <c r="C145" s="3"/>
      <c r="D145" s="3"/>
      <c r="E145" s="3"/>
      <c r="F145" s="3"/>
      <c r="G145" s="3"/>
      <c r="H145" s="3"/>
    </row>
    <row r="146" spans="3:8" x14ac:dyDescent="0.2">
      <c r="C146" s="3"/>
      <c r="D146" s="3"/>
      <c r="E146" s="3"/>
      <c r="F146" s="3"/>
      <c r="G146" s="3"/>
      <c r="H146" s="3"/>
    </row>
    <row r="147" spans="3:8" x14ac:dyDescent="0.2">
      <c r="C147" s="3"/>
      <c r="D147" s="3"/>
      <c r="E147" s="3"/>
      <c r="F147" s="3"/>
      <c r="G147" s="3"/>
      <c r="H147" s="3"/>
    </row>
    <row r="148" spans="3:8" x14ac:dyDescent="0.2">
      <c r="C148" s="3"/>
      <c r="D148" s="3"/>
      <c r="E148" s="3"/>
      <c r="F148" s="3"/>
      <c r="G148" s="3"/>
      <c r="H148" s="3"/>
    </row>
    <row r="149" spans="3:8" x14ac:dyDescent="0.2">
      <c r="C149" s="3"/>
      <c r="D149" s="3"/>
      <c r="E149" s="3"/>
      <c r="F149" s="3"/>
      <c r="G149" s="3"/>
      <c r="H149" s="3"/>
    </row>
    <row r="150" spans="3:8" x14ac:dyDescent="0.2">
      <c r="C150" s="3"/>
      <c r="D150" s="3"/>
      <c r="E150" s="3"/>
      <c r="F150" s="3"/>
      <c r="G150" s="3"/>
      <c r="H150" s="3"/>
    </row>
    <row r="151" spans="3:8" x14ac:dyDescent="0.2">
      <c r="C151" s="3"/>
      <c r="D151" s="3"/>
      <c r="E151" s="3"/>
      <c r="F151" s="3"/>
      <c r="G151" s="3"/>
      <c r="H151" s="3"/>
    </row>
    <row r="152" spans="3:8" x14ac:dyDescent="0.2">
      <c r="C152" s="3"/>
      <c r="D152" s="3"/>
      <c r="E152" s="3"/>
      <c r="F152" s="3"/>
      <c r="G152" s="3"/>
      <c r="H152" s="3"/>
    </row>
    <row r="153" spans="3:8" x14ac:dyDescent="0.2">
      <c r="C153" s="3"/>
      <c r="D153" s="3"/>
      <c r="E153" s="3"/>
      <c r="F153" s="3"/>
      <c r="G153" s="3"/>
      <c r="H153" s="3"/>
    </row>
    <row r="154" spans="3:8" x14ac:dyDescent="0.2">
      <c r="C154" s="3"/>
      <c r="D154" s="3"/>
      <c r="E154" s="3"/>
      <c r="F154" s="3"/>
      <c r="G154" s="3"/>
      <c r="H154" s="3"/>
    </row>
    <row r="155" spans="3:8" x14ac:dyDescent="0.2">
      <c r="C155" s="3"/>
      <c r="D155" s="3"/>
      <c r="E155" s="3"/>
      <c r="F155" s="3"/>
      <c r="G155" s="3"/>
      <c r="H155" s="3"/>
    </row>
    <row r="156" spans="3:8" x14ac:dyDescent="0.2">
      <c r="C156" s="3"/>
      <c r="D156" s="3"/>
      <c r="E156" s="3"/>
      <c r="F156" s="3"/>
      <c r="G156" s="3"/>
      <c r="H156" s="3"/>
    </row>
    <row r="157" spans="3:8" x14ac:dyDescent="0.2">
      <c r="C157" s="3"/>
      <c r="D157" s="3"/>
      <c r="E157" s="3"/>
      <c r="F157" s="3"/>
      <c r="G157" s="3"/>
      <c r="H157" s="3"/>
    </row>
    <row r="158" spans="3:8" x14ac:dyDescent="0.2">
      <c r="C158" s="3"/>
      <c r="D158" s="3"/>
      <c r="E158" s="3"/>
      <c r="F158" s="3"/>
      <c r="G158" s="3"/>
      <c r="H158" s="3"/>
    </row>
    <row r="159" spans="3:8" x14ac:dyDescent="0.2">
      <c r="C159" s="3"/>
      <c r="D159" s="3"/>
      <c r="E159" s="3"/>
      <c r="F159" s="3"/>
      <c r="G159" s="3"/>
      <c r="H159" s="3"/>
    </row>
    <row r="160" spans="3:8" x14ac:dyDescent="0.2">
      <c r="C160" s="3"/>
      <c r="D160" s="3"/>
      <c r="E160" s="3"/>
      <c r="F160" s="3"/>
      <c r="G160" s="3"/>
      <c r="H160" s="3"/>
    </row>
    <row r="161" spans="3:8" x14ac:dyDescent="0.2">
      <c r="C161" s="3"/>
      <c r="D161" s="3"/>
      <c r="E161" s="3"/>
      <c r="F161" s="3"/>
      <c r="G161" s="3"/>
      <c r="H161" s="3"/>
    </row>
    <row r="162" spans="3:8" x14ac:dyDescent="0.2">
      <c r="C162" s="3"/>
      <c r="D162" s="3"/>
      <c r="E162" s="3"/>
      <c r="F162" s="3"/>
      <c r="G162" s="3"/>
      <c r="H162" s="3"/>
    </row>
    <row r="163" spans="3:8" x14ac:dyDescent="0.2">
      <c r="C163" s="3"/>
      <c r="D163" s="3"/>
      <c r="E163" s="3"/>
      <c r="F163" s="3"/>
      <c r="G163" s="3"/>
      <c r="H163" s="3"/>
    </row>
    <row r="164" spans="3:8" x14ac:dyDescent="0.2">
      <c r="C164" s="3"/>
      <c r="D164" s="3"/>
      <c r="E164" s="3"/>
      <c r="F164" s="3"/>
      <c r="G164" s="3"/>
      <c r="H164" s="3"/>
    </row>
    <row r="165" spans="3:8" x14ac:dyDescent="0.2">
      <c r="C165" s="3"/>
      <c r="D165" s="3"/>
      <c r="E165" s="3"/>
      <c r="F165" s="3"/>
      <c r="G165" s="3"/>
      <c r="H165" s="3"/>
    </row>
    <row r="166" spans="3:8" x14ac:dyDescent="0.2">
      <c r="C166" s="3"/>
      <c r="D166" s="3"/>
      <c r="E166" s="3"/>
      <c r="F166" s="3"/>
      <c r="G166" s="3"/>
      <c r="H166" s="3"/>
    </row>
    <row r="167" spans="3:8" x14ac:dyDescent="0.2">
      <c r="C167" s="3"/>
      <c r="D167" s="3"/>
      <c r="E167" s="3"/>
      <c r="F167" s="3"/>
      <c r="G167" s="3"/>
      <c r="H167" s="3"/>
    </row>
    <row r="168" spans="3:8" x14ac:dyDescent="0.2">
      <c r="C168" s="3"/>
      <c r="D168" s="3"/>
      <c r="E168" s="3"/>
      <c r="F168" s="3"/>
      <c r="G168" s="3"/>
      <c r="H168" s="3"/>
    </row>
    <row r="169" spans="3:8" x14ac:dyDescent="0.2">
      <c r="C169" s="3"/>
      <c r="D169" s="3"/>
      <c r="E169" s="3"/>
      <c r="F169" s="3"/>
      <c r="G169" s="3"/>
      <c r="H169" s="3"/>
    </row>
    <row r="170" spans="3:8" x14ac:dyDescent="0.2">
      <c r="C170" s="3"/>
      <c r="D170" s="3"/>
      <c r="E170" s="3"/>
      <c r="F170" s="3"/>
      <c r="G170" s="3"/>
      <c r="H170" s="3"/>
    </row>
    <row r="171" spans="3:8" x14ac:dyDescent="0.2">
      <c r="C171" s="3"/>
      <c r="D171" s="3"/>
      <c r="E171" s="3"/>
      <c r="F171" s="3"/>
      <c r="G171" s="3"/>
      <c r="H171" s="3"/>
    </row>
    <row r="172" spans="3:8" x14ac:dyDescent="0.2">
      <c r="C172" s="3"/>
      <c r="D172" s="3"/>
      <c r="E172" s="3"/>
      <c r="F172" s="3"/>
      <c r="G172" s="3"/>
      <c r="H172" s="3"/>
    </row>
    <row r="173" spans="3:8" x14ac:dyDescent="0.2">
      <c r="C173" s="3"/>
      <c r="D173" s="3"/>
      <c r="E173" s="3"/>
      <c r="F173" s="3"/>
      <c r="G173" s="3"/>
      <c r="H173" s="3"/>
    </row>
    <row r="174" spans="3:8" x14ac:dyDescent="0.2">
      <c r="C174" s="3"/>
      <c r="D174" s="3"/>
      <c r="E174" s="3"/>
      <c r="F174" s="3"/>
      <c r="G174" s="3"/>
      <c r="H174" s="3"/>
    </row>
    <row r="175" spans="3:8" x14ac:dyDescent="0.2">
      <c r="C175" s="3"/>
      <c r="D175" s="3"/>
      <c r="E175" s="3"/>
      <c r="F175" s="3"/>
      <c r="G175" s="3"/>
      <c r="H175" s="3"/>
    </row>
    <row r="176" spans="3:8" x14ac:dyDescent="0.2">
      <c r="C176" s="3"/>
      <c r="D176" s="3"/>
      <c r="E176" s="3"/>
      <c r="F176" s="3"/>
      <c r="G176" s="3"/>
      <c r="H176" s="3"/>
    </row>
    <row r="177" spans="3:8" x14ac:dyDescent="0.2">
      <c r="C177" s="3"/>
      <c r="D177" s="3"/>
      <c r="E177" s="3"/>
      <c r="F177" s="3"/>
      <c r="G177" s="3"/>
      <c r="H177" s="3"/>
    </row>
    <row r="178" spans="3:8" x14ac:dyDescent="0.2">
      <c r="C178" s="3"/>
      <c r="D178" s="3"/>
      <c r="E178" s="3"/>
      <c r="F178" s="3"/>
      <c r="G178" s="3"/>
      <c r="H178" s="3"/>
    </row>
    <row r="179" spans="3:8" x14ac:dyDescent="0.2">
      <c r="C179" s="3"/>
      <c r="D179" s="3"/>
      <c r="E179" s="3"/>
      <c r="F179" s="3"/>
      <c r="G179" s="3"/>
      <c r="H179" s="3"/>
    </row>
    <row r="180" spans="3:8" x14ac:dyDescent="0.2">
      <c r="C180" s="3"/>
      <c r="D180" s="3"/>
      <c r="E180" s="3"/>
      <c r="F180" s="3"/>
      <c r="G180" s="3"/>
      <c r="H180" s="3"/>
    </row>
    <row r="181" spans="3:8" x14ac:dyDescent="0.2">
      <c r="C181" s="3"/>
      <c r="D181" s="3"/>
      <c r="E181" s="3"/>
      <c r="F181" s="3"/>
      <c r="G181" s="3"/>
      <c r="H181" s="3"/>
    </row>
    <row r="182" spans="3:8" x14ac:dyDescent="0.2">
      <c r="C182" s="3"/>
      <c r="D182" s="3"/>
      <c r="E182" s="3"/>
      <c r="F182" s="3"/>
      <c r="G182" s="3"/>
      <c r="H182" s="3"/>
    </row>
    <row r="183" spans="3:8" x14ac:dyDescent="0.2">
      <c r="C183" s="3"/>
      <c r="D183" s="3"/>
      <c r="E183" s="3"/>
      <c r="F183" s="3"/>
      <c r="G183" s="3"/>
      <c r="H183" s="3"/>
    </row>
    <row r="184" spans="3:8" x14ac:dyDescent="0.2">
      <c r="C184" s="3"/>
      <c r="D184" s="3"/>
      <c r="E184" s="3"/>
      <c r="F184" s="3"/>
      <c r="G184" s="3"/>
      <c r="H184" s="3"/>
    </row>
    <row r="185" spans="3:8" x14ac:dyDescent="0.2">
      <c r="C185" s="3"/>
      <c r="D185" s="3"/>
      <c r="E185" s="3"/>
      <c r="F185" s="3"/>
      <c r="G185" s="3"/>
      <c r="H185" s="3"/>
    </row>
    <row r="186" spans="3:8" x14ac:dyDescent="0.2">
      <c r="C186" s="3"/>
      <c r="D186" s="3"/>
      <c r="E186" s="3"/>
      <c r="F186" s="3"/>
      <c r="G186" s="3"/>
      <c r="H186" s="3"/>
    </row>
    <row r="187" spans="3:8" x14ac:dyDescent="0.2">
      <c r="C187" s="3"/>
      <c r="D187" s="3"/>
      <c r="E187" s="3"/>
      <c r="F187" s="3"/>
      <c r="G187" s="3"/>
      <c r="H187" s="3"/>
    </row>
    <row r="188" spans="3:8" x14ac:dyDescent="0.2">
      <c r="C188" s="3"/>
      <c r="D188" s="3"/>
      <c r="E188" s="3"/>
      <c r="F188" s="3"/>
      <c r="G188" s="3"/>
      <c r="H188" s="3"/>
    </row>
    <row r="189" spans="3:8" x14ac:dyDescent="0.2">
      <c r="C189" s="3"/>
      <c r="D189" s="3"/>
      <c r="E189" s="3"/>
      <c r="F189" s="3"/>
      <c r="G189" s="3"/>
      <c r="H189" s="3"/>
    </row>
  </sheetData>
  <printOptions horizontalCentered="1"/>
  <pageMargins left="0" right="0" top="0" bottom="0" header="0" footer="0"/>
  <pageSetup scale="74" fitToHeight="2" orientation="portrait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showGridLines="0" workbookViewId="0">
      <pane xSplit="2" ySplit="3" topLeftCell="C124" activePane="bottomRight" state="frozen"/>
      <selection pane="topRight" activeCell="C1" sqref="C1"/>
      <selection pane="bottomLeft" activeCell="A4" sqref="A4"/>
      <selection pane="bottomRight" activeCell="G135" sqref="G135"/>
    </sheetView>
  </sheetViews>
  <sheetFormatPr defaultRowHeight="12.75" x14ac:dyDescent="0.2"/>
  <cols>
    <col min="1" max="1" width="5.7109375" customWidth="1"/>
    <col min="2" max="2" width="23" bestFit="1" customWidth="1"/>
  </cols>
  <sheetData>
    <row r="1" spans="1:8" x14ac:dyDescent="0.2">
      <c r="A1" s="6" t="s">
        <v>29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</row>
    <row r="5" spans="1:8" x14ac:dyDescent="0.2">
      <c r="A5" s="6" t="s">
        <v>48</v>
      </c>
      <c r="C5" s="3"/>
      <c r="D5" s="3"/>
      <c r="E5" s="3"/>
      <c r="F5" s="3"/>
      <c r="G5" s="3"/>
      <c r="H5" s="3"/>
    </row>
    <row r="6" spans="1:8" x14ac:dyDescent="0.2">
      <c r="B6" t="s">
        <v>4</v>
      </c>
      <c r="C6" s="3">
        <f>0</f>
        <v>0</v>
      </c>
      <c r="D6" s="3"/>
      <c r="E6" s="3"/>
      <c r="F6" s="3"/>
      <c r="G6" s="3"/>
      <c r="H6" s="3"/>
    </row>
    <row r="7" spans="1:8" x14ac:dyDescent="0.2">
      <c r="B7" t="s">
        <v>41</v>
      </c>
      <c r="C7" s="3">
        <v>120.2</v>
      </c>
      <c r="D7" s="3">
        <v>118.4</v>
      </c>
      <c r="E7" s="3">
        <v>123.9</v>
      </c>
      <c r="F7" s="3">
        <v>124.7</v>
      </c>
      <c r="G7" s="3">
        <v>129.30000000000001</v>
      </c>
      <c r="H7" s="3">
        <v>130.19999999999999</v>
      </c>
    </row>
    <row r="8" spans="1:8" x14ac:dyDescent="0.2">
      <c r="B8" t="s">
        <v>42</v>
      </c>
      <c r="C8" s="3">
        <v>13.2</v>
      </c>
      <c r="D8" s="3">
        <v>11.9</v>
      </c>
      <c r="E8" s="3">
        <v>11.4</v>
      </c>
      <c r="F8" s="3">
        <v>11.9</v>
      </c>
      <c r="G8" s="3">
        <v>12.4</v>
      </c>
      <c r="H8" s="3">
        <v>11.8</v>
      </c>
    </row>
    <row r="9" spans="1:8" x14ac:dyDescent="0.2">
      <c r="B9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">
      <c r="B10" t="s">
        <v>89</v>
      </c>
      <c r="C10" s="3">
        <v>11.8</v>
      </c>
      <c r="D10" s="3">
        <v>11.8</v>
      </c>
      <c r="E10" s="3">
        <v>11.8</v>
      </c>
      <c r="F10" s="3">
        <v>11.8</v>
      </c>
      <c r="G10" s="3">
        <v>9.8000000000000007</v>
      </c>
      <c r="H10" s="3">
        <v>9.8000000000000007</v>
      </c>
    </row>
    <row r="11" spans="1:8" x14ac:dyDescent="0.2"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11.9</v>
      </c>
      <c r="H11" s="3">
        <v>0</v>
      </c>
    </row>
    <row r="12" spans="1:8" x14ac:dyDescent="0.2">
      <c r="B12" t="s">
        <v>7</v>
      </c>
      <c r="C12" s="4">
        <f>-0.2</f>
        <v>-0.2</v>
      </c>
      <c r="D12" s="4">
        <f>-0.5</f>
        <v>-0.5</v>
      </c>
      <c r="E12" s="4">
        <f>-0.3</f>
        <v>-0.3</v>
      </c>
      <c r="F12" s="4">
        <f>-0.3</f>
        <v>-0.3</v>
      </c>
      <c r="G12" s="4">
        <f>-0.3+0.3</f>
        <v>0</v>
      </c>
      <c r="H12" s="4">
        <v>-0.1</v>
      </c>
    </row>
    <row r="13" spans="1:8" x14ac:dyDescent="0.2">
      <c r="B13" s="6" t="s">
        <v>25</v>
      </c>
      <c r="C13" s="3">
        <f t="shared" ref="C13:H13" si="0">SUM(C6:C12)</f>
        <v>145.00000000000003</v>
      </c>
      <c r="D13" s="3">
        <f t="shared" si="0"/>
        <v>141.60000000000002</v>
      </c>
      <c r="E13" s="3">
        <f t="shared" si="0"/>
        <v>146.80000000000001</v>
      </c>
      <c r="F13" s="3">
        <f t="shared" si="0"/>
        <v>148.1</v>
      </c>
      <c r="G13" s="3">
        <f t="shared" si="0"/>
        <v>163.40000000000003</v>
      </c>
      <c r="H13" s="3">
        <f t="shared" si="0"/>
        <v>151.70000000000002</v>
      </c>
    </row>
    <row r="14" spans="1:8" x14ac:dyDescent="0.2">
      <c r="A14" s="6" t="s">
        <v>8</v>
      </c>
      <c r="C14" s="3"/>
      <c r="D14" s="3"/>
      <c r="E14" s="3"/>
      <c r="F14" s="3"/>
      <c r="G14" s="3"/>
      <c r="H14" s="3"/>
    </row>
    <row r="15" spans="1:8" x14ac:dyDescent="0.2">
      <c r="B15" t="s">
        <v>9</v>
      </c>
      <c r="C15" s="3">
        <v>-4.9000000000000004</v>
      </c>
      <c r="D15" s="3">
        <v>-3.8</v>
      </c>
      <c r="E15" s="3">
        <v>-4</v>
      </c>
      <c r="F15" s="3">
        <v>-4.0999999999999996</v>
      </c>
      <c r="G15" s="3">
        <v>-4.2</v>
      </c>
      <c r="H15" s="3">
        <v>-4.8</v>
      </c>
    </row>
    <row r="16" spans="1:8" x14ac:dyDescent="0.2">
      <c r="B16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B17" t="s">
        <v>11</v>
      </c>
      <c r="C17" s="3">
        <f>-1.3-3.1-0.5</f>
        <v>-4.9000000000000004</v>
      </c>
      <c r="D17" s="3">
        <f>-1.3-2.8-0.7</f>
        <v>-4.8</v>
      </c>
      <c r="E17" s="3">
        <f>-1.3-2.8-0.6</f>
        <v>-4.6999999999999993</v>
      </c>
      <c r="F17" s="3">
        <f>-1.3-2.8-0.5</f>
        <v>-4.5999999999999996</v>
      </c>
      <c r="G17" s="3">
        <f>-1.3-2.8-0.7</f>
        <v>-4.8</v>
      </c>
      <c r="H17" s="3">
        <v>-4.5999999999999996</v>
      </c>
    </row>
    <row r="18" spans="1:8" x14ac:dyDescent="0.2">
      <c r="B1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B19" t="s">
        <v>15</v>
      </c>
      <c r="C19" s="3">
        <v>13.9</v>
      </c>
      <c r="D19" s="3">
        <v>16.8</v>
      </c>
      <c r="E19" s="3">
        <f>24.7-3.7</f>
        <v>21</v>
      </c>
      <c r="F19" s="3">
        <v>23.8</v>
      </c>
      <c r="G19" s="3">
        <v>28.4</v>
      </c>
      <c r="H19" s="3">
        <f>23+12-4</f>
        <v>31</v>
      </c>
    </row>
    <row r="20" spans="1:8" x14ac:dyDescent="0.2">
      <c r="B20" t="s">
        <v>16</v>
      </c>
      <c r="C20" s="3">
        <v>0</v>
      </c>
      <c r="D20" s="3">
        <f>0</f>
        <v>0</v>
      </c>
      <c r="E20" s="3">
        <v>0</v>
      </c>
      <c r="F20" s="3">
        <v>0</v>
      </c>
      <c r="G20" s="3">
        <v>-0.2</v>
      </c>
      <c r="H20" s="3">
        <v>-0.2</v>
      </c>
    </row>
    <row r="21" spans="1:8" x14ac:dyDescent="0.2">
      <c r="B21" s="12" t="s">
        <v>108</v>
      </c>
      <c r="C21" s="3">
        <f>-2</f>
        <v>-2</v>
      </c>
      <c r="D21" s="3">
        <v>-2.5</v>
      </c>
      <c r="E21" s="3">
        <v>-2.6</v>
      </c>
      <c r="F21" s="3">
        <v>-2.7</v>
      </c>
      <c r="G21" s="3">
        <v>-2.4</v>
      </c>
      <c r="H21" s="3">
        <v>-2.4</v>
      </c>
    </row>
    <row r="22" spans="1:8" ht="15" x14ac:dyDescent="0.35">
      <c r="B22" s="12" t="s">
        <v>105</v>
      </c>
      <c r="C22" s="5">
        <f>-0.1</f>
        <v>-0.1</v>
      </c>
      <c r="D22" s="5">
        <f>-0.2</f>
        <v>-0.2</v>
      </c>
      <c r="E22" s="5">
        <v>0</v>
      </c>
      <c r="F22" s="5">
        <v>0</v>
      </c>
      <c r="G22" s="5">
        <f>0</f>
        <v>0</v>
      </c>
      <c r="H22" s="5">
        <v>0</v>
      </c>
    </row>
    <row r="23" spans="1:8" ht="15" x14ac:dyDescent="0.35">
      <c r="B23" s="6" t="s">
        <v>19</v>
      </c>
      <c r="C23" s="5">
        <f t="shared" ref="C23:H23" si="1">SUM(C15:C22)</f>
        <v>1.9999999999999996</v>
      </c>
      <c r="D23" s="5">
        <f t="shared" si="1"/>
        <v>5.5000000000000009</v>
      </c>
      <c r="E23" s="5">
        <f t="shared" si="1"/>
        <v>9.7000000000000011</v>
      </c>
      <c r="F23" s="5">
        <f t="shared" si="1"/>
        <v>12.400000000000002</v>
      </c>
      <c r="G23" s="5">
        <f t="shared" si="1"/>
        <v>16.8</v>
      </c>
      <c r="H23" s="5">
        <f t="shared" si="1"/>
        <v>19.000000000000004</v>
      </c>
    </row>
    <row r="24" spans="1:8" x14ac:dyDescent="0.2">
      <c r="A24" s="6" t="s">
        <v>18</v>
      </c>
      <c r="C24" s="3">
        <f t="shared" ref="C24:H24" si="2">+C13+C23</f>
        <v>147.00000000000003</v>
      </c>
      <c r="D24" s="3">
        <f t="shared" si="2"/>
        <v>147.10000000000002</v>
      </c>
      <c r="E24" s="3">
        <f t="shared" si="2"/>
        <v>156.5</v>
      </c>
      <c r="F24" s="3">
        <f t="shared" si="2"/>
        <v>160.5</v>
      </c>
      <c r="G24" s="3">
        <f t="shared" si="2"/>
        <v>180.20000000000005</v>
      </c>
      <c r="H24" s="3">
        <f t="shared" si="2"/>
        <v>170.70000000000002</v>
      </c>
    </row>
    <row r="25" spans="1:8" x14ac:dyDescent="0.2">
      <c r="A25" s="6" t="s">
        <v>20</v>
      </c>
      <c r="C25" s="3"/>
      <c r="D25" s="3"/>
      <c r="E25" s="3"/>
      <c r="F25" s="3"/>
      <c r="G25" s="3"/>
      <c r="H25" s="3"/>
    </row>
    <row r="26" spans="1:8" x14ac:dyDescent="0.2">
      <c r="B26" t="s">
        <v>21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">
      <c r="B27" t="s">
        <v>22</v>
      </c>
      <c r="C27" s="3">
        <v>0</v>
      </c>
      <c r="D27" s="3">
        <v>1.9</v>
      </c>
      <c r="E27" s="3">
        <v>0</v>
      </c>
      <c r="F27" s="3">
        <v>0</v>
      </c>
      <c r="G27" s="3">
        <v>0</v>
      </c>
      <c r="H27" s="3">
        <v>0</v>
      </c>
    </row>
    <row r="28" spans="1:8" ht="15" x14ac:dyDescent="0.35">
      <c r="B28" t="s">
        <v>7</v>
      </c>
      <c r="C28" s="5">
        <v>3.1</v>
      </c>
      <c r="D28" s="5">
        <v>3.2</v>
      </c>
      <c r="E28" s="5">
        <v>3</v>
      </c>
      <c r="F28" s="5">
        <v>0</v>
      </c>
      <c r="G28" s="5">
        <v>0</v>
      </c>
      <c r="H28" s="5">
        <v>0</v>
      </c>
    </row>
    <row r="29" spans="1:8" ht="15" x14ac:dyDescent="0.35">
      <c r="B29" s="6" t="s">
        <v>24</v>
      </c>
      <c r="C29" s="5">
        <f t="shared" ref="C29:H29" si="3">SUM(C26:C28)</f>
        <v>3.1</v>
      </c>
      <c r="D29" s="5">
        <f t="shared" si="3"/>
        <v>5.0999999999999996</v>
      </c>
      <c r="E29" s="5">
        <f t="shared" si="3"/>
        <v>3</v>
      </c>
      <c r="F29" s="5">
        <f t="shared" si="3"/>
        <v>0</v>
      </c>
      <c r="G29" s="5">
        <f t="shared" si="3"/>
        <v>0</v>
      </c>
      <c r="H29" s="5">
        <f t="shared" si="3"/>
        <v>0</v>
      </c>
    </row>
    <row r="30" spans="1:8" ht="15" x14ac:dyDescent="0.35">
      <c r="A30" s="6" t="s">
        <v>49</v>
      </c>
      <c r="C30" s="5">
        <f t="shared" ref="C30:H30" si="4">+C24+C29</f>
        <v>150.10000000000002</v>
      </c>
      <c r="D30" s="5">
        <f t="shared" si="4"/>
        <v>152.20000000000002</v>
      </c>
      <c r="E30" s="5">
        <f t="shared" si="4"/>
        <v>159.5</v>
      </c>
      <c r="F30" s="5">
        <f t="shared" si="4"/>
        <v>160.5</v>
      </c>
      <c r="G30" s="5">
        <f t="shared" si="4"/>
        <v>180.20000000000005</v>
      </c>
      <c r="H30" s="5">
        <f t="shared" si="4"/>
        <v>170.70000000000002</v>
      </c>
    </row>
    <row r="32" spans="1:8" x14ac:dyDescent="0.2">
      <c r="A32" s="9" t="s">
        <v>43</v>
      </c>
      <c r="C32" s="3"/>
      <c r="D32" s="3"/>
      <c r="E32" s="3"/>
      <c r="F32" s="3"/>
      <c r="G32" s="3"/>
      <c r="H32" s="3"/>
    </row>
    <row r="33" spans="1:8" x14ac:dyDescent="0.2">
      <c r="A33" s="6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">
      <c r="A34" s="6" t="s">
        <v>8</v>
      </c>
      <c r="C34" s="3"/>
      <c r="D34" s="3"/>
      <c r="E34" s="3"/>
      <c r="F34" s="3"/>
      <c r="G34" s="3"/>
      <c r="H34" s="3"/>
    </row>
    <row r="35" spans="1:8" x14ac:dyDescent="0.2">
      <c r="B35" t="s">
        <v>38</v>
      </c>
      <c r="C35" s="3">
        <f>-1.1</f>
        <v>-1.1000000000000001</v>
      </c>
      <c r="D35" s="3">
        <f>-1.3</f>
        <v>-1.3</v>
      </c>
      <c r="E35" s="3">
        <f>-1.7</f>
        <v>-1.7</v>
      </c>
      <c r="F35" s="3">
        <f>-1.3</f>
        <v>-1.3</v>
      </c>
      <c r="G35" s="3">
        <f>-1.5</f>
        <v>-1.5</v>
      </c>
      <c r="H35" s="3">
        <v>0</v>
      </c>
    </row>
    <row r="36" spans="1:8" x14ac:dyDescent="0.2">
      <c r="B36" t="s">
        <v>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ht="15" x14ac:dyDescent="0.35">
      <c r="B37" t="s">
        <v>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5" x14ac:dyDescent="0.35">
      <c r="B38" s="6" t="s">
        <v>19</v>
      </c>
      <c r="C38" s="5">
        <f t="shared" ref="C38:H38" si="5">SUM(C35:C37)</f>
        <v>-1.1000000000000001</v>
      </c>
      <c r="D38" s="5">
        <f t="shared" si="5"/>
        <v>-1.3</v>
      </c>
      <c r="E38" s="5">
        <f t="shared" si="5"/>
        <v>-1.7</v>
      </c>
      <c r="F38" s="5">
        <f t="shared" si="5"/>
        <v>-1.3</v>
      </c>
      <c r="G38" s="5">
        <f t="shared" si="5"/>
        <v>-1.5</v>
      </c>
      <c r="H38" s="5">
        <f t="shared" si="5"/>
        <v>0</v>
      </c>
    </row>
    <row r="39" spans="1:8" ht="15" x14ac:dyDescent="0.35">
      <c r="A39" s="6" t="s">
        <v>50</v>
      </c>
      <c r="C39" s="5">
        <f t="shared" ref="C39:H39" si="6">+C33+C38</f>
        <v>-1.1000000000000001</v>
      </c>
      <c r="D39" s="5">
        <f t="shared" si="6"/>
        <v>-1.3</v>
      </c>
      <c r="E39" s="5">
        <f t="shared" si="6"/>
        <v>-1.7</v>
      </c>
      <c r="F39" s="5">
        <f t="shared" si="6"/>
        <v>-1.3</v>
      </c>
      <c r="G39" s="5">
        <f t="shared" si="6"/>
        <v>-1.5</v>
      </c>
      <c r="H39" s="5">
        <f t="shared" si="6"/>
        <v>0</v>
      </c>
    </row>
    <row r="40" spans="1:8" ht="15" x14ac:dyDescent="0.35">
      <c r="A40" s="6"/>
      <c r="C40" s="5"/>
      <c r="D40" s="5"/>
      <c r="E40" s="5"/>
      <c r="F40" s="5"/>
      <c r="G40" s="5"/>
      <c r="H40" s="5"/>
    </row>
    <row r="41" spans="1:8" ht="15" x14ac:dyDescent="0.35">
      <c r="A41" s="6" t="s">
        <v>51</v>
      </c>
      <c r="C41" s="5">
        <f t="shared" ref="C41:H41" si="7">+C30+C39</f>
        <v>149.00000000000003</v>
      </c>
      <c r="D41" s="5">
        <f t="shared" si="7"/>
        <v>150.9</v>
      </c>
      <c r="E41" s="5">
        <f t="shared" si="7"/>
        <v>157.80000000000001</v>
      </c>
      <c r="F41" s="5">
        <f t="shared" si="7"/>
        <v>159.19999999999999</v>
      </c>
      <c r="G41" s="5">
        <f t="shared" si="7"/>
        <v>178.70000000000005</v>
      </c>
      <c r="H41" s="5">
        <f t="shared" si="7"/>
        <v>170.70000000000002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x14ac:dyDescent="0.2">
      <c r="A43" s="9" t="s">
        <v>37</v>
      </c>
      <c r="C43" s="3"/>
      <c r="D43" s="3"/>
      <c r="E43" s="3"/>
      <c r="F43" s="3"/>
      <c r="G43" s="3"/>
      <c r="H43" s="3"/>
    </row>
    <row r="44" spans="1:8" x14ac:dyDescent="0.2">
      <c r="A44" s="6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">
      <c r="A45" s="6" t="s">
        <v>8</v>
      </c>
      <c r="C45" s="3"/>
      <c r="D45" s="3"/>
      <c r="E45" s="3"/>
      <c r="F45" s="3"/>
      <c r="G45" s="3"/>
      <c r="H45" s="3"/>
    </row>
    <row r="46" spans="1:8" x14ac:dyDescent="0.2">
      <c r="B46" t="s">
        <v>39</v>
      </c>
      <c r="C46" s="3">
        <f>-21.3+0.6</f>
        <v>-20.7</v>
      </c>
      <c r="D46" s="3">
        <f>-20.853+0.6</f>
        <v>-20.253</v>
      </c>
      <c r="E46" s="3">
        <f>-21.1+0.6</f>
        <v>-20.5</v>
      </c>
      <c r="F46" s="3">
        <f>-21+0.7</f>
        <v>-20.3</v>
      </c>
      <c r="G46" s="3">
        <f>-22.1+0.7</f>
        <v>-21.400000000000002</v>
      </c>
      <c r="H46" s="3">
        <v>0</v>
      </c>
    </row>
    <row r="47" spans="1:8" x14ac:dyDescent="0.2">
      <c r="B47" t="s">
        <v>46</v>
      </c>
      <c r="C47" s="3">
        <f>-0.9</f>
        <v>-0.9</v>
      </c>
      <c r="D47" s="3">
        <f>-1</f>
        <v>-1</v>
      </c>
      <c r="E47" s="3">
        <f>-1.6</f>
        <v>-1.6</v>
      </c>
      <c r="F47" s="3">
        <f>-1</f>
        <v>-1</v>
      </c>
      <c r="G47" s="3">
        <f>-0.9</f>
        <v>-0.9</v>
      </c>
      <c r="H47" s="3">
        <v>0</v>
      </c>
    </row>
    <row r="48" spans="1:8" x14ac:dyDescent="0.2">
      <c r="B48" t="s">
        <v>124</v>
      </c>
      <c r="C48" s="3">
        <f>-0.6</f>
        <v>-0.6</v>
      </c>
      <c r="D48" s="3">
        <f>-0.6</f>
        <v>-0.6</v>
      </c>
      <c r="E48" s="3">
        <f>-0.6</f>
        <v>-0.6</v>
      </c>
      <c r="F48" s="3">
        <f>-0.7</f>
        <v>-0.7</v>
      </c>
      <c r="G48" s="3">
        <f>-0.7</f>
        <v>-0.7</v>
      </c>
      <c r="H48" s="3"/>
    </row>
    <row r="49" spans="1:8" x14ac:dyDescent="0.2">
      <c r="B49" t="s">
        <v>114</v>
      </c>
      <c r="C49" s="3"/>
      <c r="D49" s="3"/>
      <c r="E49" s="3">
        <v>0.6</v>
      </c>
      <c r="F49" s="3"/>
      <c r="G49" s="3"/>
      <c r="H49" s="3"/>
    </row>
    <row r="50" spans="1:8" x14ac:dyDescent="0.2">
      <c r="B50" t="s">
        <v>123</v>
      </c>
      <c r="C50" s="3"/>
      <c r="D50" s="3"/>
      <c r="E50" s="3">
        <v>0.2</v>
      </c>
      <c r="F50" s="3"/>
      <c r="G50" s="3"/>
      <c r="H50" s="3"/>
    </row>
    <row r="51" spans="1:8" x14ac:dyDescent="0.2">
      <c r="B51" t="s">
        <v>44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ht="15" x14ac:dyDescent="0.35">
      <c r="B52" s="12" t="s">
        <v>105</v>
      </c>
      <c r="C52" s="5">
        <f>-0.4</f>
        <v>-0.4</v>
      </c>
      <c r="D52" s="5">
        <f>-0.6</f>
        <v>-0.6</v>
      </c>
      <c r="E52" s="5">
        <f>-0.9</f>
        <v>-0.9</v>
      </c>
      <c r="F52" s="5">
        <f>-0.9</f>
        <v>-0.9</v>
      </c>
      <c r="G52" s="5">
        <f>-3.4-0.3</f>
        <v>-3.6999999999999997</v>
      </c>
      <c r="H52" s="5">
        <v>0</v>
      </c>
    </row>
    <row r="53" spans="1:8" ht="15" x14ac:dyDescent="0.35">
      <c r="B53" s="6" t="s">
        <v>19</v>
      </c>
      <c r="C53" s="5">
        <f t="shared" ref="C53:H53" si="8">SUM(C46:C52)</f>
        <v>-22.599999999999998</v>
      </c>
      <c r="D53" s="5">
        <f t="shared" si="8"/>
        <v>-22.453000000000003</v>
      </c>
      <c r="E53" s="5">
        <f t="shared" si="8"/>
        <v>-22.8</v>
      </c>
      <c r="F53" s="5">
        <f t="shared" si="8"/>
        <v>-22.9</v>
      </c>
      <c r="G53" s="5">
        <f t="shared" si="8"/>
        <v>-26.7</v>
      </c>
      <c r="H53" s="5">
        <f t="shared" si="8"/>
        <v>0</v>
      </c>
    </row>
    <row r="54" spans="1:8" ht="15" x14ac:dyDescent="0.35">
      <c r="A54" s="6" t="s">
        <v>53</v>
      </c>
      <c r="C54" s="5">
        <f t="shared" ref="C54:H54" si="9">+C44+C53</f>
        <v>-22.599999999999998</v>
      </c>
      <c r="D54" s="5">
        <f t="shared" si="9"/>
        <v>-22.453000000000003</v>
      </c>
      <c r="E54" s="5">
        <f t="shared" si="9"/>
        <v>-22.8</v>
      </c>
      <c r="F54" s="5">
        <f t="shared" si="9"/>
        <v>-22.9</v>
      </c>
      <c r="G54" s="5">
        <f t="shared" si="9"/>
        <v>-26.7</v>
      </c>
      <c r="H54" s="5">
        <f t="shared" si="9"/>
        <v>0</v>
      </c>
    </row>
    <row r="55" spans="1:8" x14ac:dyDescent="0.2">
      <c r="C55" s="3"/>
      <c r="D55" s="3"/>
      <c r="E55" s="3"/>
      <c r="F55" s="3"/>
      <c r="G55" s="3"/>
      <c r="H55" s="3"/>
    </row>
    <row r="56" spans="1:8" x14ac:dyDescent="0.2">
      <c r="A56" s="9" t="s">
        <v>52</v>
      </c>
      <c r="C56" s="3"/>
      <c r="D56" s="3"/>
      <c r="E56" s="3"/>
      <c r="F56" s="3"/>
      <c r="G56" s="3"/>
      <c r="H56" s="3"/>
    </row>
    <row r="57" spans="1:8" x14ac:dyDescent="0.2">
      <c r="A57" s="6" t="s">
        <v>40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">
      <c r="A58" s="6" t="s">
        <v>8</v>
      </c>
      <c r="C58" s="3"/>
      <c r="D58" s="3"/>
      <c r="E58" s="3"/>
      <c r="F58" s="3"/>
      <c r="G58" s="3"/>
      <c r="H58" s="3"/>
    </row>
    <row r="59" spans="1:8" x14ac:dyDescent="0.2">
      <c r="B59" t="s">
        <v>59</v>
      </c>
      <c r="C59" s="3">
        <f>-0.5-1.3</f>
        <v>-1.8</v>
      </c>
      <c r="D59" s="3">
        <f>-0.4-1.2</f>
        <v>-1.6</v>
      </c>
      <c r="E59" s="3">
        <f>-0.5-1.3+0.1</f>
        <v>-1.7</v>
      </c>
      <c r="F59" s="3">
        <f>-0.5-0.5</f>
        <v>-1</v>
      </c>
      <c r="G59" s="3">
        <f>-0.5-0.5</f>
        <v>-1</v>
      </c>
      <c r="H59" s="3">
        <v>0</v>
      </c>
    </row>
    <row r="60" spans="1:8" x14ac:dyDescent="0.2"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B61" t="s">
        <v>114</v>
      </c>
      <c r="C61" s="3"/>
      <c r="D61" s="3"/>
      <c r="E61" s="3">
        <f>0.7</f>
        <v>0.7</v>
      </c>
      <c r="F61" s="3"/>
      <c r="G61" s="3"/>
      <c r="H61" s="3"/>
    </row>
    <row r="62" spans="1:8" x14ac:dyDescent="0.2">
      <c r="B62" t="s">
        <v>112</v>
      </c>
      <c r="C62" s="3">
        <v>0.1</v>
      </c>
      <c r="D62" s="3">
        <v>0.1</v>
      </c>
      <c r="E62" s="3">
        <v>0.1</v>
      </c>
      <c r="F62" s="3"/>
      <c r="G62" s="3"/>
      <c r="H62" s="3"/>
    </row>
    <row r="63" spans="1:8" x14ac:dyDescent="0.2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ht="15" x14ac:dyDescent="0.35">
      <c r="B64" s="12" t="s">
        <v>104</v>
      </c>
      <c r="C64" s="5">
        <f>-1.6-0.3+0.2</f>
        <v>-1.7000000000000002</v>
      </c>
      <c r="D64" s="5">
        <f>-2.4</f>
        <v>-2.4</v>
      </c>
      <c r="E64" s="5">
        <f>-2.7</f>
        <v>-2.7</v>
      </c>
      <c r="F64" s="5">
        <f>-2.1</f>
        <v>-2.1</v>
      </c>
      <c r="G64" s="5">
        <f>-1.8</f>
        <v>-1.8</v>
      </c>
      <c r="H64" s="5">
        <v>0</v>
      </c>
    </row>
    <row r="65" spans="1:8" ht="15" x14ac:dyDescent="0.35">
      <c r="B65" s="6" t="s">
        <v>19</v>
      </c>
      <c r="C65" s="5">
        <f t="shared" ref="C65:H65" si="10">SUM(C59:C64)</f>
        <v>-3.4000000000000004</v>
      </c>
      <c r="D65" s="5">
        <f t="shared" si="10"/>
        <v>-3.9</v>
      </c>
      <c r="E65" s="5">
        <f t="shared" si="10"/>
        <v>-3.6</v>
      </c>
      <c r="F65" s="5">
        <f t="shared" si="10"/>
        <v>-3.1</v>
      </c>
      <c r="G65" s="5">
        <f t="shared" si="10"/>
        <v>-2.8</v>
      </c>
      <c r="H65" s="5">
        <f t="shared" si="10"/>
        <v>0</v>
      </c>
    </row>
    <row r="66" spans="1:8" ht="15" x14ac:dyDescent="0.35">
      <c r="A66" s="6" t="s">
        <v>62</v>
      </c>
      <c r="C66" s="5">
        <f t="shared" ref="C66:H66" si="11">+C57+C65</f>
        <v>-3.4000000000000004</v>
      </c>
      <c r="D66" s="5">
        <f t="shared" si="11"/>
        <v>-3.9</v>
      </c>
      <c r="E66" s="5">
        <f t="shared" si="11"/>
        <v>-3.6</v>
      </c>
      <c r="F66" s="5">
        <f t="shared" si="11"/>
        <v>-3.1</v>
      </c>
      <c r="G66" s="5">
        <f t="shared" si="11"/>
        <v>-2.8</v>
      </c>
      <c r="H66" s="5">
        <f t="shared" si="11"/>
        <v>0</v>
      </c>
    </row>
    <row r="67" spans="1:8" x14ac:dyDescent="0.2">
      <c r="C67" s="3"/>
      <c r="D67" s="3"/>
      <c r="E67" s="3"/>
      <c r="F67" s="3"/>
      <c r="G67" s="3"/>
      <c r="H67" s="3"/>
    </row>
    <row r="68" spans="1:8" x14ac:dyDescent="0.2">
      <c r="A68" s="9" t="s">
        <v>54</v>
      </c>
      <c r="C68" s="3"/>
      <c r="D68" s="3"/>
      <c r="E68" s="3"/>
      <c r="F68" s="3"/>
      <c r="G68" s="3"/>
      <c r="H68" s="3"/>
    </row>
    <row r="69" spans="1:8" x14ac:dyDescent="0.2">
      <c r="A69" s="6" t="s">
        <v>40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A70" s="6" t="s">
        <v>8</v>
      </c>
      <c r="C70" s="3"/>
      <c r="D70" s="3"/>
      <c r="E70" s="3"/>
      <c r="F70" s="3"/>
      <c r="G70" s="3"/>
      <c r="H70" s="3"/>
    </row>
    <row r="71" spans="1:8" x14ac:dyDescent="0.2">
      <c r="B71" t="s">
        <v>59</v>
      </c>
      <c r="C71" s="3">
        <f>-1.2</f>
        <v>-1.2</v>
      </c>
      <c r="D71" s="3">
        <f>-1.1</f>
        <v>-1.1000000000000001</v>
      </c>
      <c r="E71" s="3">
        <f>-1.3</f>
        <v>-1.3</v>
      </c>
      <c r="F71" s="3">
        <f>-1.2-1.5</f>
        <v>-2.7</v>
      </c>
      <c r="G71" s="3">
        <f>-2.9-0.6</f>
        <v>-3.5</v>
      </c>
      <c r="H71" s="3">
        <v>0</v>
      </c>
    </row>
    <row r="72" spans="1:8" x14ac:dyDescent="0.2">
      <c r="B72" t="s">
        <v>58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x14ac:dyDescent="0.2">
      <c r="B73" t="s">
        <v>44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 ht="15" x14ac:dyDescent="0.35">
      <c r="B74" t="s">
        <v>45</v>
      </c>
      <c r="C74" s="5">
        <v>0</v>
      </c>
      <c r="D74" s="5">
        <v>0</v>
      </c>
      <c r="E74" s="5">
        <f>-0.7-0.6</f>
        <v>-1.2999999999999998</v>
      </c>
      <c r="F74" s="5">
        <v>0</v>
      </c>
      <c r="G74" s="5">
        <v>0</v>
      </c>
      <c r="H74" s="5">
        <v>0</v>
      </c>
    </row>
    <row r="75" spans="1:8" ht="15" x14ac:dyDescent="0.35">
      <c r="B75" s="6" t="s">
        <v>19</v>
      </c>
      <c r="C75" s="5">
        <f t="shared" ref="C75:H75" si="12">SUM(C71:C74)</f>
        <v>-1.2</v>
      </c>
      <c r="D75" s="5">
        <f t="shared" si="12"/>
        <v>-1.1000000000000001</v>
      </c>
      <c r="E75" s="5">
        <f t="shared" si="12"/>
        <v>-2.5999999999999996</v>
      </c>
      <c r="F75" s="5">
        <f t="shared" si="12"/>
        <v>-2.7</v>
      </c>
      <c r="G75" s="5">
        <f t="shared" si="12"/>
        <v>-3.5</v>
      </c>
      <c r="H75" s="5">
        <f t="shared" si="12"/>
        <v>0</v>
      </c>
    </row>
    <row r="76" spans="1:8" ht="15" x14ac:dyDescent="0.35">
      <c r="A76" s="6" t="s">
        <v>55</v>
      </c>
      <c r="C76" s="5">
        <f t="shared" ref="C76:H76" si="13">+C69+C75</f>
        <v>-1.2</v>
      </c>
      <c r="D76" s="5">
        <f t="shared" si="13"/>
        <v>-1.1000000000000001</v>
      </c>
      <c r="E76" s="5">
        <f t="shared" si="13"/>
        <v>-2.5999999999999996</v>
      </c>
      <c r="F76" s="5">
        <f t="shared" si="13"/>
        <v>-2.7</v>
      </c>
      <c r="G76" s="5">
        <f t="shared" si="13"/>
        <v>-3.5</v>
      </c>
      <c r="H76" s="5">
        <f t="shared" si="13"/>
        <v>0</v>
      </c>
    </row>
    <row r="77" spans="1:8" x14ac:dyDescent="0.2">
      <c r="C77" s="3"/>
      <c r="D77" s="3"/>
      <c r="E77" s="3"/>
      <c r="F77" s="3"/>
      <c r="G77" s="3"/>
      <c r="H77" s="3"/>
    </row>
    <row r="78" spans="1:8" x14ac:dyDescent="0.2">
      <c r="A78" s="9" t="s">
        <v>56</v>
      </c>
      <c r="C78" s="3"/>
      <c r="D78" s="3"/>
      <c r="E78" s="3"/>
      <c r="F78" s="3"/>
      <c r="G78" s="3"/>
      <c r="H78" s="3"/>
    </row>
    <row r="79" spans="1:8" x14ac:dyDescent="0.2">
      <c r="A79" s="6" t="s">
        <v>40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A80" s="6" t="s">
        <v>8</v>
      </c>
      <c r="C80" s="3"/>
      <c r="D80" s="3"/>
      <c r="E80" s="3"/>
      <c r="F80" s="3"/>
      <c r="G80" s="3"/>
      <c r="H80" s="3"/>
    </row>
    <row r="81" spans="1:8" x14ac:dyDescent="0.2">
      <c r="B81" t="s">
        <v>59</v>
      </c>
      <c r="C81" s="3">
        <f>-0.7</f>
        <v>-0.7</v>
      </c>
      <c r="D81" s="3">
        <f>-1.3</f>
        <v>-1.3</v>
      </c>
      <c r="E81" s="3">
        <f>-1.3</f>
        <v>-1.3</v>
      </c>
      <c r="F81" s="3">
        <f>-0.6</f>
        <v>-0.6</v>
      </c>
      <c r="G81" s="3">
        <f>-0.9</f>
        <v>-0.9</v>
      </c>
      <c r="H81" s="3">
        <v>0</v>
      </c>
    </row>
    <row r="82" spans="1:8" x14ac:dyDescent="0.2">
      <c r="B82" t="s">
        <v>58</v>
      </c>
      <c r="C82" s="3">
        <f>-0.2</f>
        <v>-0.2</v>
      </c>
      <c r="D82" s="3">
        <f>-0.2</f>
        <v>-0.2</v>
      </c>
      <c r="E82" s="3">
        <f>-0.2</f>
        <v>-0.2</v>
      </c>
      <c r="F82" s="3">
        <f>-0.2</f>
        <v>-0.2</v>
      </c>
      <c r="G82" s="3">
        <f>-0.2</f>
        <v>-0.2</v>
      </c>
      <c r="H82" s="3">
        <v>0</v>
      </c>
    </row>
    <row r="83" spans="1:8" x14ac:dyDescent="0.2">
      <c r="B83" t="s">
        <v>44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 ht="15" x14ac:dyDescent="0.35">
      <c r="B84" t="s">
        <v>45</v>
      </c>
      <c r="C84" s="5">
        <v>0.2</v>
      </c>
      <c r="D84" s="5">
        <v>0.3</v>
      </c>
      <c r="E84" s="5">
        <v>0.3</v>
      </c>
      <c r="F84" s="5">
        <v>0</v>
      </c>
      <c r="G84" s="5">
        <v>0</v>
      </c>
      <c r="H84" s="5">
        <v>0</v>
      </c>
    </row>
    <row r="85" spans="1:8" ht="15" x14ac:dyDescent="0.35">
      <c r="B85" s="6" t="s">
        <v>19</v>
      </c>
      <c r="C85" s="5">
        <f t="shared" ref="C85:H85" si="14">SUM(C81:C84)</f>
        <v>-0.7</v>
      </c>
      <c r="D85" s="5">
        <f t="shared" si="14"/>
        <v>-1.2</v>
      </c>
      <c r="E85" s="5">
        <f t="shared" si="14"/>
        <v>-1.2</v>
      </c>
      <c r="F85" s="5">
        <f t="shared" si="14"/>
        <v>-0.8</v>
      </c>
      <c r="G85" s="5">
        <f t="shared" si="14"/>
        <v>-1.1000000000000001</v>
      </c>
      <c r="H85" s="5">
        <f t="shared" si="14"/>
        <v>0</v>
      </c>
    </row>
    <row r="86" spans="1:8" ht="15" x14ac:dyDescent="0.35">
      <c r="A86" s="6" t="s">
        <v>57</v>
      </c>
      <c r="C86" s="5">
        <f t="shared" ref="C86:H86" si="15">+C79+C85</f>
        <v>-0.7</v>
      </c>
      <c r="D86" s="5">
        <f t="shared" si="15"/>
        <v>-1.2</v>
      </c>
      <c r="E86" s="5">
        <f t="shared" si="15"/>
        <v>-1.2</v>
      </c>
      <c r="F86" s="5">
        <f t="shared" si="15"/>
        <v>-0.8</v>
      </c>
      <c r="G86" s="5">
        <f t="shared" si="15"/>
        <v>-1.1000000000000001</v>
      </c>
      <c r="H86" s="5">
        <f t="shared" si="15"/>
        <v>0</v>
      </c>
    </row>
    <row r="87" spans="1:8" x14ac:dyDescent="0.2">
      <c r="C87" s="3"/>
      <c r="D87" s="3"/>
      <c r="E87" s="3"/>
      <c r="F87" s="3"/>
      <c r="G87" s="3"/>
      <c r="H87" s="3"/>
    </row>
    <row r="88" spans="1:8" x14ac:dyDescent="0.2">
      <c r="A88" s="9" t="s">
        <v>60</v>
      </c>
      <c r="C88" s="3"/>
      <c r="D88" s="3"/>
      <c r="E88" s="3"/>
      <c r="F88" s="3"/>
      <c r="G88" s="3"/>
      <c r="H88" s="3"/>
    </row>
    <row r="89" spans="1:8" x14ac:dyDescent="0.2">
      <c r="A89" s="6" t="s">
        <v>40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A90" s="6" t="s">
        <v>8</v>
      </c>
      <c r="C90" s="3"/>
      <c r="D90" s="3"/>
      <c r="E90" s="3"/>
      <c r="F90" s="3"/>
      <c r="G90" s="3"/>
      <c r="H90" s="3"/>
    </row>
    <row r="91" spans="1:8" x14ac:dyDescent="0.2">
      <c r="B91" t="s">
        <v>59</v>
      </c>
      <c r="C91" s="3">
        <f>-0.3</f>
        <v>-0.3</v>
      </c>
      <c r="D91" s="3">
        <f>-0.4</f>
        <v>-0.4</v>
      </c>
      <c r="E91" s="3">
        <f>-0.4</f>
        <v>-0.4</v>
      </c>
      <c r="F91" s="3">
        <f>-0.3</f>
        <v>-0.3</v>
      </c>
      <c r="G91" s="3">
        <f>-0.3</f>
        <v>-0.3</v>
      </c>
      <c r="H91" s="3">
        <v>0</v>
      </c>
    </row>
    <row r="92" spans="1:8" x14ac:dyDescent="0.2">
      <c r="B92" t="s">
        <v>58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x14ac:dyDescent="0.2">
      <c r="B93" t="s">
        <v>44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 ht="15" x14ac:dyDescent="0.35">
      <c r="B94" s="12" t="s">
        <v>105</v>
      </c>
      <c r="C94" s="5">
        <v>0.1</v>
      </c>
      <c r="D94" s="5">
        <v>0.1</v>
      </c>
      <c r="E94" s="5">
        <v>0.1</v>
      </c>
      <c r="F94" s="5">
        <v>0</v>
      </c>
      <c r="G94" s="5">
        <v>0</v>
      </c>
      <c r="H94" s="5">
        <v>0</v>
      </c>
    </row>
    <row r="95" spans="1:8" ht="15" x14ac:dyDescent="0.35">
      <c r="B95" s="6" t="s">
        <v>19</v>
      </c>
      <c r="C95" s="5">
        <f t="shared" ref="C95:H95" si="16">SUM(C91:C94)</f>
        <v>-0.19999999999999998</v>
      </c>
      <c r="D95" s="5">
        <f t="shared" si="16"/>
        <v>-0.30000000000000004</v>
      </c>
      <c r="E95" s="5">
        <f t="shared" si="16"/>
        <v>-0.30000000000000004</v>
      </c>
      <c r="F95" s="5">
        <f t="shared" si="16"/>
        <v>-0.3</v>
      </c>
      <c r="G95" s="5">
        <f t="shared" si="16"/>
        <v>-0.3</v>
      </c>
      <c r="H95" s="5">
        <f t="shared" si="16"/>
        <v>0</v>
      </c>
    </row>
    <row r="96" spans="1:8" ht="15" x14ac:dyDescent="0.35">
      <c r="A96" s="6" t="s">
        <v>61</v>
      </c>
      <c r="C96" s="5">
        <f t="shared" ref="C96:H96" si="17">+C89+C95</f>
        <v>-0.19999999999999998</v>
      </c>
      <c r="D96" s="5">
        <f t="shared" si="17"/>
        <v>-0.30000000000000004</v>
      </c>
      <c r="E96" s="5">
        <f t="shared" si="17"/>
        <v>-0.30000000000000004</v>
      </c>
      <c r="F96" s="5">
        <f t="shared" si="17"/>
        <v>-0.3</v>
      </c>
      <c r="G96" s="5">
        <f t="shared" si="17"/>
        <v>-0.3</v>
      </c>
      <c r="H96" s="5">
        <f t="shared" si="17"/>
        <v>0</v>
      </c>
    </row>
    <row r="97" spans="1:9" x14ac:dyDescent="0.2">
      <c r="C97" s="3"/>
      <c r="D97" s="3"/>
      <c r="E97" s="3"/>
      <c r="F97" s="3"/>
      <c r="G97" s="3"/>
      <c r="H97" s="3"/>
    </row>
    <row r="98" spans="1:9" x14ac:dyDescent="0.2">
      <c r="A98" s="9" t="s">
        <v>63</v>
      </c>
      <c r="C98" s="3"/>
      <c r="D98" s="3"/>
      <c r="E98" s="3"/>
      <c r="F98" s="3"/>
      <c r="G98" s="3"/>
      <c r="H98" s="3"/>
    </row>
    <row r="99" spans="1:9" x14ac:dyDescent="0.2">
      <c r="A99" s="6" t="s">
        <v>40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9" x14ac:dyDescent="0.2">
      <c r="A100" s="6" t="s">
        <v>8</v>
      </c>
      <c r="C100" s="3"/>
      <c r="D100" s="3"/>
      <c r="E100" s="3"/>
      <c r="F100" s="3"/>
      <c r="G100" s="3"/>
      <c r="H100" s="3"/>
    </row>
    <row r="101" spans="1:9" x14ac:dyDescent="0.2">
      <c r="B101" t="s">
        <v>59</v>
      </c>
      <c r="C101" s="3">
        <f>-0.4</f>
        <v>-0.4</v>
      </c>
      <c r="D101" s="3">
        <f>-0.5</f>
        <v>-0.5</v>
      </c>
      <c r="E101" s="3">
        <f>-0.3</f>
        <v>-0.3</v>
      </c>
      <c r="F101" s="3">
        <f>-0.8</f>
        <v>-0.8</v>
      </c>
      <c r="G101" s="3">
        <f>-0.4</f>
        <v>-0.4</v>
      </c>
      <c r="H101" s="3">
        <v>0</v>
      </c>
    </row>
    <row r="102" spans="1:9" x14ac:dyDescent="0.2">
      <c r="B102" t="s">
        <v>100</v>
      </c>
      <c r="C102" s="3">
        <f>-0.1</f>
        <v>-0.1</v>
      </c>
      <c r="D102" s="3">
        <f>-0.1</f>
        <v>-0.1</v>
      </c>
      <c r="E102" s="3">
        <f>-0.1</f>
        <v>-0.1</v>
      </c>
      <c r="F102" s="3">
        <f>-0.1</f>
        <v>-0.1</v>
      </c>
      <c r="G102" s="3">
        <f>-0.1</f>
        <v>-0.1</v>
      </c>
      <c r="H102" s="3">
        <v>0</v>
      </c>
    </row>
    <row r="103" spans="1:9" x14ac:dyDescent="0.2">
      <c r="B103" t="s">
        <v>118</v>
      </c>
      <c r="C103" s="3">
        <f>-0.2-0.3</f>
        <v>-0.5</v>
      </c>
      <c r="D103" s="3">
        <f>-0.5-0.6</f>
        <v>-1.1000000000000001</v>
      </c>
      <c r="E103" s="3">
        <f>-0.4-0.5</f>
        <v>-0.9</v>
      </c>
      <c r="F103" s="3">
        <f>-1.1</f>
        <v>-1.1000000000000001</v>
      </c>
      <c r="G103" s="3">
        <f>-0.6</f>
        <v>-0.6</v>
      </c>
      <c r="H103" s="3">
        <v>0</v>
      </c>
      <c r="I103" t="s">
        <v>120</v>
      </c>
    </row>
    <row r="104" spans="1:9" x14ac:dyDescent="0.2">
      <c r="B104" t="s">
        <v>119</v>
      </c>
      <c r="C104" s="3"/>
      <c r="D104" s="3"/>
      <c r="E104" s="3"/>
      <c r="F104" s="3"/>
      <c r="G104" s="3">
        <f>-0.9</f>
        <v>-0.9</v>
      </c>
      <c r="H104" s="3"/>
    </row>
    <row r="105" spans="1:9" x14ac:dyDescent="0.2">
      <c r="B105" t="s">
        <v>116</v>
      </c>
      <c r="C105" s="3"/>
      <c r="D105" s="3"/>
      <c r="E105" s="3">
        <f>-0.2</f>
        <v>-0.2</v>
      </c>
      <c r="F105" s="3"/>
      <c r="G105" s="3"/>
      <c r="H105" s="3"/>
    </row>
    <row r="106" spans="1:9" ht="15" x14ac:dyDescent="0.35">
      <c r="B106" s="12" t="s">
        <v>121</v>
      </c>
      <c r="C106" s="5">
        <f>-0.3+0.3</f>
        <v>0</v>
      </c>
      <c r="D106" s="5">
        <f>-0.2-0.1+0.2</f>
        <v>-0.10000000000000003</v>
      </c>
      <c r="E106" s="5">
        <f>-0.1</f>
        <v>-0.1</v>
      </c>
      <c r="F106" s="5">
        <f>-0.1</f>
        <v>-0.1</v>
      </c>
      <c r="G106" s="5">
        <v>0</v>
      </c>
      <c r="H106" s="5">
        <v>0</v>
      </c>
    </row>
    <row r="107" spans="1:9" ht="15" x14ac:dyDescent="0.35">
      <c r="B107" s="6" t="s">
        <v>19</v>
      </c>
      <c r="C107" s="5">
        <f t="shared" ref="C107:H107" si="18">SUM(C101:C106)</f>
        <v>-1</v>
      </c>
      <c r="D107" s="5">
        <f t="shared" si="18"/>
        <v>-1.8000000000000003</v>
      </c>
      <c r="E107" s="5">
        <f t="shared" si="18"/>
        <v>-1.6</v>
      </c>
      <c r="F107" s="5">
        <f t="shared" si="18"/>
        <v>-2.1</v>
      </c>
      <c r="G107" s="5">
        <f t="shared" si="18"/>
        <v>-2</v>
      </c>
      <c r="H107" s="5">
        <f t="shared" si="18"/>
        <v>0</v>
      </c>
    </row>
    <row r="108" spans="1:9" ht="15" x14ac:dyDescent="0.35">
      <c r="A108" s="6" t="s">
        <v>64</v>
      </c>
      <c r="C108" s="5">
        <f t="shared" ref="C108:H108" si="19">+C99+C107</f>
        <v>-1</v>
      </c>
      <c r="D108" s="5">
        <f t="shared" si="19"/>
        <v>-1.8000000000000003</v>
      </c>
      <c r="E108" s="5">
        <f t="shared" si="19"/>
        <v>-1.6</v>
      </c>
      <c r="F108" s="5">
        <f t="shared" si="19"/>
        <v>-2.1</v>
      </c>
      <c r="G108" s="5">
        <f t="shared" si="19"/>
        <v>-2</v>
      </c>
      <c r="H108" s="5">
        <f t="shared" si="19"/>
        <v>0</v>
      </c>
    </row>
    <row r="109" spans="1:9" x14ac:dyDescent="0.2">
      <c r="C109" s="3"/>
      <c r="D109" s="3"/>
      <c r="E109" s="3"/>
      <c r="F109" s="3"/>
      <c r="G109" s="3"/>
      <c r="H109" s="3"/>
    </row>
    <row r="110" spans="1:9" ht="15" x14ac:dyDescent="0.35">
      <c r="A110" s="6" t="s">
        <v>65</v>
      </c>
      <c r="C110" s="5">
        <f t="shared" ref="C110:H110" si="20">+C41+C54+C66+C76+C86+C96+C108</f>
        <v>119.90000000000002</v>
      </c>
      <c r="D110" s="5">
        <f t="shared" si="20"/>
        <v>120.14700000000001</v>
      </c>
      <c r="E110" s="5">
        <f t="shared" si="20"/>
        <v>125.70000000000002</v>
      </c>
      <c r="F110" s="5">
        <f t="shared" si="20"/>
        <v>127.29999999999998</v>
      </c>
      <c r="G110" s="5">
        <f t="shared" si="20"/>
        <v>142.30000000000004</v>
      </c>
      <c r="H110" s="5">
        <f t="shared" si="20"/>
        <v>170.70000000000002</v>
      </c>
    </row>
    <row r="111" spans="1:9" x14ac:dyDescent="0.2">
      <c r="C111" s="3"/>
      <c r="D111" s="3"/>
      <c r="E111" s="3"/>
      <c r="F111" s="3"/>
      <c r="G111" s="3"/>
      <c r="H111" s="3"/>
    </row>
    <row r="112" spans="1:9" x14ac:dyDescent="0.2">
      <c r="A112" s="6" t="s">
        <v>66</v>
      </c>
      <c r="C112" s="3"/>
      <c r="D112" s="3"/>
      <c r="E112" s="3"/>
      <c r="F112" s="3"/>
      <c r="G112" s="3"/>
      <c r="H112" s="3"/>
    </row>
    <row r="113" spans="2:8" x14ac:dyDescent="0.2">
      <c r="B113" t="s">
        <v>67</v>
      </c>
      <c r="C113" s="3"/>
      <c r="D113" s="3"/>
      <c r="E113" s="3"/>
      <c r="F113" s="3"/>
      <c r="G113" s="3"/>
      <c r="H113" s="3"/>
    </row>
    <row r="114" spans="2:8" x14ac:dyDescent="0.2">
      <c r="B114" t="s">
        <v>68</v>
      </c>
      <c r="C114" s="3">
        <f>-2.4</f>
        <v>-2.4</v>
      </c>
      <c r="D114" s="3">
        <f>-1.9</f>
        <v>-1.9</v>
      </c>
      <c r="E114" s="3">
        <f>-1.9</f>
        <v>-1.9</v>
      </c>
      <c r="F114" s="3">
        <f>-1.9</f>
        <v>-1.9</v>
      </c>
      <c r="G114" s="3">
        <f>-1.9</f>
        <v>-1.9</v>
      </c>
      <c r="H114" s="3">
        <v>0</v>
      </c>
    </row>
    <row r="115" spans="2:8" x14ac:dyDescent="0.2">
      <c r="B115" t="s">
        <v>69</v>
      </c>
      <c r="C115" s="11">
        <f>-0.4-0.1-0.9+0.2+0.3-1.9-0.1-0.3-0.2+0.1</f>
        <v>-3.3</v>
      </c>
      <c r="D115" s="11">
        <f>-1.1-0.1-1.4-0.4-0.2</f>
        <v>-3.2</v>
      </c>
      <c r="E115" s="11">
        <f>-1.9-1.8-0.3</f>
        <v>-4</v>
      </c>
      <c r="F115" s="11">
        <f>-3.9-0.3+0.2+0.2</f>
        <v>-3.8</v>
      </c>
      <c r="G115" s="11">
        <f>-3.5-0.4</f>
        <v>-3.9</v>
      </c>
      <c r="H115" s="11">
        <v>0</v>
      </c>
    </row>
    <row r="116" spans="2:8" x14ac:dyDescent="0.2">
      <c r="B116" t="s">
        <v>102</v>
      </c>
      <c r="C116" s="11">
        <f>-0.2</f>
        <v>-0.2</v>
      </c>
      <c r="D116" s="11">
        <f>-0.1</f>
        <v>-0.1</v>
      </c>
      <c r="E116" s="11">
        <f>-0.2</f>
        <v>-0.2</v>
      </c>
      <c r="F116" s="11">
        <f>-0.2</f>
        <v>-0.2</v>
      </c>
      <c r="G116" s="11">
        <f>-0.2</f>
        <v>-0.2</v>
      </c>
      <c r="H116" s="11"/>
    </row>
    <row r="117" spans="2:8" x14ac:dyDescent="0.2">
      <c r="B117" t="s">
        <v>103</v>
      </c>
      <c r="C117" s="11">
        <f>-0.5</f>
        <v>-0.5</v>
      </c>
      <c r="D117" s="11">
        <f>-0.5</f>
        <v>-0.5</v>
      </c>
      <c r="E117" s="11">
        <f>-0.5</f>
        <v>-0.5</v>
      </c>
      <c r="F117" s="11">
        <f>-0.5</f>
        <v>-0.5</v>
      </c>
      <c r="G117" s="11">
        <f>-0.4</f>
        <v>-0.4</v>
      </c>
      <c r="H117" s="11"/>
    </row>
    <row r="118" spans="2:8" x14ac:dyDescent="0.2">
      <c r="B118" t="s">
        <v>100</v>
      </c>
      <c r="C118" s="11">
        <f>0</f>
        <v>0</v>
      </c>
      <c r="D118" s="11">
        <f>-0.1</f>
        <v>-0.1</v>
      </c>
      <c r="E118" s="11">
        <f>-0.4</f>
        <v>-0.4</v>
      </c>
      <c r="F118" s="11">
        <f>-0.4</f>
        <v>-0.4</v>
      </c>
      <c r="G118" s="11">
        <f>-0.4</f>
        <v>-0.4</v>
      </c>
      <c r="H118" s="11"/>
    </row>
    <row r="119" spans="2:8" ht="15" x14ac:dyDescent="0.35">
      <c r="B119" t="s">
        <v>105</v>
      </c>
      <c r="C119" s="5">
        <v>3</v>
      </c>
      <c r="D119" s="5">
        <f>0</f>
        <v>0</v>
      </c>
      <c r="E119" s="5">
        <f>0</f>
        <v>0</v>
      </c>
      <c r="F119" s="5">
        <f>0</f>
        <v>0</v>
      </c>
      <c r="G119" s="5">
        <f>0</f>
        <v>0</v>
      </c>
      <c r="H119" s="5"/>
    </row>
    <row r="120" spans="2:8" x14ac:dyDescent="0.2">
      <c r="B120" t="s">
        <v>80</v>
      </c>
      <c r="C120" s="3">
        <f>SUM(C114:C119)</f>
        <v>-3.3999999999999995</v>
      </c>
      <c r="D120" s="3">
        <f>SUM(D114:D119)</f>
        <v>-5.7999999999999989</v>
      </c>
      <c r="E120" s="3">
        <f>SUM(E114:E119)</f>
        <v>-7.0000000000000009</v>
      </c>
      <c r="F120" s="3">
        <f>SUM(F114:F119)</f>
        <v>-6.8</v>
      </c>
      <c r="G120" s="3">
        <f>SUM(G114:G119)</f>
        <v>-6.8000000000000007</v>
      </c>
      <c r="H120" s="3">
        <f>SUM(H114:H115)</f>
        <v>0</v>
      </c>
    </row>
    <row r="121" spans="2:8" x14ac:dyDescent="0.2">
      <c r="B121" t="s">
        <v>75</v>
      </c>
      <c r="C121" s="3">
        <v>-18.2</v>
      </c>
      <c r="D121" s="3">
        <v>-19</v>
      </c>
      <c r="E121" s="3">
        <v>-19.5</v>
      </c>
      <c r="F121" s="3">
        <v>-20.5</v>
      </c>
      <c r="G121" s="3">
        <v>-22</v>
      </c>
      <c r="H121" s="3">
        <v>0</v>
      </c>
    </row>
    <row r="122" spans="2:8" x14ac:dyDescent="0.2">
      <c r="B122" t="s">
        <v>106</v>
      </c>
      <c r="C122" s="3"/>
      <c r="D122" s="3"/>
      <c r="E122" s="3">
        <f>-0.2</f>
        <v>-0.2</v>
      </c>
      <c r="F122" s="3">
        <f>-0.2</f>
        <v>-0.2</v>
      </c>
      <c r="G122" s="3">
        <f>-0.2</f>
        <v>-0.2</v>
      </c>
      <c r="H122" s="3"/>
    </row>
    <row r="123" spans="2:8" x14ac:dyDescent="0.2">
      <c r="B123" t="s">
        <v>122</v>
      </c>
      <c r="C123" s="3"/>
      <c r="D123" s="3"/>
      <c r="E123" s="3">
        <v>0.2</v>
      </c>
      <c r="F123" s="3"/>
      <c r="G123" s="3"/>
      <c r="H123" s="3"/>
    </row>
    <row r="124" spans="2:8" x14ac:dyDescent="0.2">
      <c r="B124" t="s">
        <v>76</v>
      </c>
      <c r="C124" s="3"/>
      <c r="D124" s="3"/>
      <c r="E124" s="3"/>
      <c r="F124" s="3"/>
      <c r="G124" s="3"/>
      <c r="H124" s="3"/>
    </row>
    <row r="125" spans="2:8" x14ac:dyDescent="0.2">
      <c r="B125" t="s">
        <v>77</v>
      </c>
      <c r="C125" s="3">
        <v>-8.6</v>
      </c>
      <c r="D125" s="3">
        <v>-9.1999999999999993</v>
      </c>
      <c r="E125" s="3">
        <v>-8.6999999999999993</v>
      </c>
      <c r="F125" s="3">
        <v>-8.5</v>
      </c>
      <c r="G125" s="3">
        <v>-9</v>
      </c>
      <c r="H125" s="3">
        <v>0</v>
      </c>
    </row>
    <row r="126" spans="2:8" ht="15" x14ac:dyDescent="0.35">
      <c r="B126" t="s">
        <v>78</v>
      </c>
      <c r="C126" s="5">
        <v>-2.2000000000000002</v>
      </c>
      <c r="D126" s="5">
        <v>-1.9</v>
      </c>
      <c r="E126" s="5">
        <v>-2.2000000000000002</v>
      </c>
      <c r="F126" s="5">
        <v>-2.4</v>
      </c>
      <c r="G126" s="5">
        <v>-2.5</v>
      </c>
      <c r="H126" s="5">
        <v>0</v>
      </c>
    </row>
    <row r="127" spans="2:8" ht="15" x14ac:dyDescent="0.35">
      <c r="B127" t="s">
        <v>79</v>
      </c>
      <c r="C127" s="5">
        <f t="shared" ref="C127:H127" si="21">SUM(C125:C126)</f>
        <v>-10.8</v>
      </c>
      <c r="D127" s="5">
        <f t="shared" si="21"/>
        <v>-11.1</v>
      </c>
      <c r="E127" s="5">
        <f t="shared" si="21"/>
        <v>-10.899999999999999</v>
      </c>
      <c r="F127" s="5">
        <f t="shared" si="21"/>
        <v>-10.9</v>
      </c>
      <c r="G127" s="5">
        <f t="shared" si="21"/>
        <v>-11.5</v>
      </c>
      <c r="H127" s="5">
        <f t="shared" si="21"/>
        <v>0</v>
      </c>
    </row>
    <row r="128" spans="2:8" ht="15" x14ac:dyDescent="0.35">
      <c r="B128" s="6" t="s">
        <v>88</v>
      </c>
      <c r="C128" s="5">
        <f t="shared" ref="C128:H128" si="22">+C120+C121+C127</f>
        <v>-32.4</v>
      </c>
      <c r="D128" s="5">
        <f t="shared" si="22"/>
        <v>-35.9</v>
      </c>
      <c r="E128" s="5">
        <f t="shared" si="22"/>
        <v>-37.4</v>
      </c>
      <c r="F128" s="5">
        <f t="shared" si="22"/>
        <v>-38.200000000000003</v>
      </c>
      <c r="G128" s="5">
        <f t="shared" si="22"/>
        <v>-40.299999999999997</v>
      </c>
      <c r="H128" s="5">
        <f t="shared" si="22"/>
        <v>0</v>
      </c>
    </row>
    <row r="129" spans="1:8" x14ac:dyDescent="0.2">
      <c r="B129" s="6"/>
      <c r="C129" s="3"/>
      <c r="D129" s="3"/>
      <c r="E129" s="3"/>
      <c r="F129" s="3"/>
      <c r="G129" s="3"/>
      <c r="H129" s="3"/>
    </row>
    <row r="130" spans="1:8" x14ac:dyDescent="0.2">
      <c r="A130" s="6" t="s">
        <v>81</v>
      </c>
      <c r="C130" s="3"/>
      <c r="D130" s="3"/>
      <c r="E130" s="3"/>
      <c r="F130" s="3"/>
      <c r="G130" s="3"/>
      <c r="H130" s="3"/>
    </row>
    <row r="131" spans="1:8" x14ac:dyDescent="0.2">
      <c r="B131" t="s">
        <v>82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B132" t="s">
        <v>83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B133" t="s">
        <v>84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x14ac:dyDescent="0.2">
      <c r="B134" t="s">
        <v>85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 ht="15" x14ac:dyDescent="0.35">
      <c r="B135" t="s">
        <v>7</v>
      </c>
      <c r="C135" s="5">
        <v>0.5</v>
      </c>
      <c r="D135" s="5">
        <v>0.6</v>
      </c>
      <c r="E135" s="5">
        <f>2.3+0.3</f>
        <v>2.5999999999999996</v>
      </c>
      <c r="F135" s="5">
        <v>0.4</v>
      </c>
      <c r="G135" s="5">
        <v>0</v>
      </c>
      <c r="H135" s="5">
        <v>0</v>
      </c>
    </row>
    <row r="136" spans="1:8" ht="15" x14ac:dyDescent="0.35">
      <c r="B136" t="s">
        <v>86</v>
      </c>
      <c r="C136" s="5">
        <f t="shared" ref="C136:H136" si="23">SUM(C131:C135)</f>
        <v>0.5</v>
      </c>
      <c r="D136" s="5">
        <f t="shared" si="23"/>
        <v>0.6</v>
      </c>
      <c r="E136" s="5">
        <f t="shared" si="23"/>
        <v>2.5999999999999996</v>
      </c>
      <c r="F136" s="5">
        <f t="shared" si="23"/>
        <v>0.4</v>
      </c>
      <c r="G136" s="5">
        <f t="shared" si="23"/>
        <v>0</v>
      </c>
      <c r="H136" s="5">
        <f t="shared" si="23"/>
        <v>0</v>
      </c>
    </row>
    <row r="137" spans="1:8" x14ac:dyDescent="0.2">
      <c r="C137" s="3"/>
      <c r="D137" s="3"/>
      <c r="E137" s="3"/>
      <c r="F137" s="3"/>
      <c r="G137" s="3"/>
      <c r="H137" s="3"/>
    </row>
    <row r="138" spans="1:8" x14ac:dyDescent="0.2">
      <c r="A138" s="6" t="s">
        <v>87</v>
      </c>
      <c r="C138" s="3">
        <f t="shared" ref="C138:H138" si="24">+C110+C128+C136</f>
        <v>88.000000000000028</v>
      </c>
      <c r="D138" s="3">
        <f t="shared" si="24"/>
        <v>84.847000000000008</v>
      </c>
      <c r="E138" s="3">
        <f t="shared" si="24"/>
        <v>90.9</v>
      </c>
      <c r="F138" s="3">
        <f t="shared" si="24"/>
        <v>89.499999999999986</v>
      </c>
      <c r="G138" s="3">
        <f t="shared" si="24"/>
        <v>102.00000000000004</v>
      </c>
      <c r="H138" s="3">
        <f t="shared" si="24"/>
        <v>170.70000000000002</v>
      </c>
    </row>
  </sheetData>
  <printOptions horizontalCentered="1"/>
  <pageMargins left="0" right="0" top="0.25" bottom="0.25" header="0" footer="0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opLeftCell="A19" zoomScaleNormal="100" workbookViewId="0">
      <selection activeCell="H32" sqref="H32"/>
    </sheetView>
  </sheetViews>
  <sheetFormatPr defaultRowHeight="12.75" x14ac:dyDescent="0.2"/>
  <cols>
    <col min="1" max="1" width="5.7109375" customWidth="1"/>
    <col min="2" max="2" width="28.140625" bestFit="1" customWidth="1"/>
  </cols>
  <sheetData>
    <row r="1" spans="1:8" x14ac:dyDescent="0.2">
      <c r="A1" s="6" t="s">
        <v>28</v>
      </c>
      <c r="C1" s="13"/>
      <c r="D1" s="13"/>
      <c r="E1" s="13"/>
      <c r="G1" s="13"/>
    </row>
    <row r="2" spans="1:8" x14ac:dyDescent="0.2">
      <c r="C2" s="14">
        <v>1998</v>
      </c>
      <c r="D2" s="14">
        <v>1999</v>
      </c>
      <c r="E2" s="14">
        <v>2000</v>
      </c>
      <c r="F2" s="1">
        <v>2000</v>
      </c>
      <c r="G2" s="14">
        <v>2001</v>
      </c>
      <c r="H2" s="1">
        <v>2001</v>
      </c>
    </row>
    <row r="3" spans="1:8" x14ac:dyDescent="0.2">
      <c r="A3" s="15" t="s">
        <v>125</v>
      </c>
      <c r="C3" s="16" t="s">
        <v>0</v>
      </c>
      <c r="D3" s="16" t="s">
        <v>0</v>
      </c>
      <c r="E3" s="16" t="s">
        <v>1</v>
      </c>
      <c r="F3" s="2" t="s">
        <v>2</v>
      </c>
      <c r="G3" s="16" t="s">
        <v>1</v>
      </c>
      <c r="H3" s="2" t="s">
        <v>26</v>
      </c>
    </row>
    <row r="4" spans="1:8" x14ac:dyDescent="0.2">
      <c r="A4" s="9" t="s">
        <v>47</v>
      </c>
      <c r="C4" s="17"/>
      <c r="D4" s="17"/>
      <c r="E4" s="17"/>
      <c r="F4" s="3"/>
      <c r="G4" s="17"/>
      <c r="H4" s="3"/>
    </row>
    <row r="5" spans="1:8" x14ac:dyDescent="0.2">
      <c r="A5" s="10" t="s">
        <v>48</v>
      </c>
      <c r="B5" s="7"/>
      <c r="C5" s="13"/>
      <c r="D5" s="17"/>
      <c r="E5" s="17"/>
      <c r="F5" s="3"/>
      <c r="G5" s="17"/>
      <c r="H5" s="3"/>
    </row>
    <row r="6" spans="1:8" x14ac:dyDescent="0.2">
      <c r="A6" s="7"/>
      <c r="B6" s="7" t="s">
        <v>32</v>
      </c>
      <c r="C6" s="13"/>
      <c r="D6" s="17"/>
      <c r="E6" s="17"/>
      <c r="F6" s="3"/>
      <c r="G6" s="17"/>
      <c r="H6" s="3"/>
    </row>
    <row r="7" spans="1:8" x14ac:dyDescent="0.2">
      <c r="A7" s="7"/>
      <c r="B7" s="7" t="s">
        <v>41</v>
      </c>
      <c r="C7" s="18">
        <f>[1]Citrus!C7</f>
        <v>122.0693</v>
      </c>
      <c r="D7" s="18">
        <f>[1]Citrus!D7</f>
        <v>122.7</v>
      </c>
      <c r="E7" s="18">
        <f>[1]Citrus!E7</f>
        <v>123.1</v>
      </c>
      <c r="F7" s="19">
        <f>[1]Citrus!F7</f>
        <v>123.4</v>
      </c>
      <c r="G7" s="18">
        <f>[1]Citrus!G7</f>
        <v>123.1</v>
      </c>
      <c r="H7" s="3"/>
    </row>
    <row r="8" spans="1:8" x14ac:dyDescent="0.2">
      <c r="A8" s="7"/>
      <c r="B8" s="7" t="s">
        <v>42</v>
      </c>
      <c r="C8" s="18">
        <f>[1]Citrus!C8</f>
        <v>8.5322999999999993</v>
      </c>
      <c r="D8" s="18">
        <f>[1]Citrus!D8</f>
        <v>9.5</v>
      </c>
      <c r="E8" s="18">
        <f>[1]Citrus!E8</f>
        <v>8.8490000000000002</v>
      </c>
      <c r="F8" s="19">
        <f>[1]Citrus!F8</f>
        <v>9.6999999999999993</v>
      </c>
      <c r="G8" s="18">
        <f>[1]Citrus!G8</f>
        <v>9.4</v>
      </c>
      <c r="H8" s="3"/>
    </row>
    <row r="9" spans="1:8" x14ac:dyDescent="0.2">
      <c r="A9" s="7"/>
      <c r="B9" s="7" t="s">
        <v>33</v>
      </c>
      <c r="C9" s="17">
        <v>0</v>
      </c>
      <c r="D9" s="17">
        <v>0</v>
      </c>
      <c r="E9" s="17">
        <v>0</v>
      </c>
      <c r="F9" s="3">
        <v>0</v>
      </c>
      <c r="G9" s="17">
        <v>0</v>
      </c>
      <c r="H9" s="3"/>
    </row>
    <row r="10" spans="1:8" x14ac:dyDescent="0.2">
      <c r="A10" s="7"/>
      <c r="B10" s="7" t="s">
        <v>41</v>
      </c>
      <c r="C10" s="18">
        <f>[1]Citrus!C10</f>
        <v>157.09560000000002</v>
      </c>
      <c r="D10" s="18">
        <f>[1]Citrus!D10</f>
        <v>156.1</v>
      </c>
      <c r="E10" s="18">
        <f>[1]Citrus!E10</f>
        <v>153.80000000000001</v>
      </c>
      <c r="F10" s="19">
        <f>[1]Citrus!F10</f>
        <v>156.5</v>
      </c>
      <c r="G10" s="18">
        <f>[1]Citrus!G10</f>
        <v>139.9</v>
      </c>
      <c r="H10" s="3"/>
    </row>
    <row r="11" spans="1:8" x14ac:dyDescent="0.2">
      <c r="A11" s="7"/>
      <c r="B11" s="7" t="s">
        <v>42</v>
      </c>
      <c r="C11" s="18">
        <f>[1]Citrus!C11</f>
        <v>2.9611000000000001</v>
      </c>
      <c r="D11" s="18">
        <f>[1]Citrus!D11</f>
        <v>3.1</v>
      </c>
      <c r="E11" s="18">
        <f>[1]Citrus!E11</f>
        <v>3.3</v>
      </c>
      <c r="F11" s="19">
        <f>[1]Citrus!F11</f>
        <v>3.4</v>
      </c>
      <c r="G11" s="18">
        <f>[1]Citrus!G11</f>
        <v>3.2</v>
      </c>
      <c r="H11" s="3"/>
    </row>
    <row r="12" spans="1:8" x14ac:dyDescent="0.2">
      <c r="A12" s="7"/>
      <c r="B12" s="7" t="s">
        <v>72</v>
      </c>
      <c r="C12" s="17">
        <v>0</v>
      </c>
      <c r="D12" s="17">
        <v>0</v>
      </c>
      <c r="E12" s="17">
        <v>0</v>
      </c>
      <c r="F12" s="3">
        <v>0</v>
      </c>
      <c r="G12" s="17">
        <v>0</v>
      </c>
      <c r="H12" s="3"/>
    </row>
    <row r="13" spans="1:8" x14ac:dyDescent="0.2">
      <c r="A13" s="7"/>
      <c r="B13" s="7" t="s">
        <v>41</v>
      </c>
      <c r="C13" s="17">
        <v>0</v>
      </c>
      <c r="D13" s="17">
        <v>0</v>
      </c>
      <c r="E13" s="17">
        <f>[1]Citrus!E13</f>
        <v>0.7</v>
      </c>
      <c r="F13" s="3">
        <f>[1]Citrus!F13</f>
        <v>1.4</v>
      </c>
      <c r="G13" s="17">
        <f>[1]Citrus!G13</f>
        <v>50.4</v>
      </c>
      <c r="H13" s="3"/>
    </row>
    <row r="14" spans="1:8" x14ac:dyDescent="0.2">
      <c r="A14" s="7"/>
      <c r="B14" s="7" t="s">
        <v>42</v>
      </c>
      <c r="C14" s="17">
        <v>0</v>
      </c>
      <c r="D14" s="17">
        <v>0</v>
      </c>
      <c r="E14" s="17">
        <f>[1]Citrus!E14</f>
        <v>2E-3</v>
      </c>
      <c r="F14" s="3">
        <f>[1]Citrus!F14</f>
        <v>2.3E-3</v>
      </c>
      <c r="G14" s="17">
        <f>[1]Citrus!G14</f>
        <v>1</v>
      </c>
      <c r="H14" s="3"/>
    </row>
    <row r="15" spans="1:8" x14ac:dyDescent="0.2">
      <c r="A15" s="7"/>
      <c r="B15" s="7" t="s">
        <v>73</v>
      </c>
      <c r="C15" s="17">
        <v>0</v>
      </c>
      <c r="D15" s="17">
        <v>0</v>
      </c>
      <c r="E15" s="17">
        <v>0</v>
      </c>
      <c r="F15" s="3">
        <v>0</v>
      </c>
      <c r="G15" s="17">
        <v>0</v>
      </c>
      <c r="H15" s="3"/>
    </row>
    <row r="16" spans="1:8" x14ac:dyDescent="0.2">
      <c r="A16" s="7"/>
      <c r="B16" s="7" t="s">
        <v>34</v>
      </c>
      <c r="C16" s="18">
        <f>[1]Citrus!C16</f>
        <v>3.9339999999999997</v>
      </c>
      <c r="D16" s="18">
        <f>[1]Citrus!D16</f>
        <v>6</v>
      </c>
      <c r="E16" s="18">
        <f>[1]Citrus!E16</f>
        <v>4.2</v>
      </c>
      <c r="F16" s="19">
        <f>[1]Citrus!F16</f>
        <v>5.6</v>
      </c>
      <c r="G16" s="18">
        <f>[1]Citrus!G16</f>
        <v>3.351</v>
      </c>
      <c r="H16" s="3"/>
    </row>
    <row r="17" spans="1:17" x14ac:dyDescent="0.2">
      <c r="A17" s="7"/>
      <c r="B17" s="7" t="s">
        <v>35</v>
      </c>
      <c r="C17" s="20">
        <f>[1]Citrus!C17</f>
        <v>-7.2</v>
      </c>
      <c r="D17" s="20">
        <f>[1]Citrus!D17</f>
        <v>-7.2</v>
      </c>
      <c r="E17" s="20">
        <f>[1]Citrus!E17</f>
        <v>-7.2</v>
      </c>
      <c r="F17" s="21">
        <f>[1]Citrus!F17</f>
        <v>-6.6</v>
      </c>
      <c r="G17" s="20">
        <f>[1]Citrus!G17</f>
        <v>-6.6</v>
      </c>
      <c r="H17" s="8">
        <v>-6.5</v>
      </c>
    </row>
    <row r="18" spans="1:17" x14ac:dyDescent="0.2">
      <c r="A18" s="6"/>
      <c r="B18" s="10" t="s">
        <v>25</v>
      </c>
      <c r="C18" s="17">
        <f t="shared" ref="C18:G18" si="0">SUM(C5:C17)</f>
        <v>287.39230000000003</v>
      </c>
      <c r="D18" s="17">
        <f t="shared" si="0"/>
        <v>290.2</v>
      </c>
      <c r="E18" s="22">
        <f t="shared" si="0"/>
        <v>286.75100000000003</v>
      </c>
      <c r="F18" s="3">
        <f t="shared" si="0"/>
        <v>293.40229999999997</v>
      </c>
      <c r="G18" s="17">
        <f t="shared" si="0"/>
        <v>323.75099999999992</v>
      </c>
      <c r="H18" s="3">
        <f>+E18</f>
        <v>286.75100000000003</v>
      </c>
      <c r="J18" s="7"/>
      <c r="K18" s="7"/>
      <c r="M18" s="3"/>
      <c r="N18" s="3"/>
      <c r="O18" s="3"/>
      <c r="P18" s="3"/>
      <c r="Q18" s="3"/>
    </row>
    <row r="19" spans="1:17" x14ac:dyDescent="0.2">
      <c r="A19" s="6" t="s">
        <v>8</v>
      </c>
      <c r="C19" s="17"/>
      <c r="D19" s="17"/>
      <c r="E19" s="17"/>
      <c r="F19" s="3"/>
      <c r="G19" s="17"/>
      <c r="H19" s="3"/>
      <c r="J19" s="7"/>
      <c r="L19" s="4"/>
      <c r="M19" s="4"/>
      <c r="N19" s="4"/>
      <c r="O19" s="4"/>
      <c r="P19" s="4"/>
      <c r="Q19" s="4"/>
    </row>
    <row r="20" spans="1:17" x14ac:dyDescent="0.2">
      <c r="B20" t="s">
        <v>74</v>
      </c>
      <c r="C20" s="17">
        <v>-1.1000000000000001</v>
      </c>
      <c r="D20" s="17">
        <v>-1.2</v>
      </c>
      <c r="E20" s="17">
        <v>-1.3</v>
      </c>
      <c r="F20" s="3">
        <v>-1.3</v>
      </c>
      <c r="G20" s="17">
        <v>-1.5</v>
      </c>
      <c r="H20" s="3">
        <f>+E20</f>
        <v>-1.3</v>
      </c>
    </row>
    <row r="21" spans="1:17" x14ac:dyDescent="0.2">
      <c r="B21" t="s">
        <v>126</v>
      </c>
      <c r="C21" s="17">
        <v>0</v>
      </c>
      <c r="D21" s="23">
        <f>SUM(-'[2]0705 BACKUP'!$E$14-'[2]0705 BACKUP'!$E$38-'[2]0705 BACKUP'!$E$40)/1000000</f>
        <v>-1.643556</v>
      </c>
      <c r="E21" s="23">
        <f>SUM(-'[2]0705 BACKUP'!$E$14-'[2]0705 BACKUP'!$E$38-'[2]0705 BACKUP'!$E$40)/1000000</f>
        <v>-1.643556</v>
      </c>
      <c r="F21" s="24">
        <f>SUM(-'[2]0705 BACKUP'!$H$14-'[2]0705 BACKUP'!$H$38-'[2]0705 BACKUP'!$H$40)/1000000</f>
        <v>-1.6435439999999999</v>
      </c>
      <c r="G21" s="23">
        <f>SUM(-'[2]0705 BACKUP'!$I$14-'[2]0705 BACKUP'!$I$38-'[2]0705 BACKUP'!$I$40)/1000000</f>
        <v>-1.643556</v>
      </c>
      <c r="H21" s="3">
        <f>+E21</f>
        <v>-1.643556</v>
      </c>
    </row>
    <row r="22" spans="1:17" x14ac:dyDescent="0.2">
      <c r="B22" t="s">
        <v>11</v>
      </c>
      <c r="C22" s="17">
        <v>0</v>
      </c>
      <c r="D22" s="17"/>
      <c r="E22" s="17"/>
      <c r="F22" s="3"/>
      <c r="G22" s="17"/>
      <c r="H22" s="3"/>
    </row>
    <row r="23" spans="1:17" x14ac:dyDescent="0.2">
      <c r="B23" t="s">
        <v>17</v>
      </c>
      <c r="C23" s="22">
        <f>-2.457-0.571-0.222</f>
        <v>-3.2499999999999996</v>
      </c>
      <c r="D23" s="17">
        <f>-'[3]summary w_99 Actuals'!$C$19/1000</f>
        <v>-3.189298</v>
      </c>
      <c r="E23" s="17">
        <f>-'[3]summary w_99 Actuals'!$D$19/1000</f>
        <v>-3.4064182999999999</v>
      </c>
      <c r="F23" s="3">
        <f>-'[3]summary w_99 Actuals'!$E$19/1000</f>
        <v>-2.8183924200000003</v>
      </c>
      <c r="G23" s="17">
        <f>-'[3]summary w_99 Actuals'!$F$19/1000</f>
        <v>-2.8002628000000001</v>
      </c>
      <c r="H23" s="3">
        <f>+E23*0.95</f>
        <v>-3.2360973849999999</v>
      </c>
    </row>
    <row r="24" spans="1:17" ht="15" x14ac:dyDescent="0.35">
      <c r="B24" t="s">
        <v>7</v>
      </c>
      <c r="C24" s="25">
        <v>0</v>
      </c>
      <c r="D24" s="25">
        <v>0</v>
      </c>
      <c r="E24" s="25">
        <v>0</v>
      </c>
      <c r="F24" s="5">
        <v>0</v>
      </c>
      <c r="G24" s="25">
        <v>0</v>
      </c>
      <c r="H24" s="5">
        <v>0</v>
      </c>
    </row>
    <row r="25" spans="1:17" ht="15" x14ac:dyDescent="0.35">
      <c r="B25" s="6" t="s">
        <v>19</v>
      </c>
      <c r="C25" s="25">
        <f t="shared" ref="C25:H25" si="1">SUM(C20:C24)</f>
        <v>-4.3499999999999996</v>
      </c>
      <c r="D25" s="25">
        <f t="shared" si="1"/>
        <v>-6.0328540000000004</v>
      </c>
      <c r="E25" s="25">
        <f t="shared" si="1"/>
        <v>-6.3499742999999995</v>
      </c>
      <c r="F25" s="5">
        <f t="shared" si="1"/>
        <v>-5.7619364200000005</v>
      </c>
      <c r="G25" s="25">
        <f t="shared" si="1"/>
        <v>-5.9438188000000007</v>
      </c>
      <c r="H25" s="5">
        <f t="shared" si="1"/>
        <v>-6.1796533849999999</v>
      </c>
    </row>
    <row r="26" spans="1:17" x14ac:dyDescent="0.2">
      <c r="A26" s="6" t="s">
        <v>18</v>
      </c>
      <c r="C26" s="17">
        <f t="shared" ref="C26:H26" si="2">+C18+C25</f>
        <v>283.04230000000001</v>
      </c>
      <c r="D26" s="17">
        <f t="shared" si="2"/>
        <v>284.167146</v>
      </c>
      <c r="E26" s="17">
        <f t="shared" si="2"/>
        <v>280.40102570000005</v>
      </c>
      <c r="F26" s="3">
        <f t="shared" si="2"/>
        <v>287.64036357999998</v>
      </c>
      <c r="G26" s="17">
        <f t="shared" si="2"/>
        <v>317.80718119999995</v>
      </c>
      <c r="H26" s="3">
        <f t="shared" si="2"/>
        <v>280.57134661500004</v>
      </c>
    </row>
    <row r="27" spans="1:17" x14ac:dyDescent="0.2">
      <c r="A27" s="6" t="s">
        <v>20</v>
      </c>
      <c r="C27" s="17"/>
      <c r="D27" s="17"/>
      <c r="E27" s="17"/>
      <c r="F27" s="3"/>
      <c r="G27" s="17"/>
      <c r="H27" s="3"/>
    </row>
    <row r="28" spans="1:17" x14ac:dyDescent="0.2">
      <c r="B28" t="s">
        <v>36</v>
      </c>
      <c r="C28" s="17">
        <v>0</v>
      </c>
      <c r="D28" s="17">
        <v>-0.5</v>
      </c>
      <c r="E28" s="17">
        <v>9.4</v>
      </c>
      <c r="F28" s="3">
        <v>-1.3</v>
      </c>
      <c r="G28" s="17">
        <v>0</v>
      </c>
      <c r="H28" s="3">
        <v>0</v>
      </c>
    </row>
    <row r="29" spans="1:17" x14ac:dyDescent="0.2">
      <c r="B29" t="s">
        <v>22</v>
      </c>
      <c r="C29" s="17">
        <v>0.5</v>
      </c>
      <c r="D29" s="17">
        <v>1</v>
      </c>
      <c r="E29" s="17">
        <v>3.1</v>
      </c>
      <c r="F29" s="3">
        <v>0.5</v>
      </c>
      <c r="G29" s="17">
        <v>0.5</v>
      </c>
      <c r="H29" s="3">
        <v>0</v>
      </c>
    </row>
    <row r="30" spans="1:17" ht="15" x14ac:dyDescent="0.35">
      <c r="B30" t="s">
        <v>7</v>
      </c>
      <c r="C30" s="25">
        <v>0</v>
      </c>
      <c r="D30" s="25">
        <v>0</v>
      </c>
      <c r="E30" s="25">
        <v>0</v>
      </c>
      <c r="F30" s="5">
        <v>0</v>
      </c>
      <c r="G30" s="25">
        <v>0</v>
      </c>
      <c r="H30" s="5">
        <v>9.6999999999999993</v>
      </c>
    </row>
    <row r="31" spans="1:17" ht="15" x14ac:dyDescent="0.35">
      <c r="B31" s="6" t="s">
        <v>24</v>
      </c>
      <c r="C31" s="25">
        <f t="shared" ref="C31:H31" si="3">SUM(C28:C30)</f>
        <v>0.5</v>
      </c>
      <c r="D31" s="25">
        <f t="shared" si="3"/>
        <v>0.5</v>
      </c>
      <c r="E31" s="25">
        <f t="shared" si="3"/>
        <v>12.5</v>
      </c>
      <c r="F31" s="5">
        <f t="shared" si="3"/>
        <v>-0.8</v>
      </c>
      <c r="G31" s="25">
        <f t="shared" si="3"/>
        <v>0.5</v>
      </c>
      <c r="H31" s="5">
        <f t="shared" si="3"/>
        <v>9.6999999999999993</v>
      </c>
    </row>
    <row r="32" spans="1:17" ht="15" x14ac:dyDescent="0.35">
      <c r="A32" s="6" t="s">
        <v>49</v>
      </c>
      <c r="C32" s="25">
        <f t="shared" ref="C32:H32" si="4">+C26+C31</f>
        <v>283.54230000000001</v>
      </c>
      <c r="D32" s="25">
        <f t="shared" si="4"/>
        <v>284.667146</v>
      </c>
      <c r="E32" s="25">
        <f t="shared" si="4"/>
        <v>292.90102570000005</v>
      </c>
      <c r="F32" s="5">
        <f t="shared" si="4"/>
        <v>286.84036357999997</v>
      </c>
      <c r="G32" s="25">
        <f t="shared" si="4"/>
        <v>318.30718119999995</v>
      </c>
      <c r="H32" s="5">
        <f t="shared" si="4"/>
        <v>290.27134661500003</v>
      </c>
    </row>
    <row r="33" spans="1:8" x14ac:dyDescent="0.2">
      <c r="C33" s="13"/>
      <c r="D33" s="13"/>
      <c r="E33" s="13"/>
      <c r="G33" s="13"/>
    </row>
    <row r="34" spans="1:8" x14ac:dyDescent="0.2">
      <c r="A34" s="9" t="s">
        <v>43</v>
      </c>
      <c r="C34" s="17"/>
      <c r="D34" s="17"/>
      <c r="E34" s="17"/>
      <c r="F34" s="3"/>
      <c r="G34" s="17"/>
      <c r="H34" s="3"/>
    </row>
    <row r="35" spans="1:8" x14ac:dyDescent="0.2">
      <c r="A35" s="6" t="s">
        <v>40</v>
      </c>
      <c r="C35" s="17">
        <v>0</v>
      </c>
      <c r="D35" s="17">
        <v>0</v>
      </c>
      <c r="E35" s="17">
        <v>0</v>
      </c>
      <c r="F35" s="3">
        <v>0</v>
      </c>
      <c r="G35" s="17">
        <v>0</v>
      </c>
      <c r="H35" s="3">
        <v>0</v>
      </c>
    </row>
    <row r="36" spans="1:8" x14ac:dyDescent="0.2">
      <c r="A36" s="6" t="s">
        <v>8</v>
      </c>
      <c r="C36" s="17"/>
      <c r="D36" s="17"/>
      <c r="E36" s="17"/>
      <c r="F36" s="3"/>
      <c r="G36" s="17"/>
      <c r="H36" s="3"/>
    </row>
    <row r="37" spans="1:8" x14ac:dyDescent="0.2">
      <c r="B37" t="s">
        <v>38</v>
      </c>
      <c r="C37" s="17">
        <v>-2.8170000000000002</v>
      </c>
      <c r="D37" s="17">
        <f>-'[3]summary w_99 Actuals'!$C$22/1000</f>
        <v>-2.657883</v>
      </c>
      <c r="E37" s="17">
        <f>-'[3]summary w_99 Actuals'!$D$22/1000</f>
        <v>-2.8445960000000001</v>
      </c>
      <c r="F37" s="3">
        <f>-'[3]summary w_99 Actuals'!$E$22/1000</f>
        <v>-2.9387342499999995</v>
      </c>
      <c r="G37" s="17">
        <f>-'[3]summary w_99 Actuals'!$F$22/1000</f>
        <v>-2.8800279999999998</v>
      </c>
      <c r="H37" s="3"/>
    </row>
    <row r="38" spans="1:8" x14ac:dyDescent="0.2">
      <c r="B38" t="s">
        <v>127</v>
      </c>
      <c r="C38" s="17">
        <v>0</v>
      </c>
      <c r="D38" s="17">
        <v>0</v>
      </c>
      <c r="E38" s="17">
        <v>-0.6</v>
      </c>
      <c r="F38" s="3">
        <v>-0.6</v>
      </c>
      <c r="G38" s="17">
        <v>-0.6</v>
      </c>
      <c r="H38" s="3">
        <v>0</v>
      </c>
    </row>
    <row r="39" spans="1:8" ht="15" x14ac:dyDescent="0.35">
      <c r="B39" t="s">
        <v>45</v>
      </c>
      <c r="C39" s="25">
        <v>0</v>
      </c>
      <c r="D39" s="25">
        <v>0</v>
      </c>
      <c r="E39" s="25">
        <v>0</v>
      </c>
      <c r="F39" s="5">
        <v>0</v>
      </c>
      <c r="G39" s="25">
        <v>0</v>
      </c>
      <c r="H39" s="5">
        <v>0</v>
      </c>
    </row>
    <row r="40" spans="1:8" ht="15" x14ac:dyDescent="0.35">
      <c r="B40" s="6" t="s">
        <v>19</v>
      </c>
      <c r="C40" s="25">
        <f t="shared" ref="C40:H40" si="5">SUM(C37:C39)</f>
        <v>-2.8170000000000002</v>
      </c>
      <c r="D40" s="25">
        <f t="shared" si="5"/>
        <v>-2.657883</v>
      </c>
      <c r="E40" s="25">
        <f t="shared" si="5"/>
        <v>-3.4445960000000002</v>
      </c>
      <c r="F40" s="5">
        <f t="shared" si="5"/>
        <v>-3.5387342499999996</v>
      </c>
      <c r="G40" s="25">
        <f t="shared" si="5"/>
        <v>-3.4800279999999999</v>
      </c>
      <c r="H40" s="5">
        <f t="shared" si="5"/>
        <v>0</v>
      </c>
    </row>
    <row r="41" spans="1:8" ht="15" x14ac:dyDescent="0.35">
      <c r="A41" s="6" t="s">
        <v>50</v>
      </c>
      <c r="C41" s="25">
        <f t="shared" ref="C41:H41" si="6">+C35+C40</f>
        <v>-2.8170000000000002</v>
      </c>
      <c r="D41" s="25">
        <f t="shared" si="6"/>
        <v>-2.657883</v>
      </c>
      <c r="E41" s="25">
        <f t="shared" si="6"/>
        <v>-3.4445960000000002</v>
      </c>
      <c r="F41" s="5">
        <f t="shared" si="6"/>
        <v>-3.5387342499999996</v>
      </c>
      <c r="G41" s="25">
        <f t="shared" si="6"/>
        <v>-3.4800279999999999</v>
      </c>
      <c r="H41" s="5">
        <f t="shared" si="6"/>
        <v>0</v>
      </c>
    </row>
    <row r="42" spans="1:8" ht="15" x14ac:dyDescent="0.35">
      <c r="A42" s="6"/>
      <c r="C42" s="25"/>
      <c r="D42" s="25"/>
      <c r="E42" s="25"/>
      <c r="F42" s="5"/>
      <c r="G42" s="25"/>
      <c r="H42" s="5"/>
    </row>
    <row r="43" spans="1:8" ht="15" x14ac:dyDescent="0.35">
      <c r="A43" s="6" t="s">
        <v>51</v>
      </c>
      <c r="C43" s="25">
        <f t="shared" ref="C43:H43" si="7">+C32+C41</f>
        <v>280.7253</v>
      </c>
      <c r="D43" s="25">
        <f t="shared" si="7"/>
        <v>282.00926299999998</v>
      </c>
      <c r="E43" s="25">
        <f t="shared" si="7"/>
        <v>289.45642970000006</v>
      </c>
      <c r="F43" s="5">
        <f t="shared" si="7"/>
        <v>283.30162932999997</v>
      </c>
      <c r="G43" s="25">
        <f t="shared" si="7"/>
        <v>314.82715319999994</v>
      </c>
      <c r="H43" s="5">
        <f t="shared" si="7"/>
        <v>290.27134661500003</v>
      </c>
    </row>
    <row r="44" spans="1:8" ht="15" x14ac:dyDescent="0.35">
      <c r="A44" s="6"/>
      <c r="C44" s="25"/>
      <c r="D44" s="25"/>
      <c r="E44" s="25"/>
      <c r="F44" s="5"/>
      <c r="G44" s="25"/>
      <c r="H44" s="5"/>
    </row>
    <row r="45" spans="1:8" x14ac:dyDescent="0.2">
      <c r="A45" s="9" t="s">
        <v>37</v>
      </c>
      <c r="C45" s="17"/>
      <c r="D45" s="17"/>
      <c r="E45" s="17"/>
      <c r="F45" s="3"/>
      <c r="G45" s="17"/>
      <c r="H45" s="3"/>
    </row>
    <row r="46" spans="1:8" x14ac:dyDescent="0.2">
      <c r="A46" s="6" t="s">
        <v>70</v>
      </c>
      <c r="C46" s="22">
        <v>0.2</v>
      </c>
      <c r="D46" s="22">
        <v>0.2</v>
      </c>
      <c r="E46" s="22">
        <v>0.2</v>
      </c>
      <c r="F46" s="11">
        <v>0.2</v>
      </c>
      <c r="G46" s="22">
        <v>0.1</v>
      </c>
      <c r="H46" s="11">
        <v>0.1</v>
      </c>
    </row>
    <row r="47" spans="1:8" x14ac:dyDescent="0.2">
      <c r="A47" s="6" t="s">
        <v>40</v>
      </c>
      <c r="C47" s="17">
        <v>0</v>
      </c>
      <c r="D47" s="17">
        <v>0</v>
      </c>
      <c r="E47" s="17">
        <v>0</v>
      </c>
      <c r="F47" s="3">
        <v>0</v>
      </c>
      <c r="G47" s="17">
        <v>0</v>
      </c>
      <c r="H47" s="3">
        <v>0</v>
      </c>
    </row>
    <row r="48" spans="1:8" x14ac:dyDescent="0.2">
      <c r="A48" s="6" t="s">
        <v>8</v>
      </c>
      <c r="C48" s="17"/>
      <c r="D48" s="17"/>
      <c r="E48" s="17"/>
      <c r="F48" s="3"/>
      <c r="G48" s="17"/>
      <c r="H48" s="3"/>
    </row>
    <row r="49" spans="1:8" x14ac:dyDescent="0.2">
      <c r="B49" t="s">
        <v>39</v>
      </c>
      <c r="C49" s="17">
        <v>-29.401</v>
      </c>
      <c r="D49" s="17">
        <f>-'[3]summary w_99 Actuals'!$C$13/1000</f>
        <v>-29.217476999999999</v>
      </c>
      <c r="E49" s="17">
        <f>-'[3]summary w_99 Actuals'!$D$13/1000</f>
        <v>-27.178000000000001</v>
      </c>
      <c r="F49" s="3">
        <f>-'[3]summary w_99 Actuals'!$E$13/1000</f>
        <v>-27.518903999999999</v>
      </c>
      <c r="G49" s="26">
        <f>-'[3]summary w_99 Actuals'!$F$13/1000-G54</f>
        <v>-27.168688</v>
      </c>
      <c r="H49" s="3"/>
    </row>
    <row r="50" spans="1:8" x14ac:dyDescent="0.2">
      <c r="B50" t="s">
        <v>90</v>
      </c>
      <c r="C50" s="17">
        <v>0</v>
      </c>
      <c r="D50" s="17">
        <v>0</v>
      </c>
      <c r="E50" s="17">
        <v>0</v>
      </c>
      <c r="F50" s="3">
        <v>0</v>
      </c>
      <c r="G50" s="17">
        <f>-'[3]summary w_99 Actuals'!$F$36/1000</f>
        <v>-0.7</v>
      </c>
      <c r="H50" s="3"/>
    </row>
    <row r="51" spans="1:8" x14ac:dyDescent="0.2">
      <c r="B51" t="s">
        <v>96</v>
      </c>
      <c r="C51" s="17">
        <v>0</v>
      </c>
      <c r="D51" s="17">
        <v>0</v>
      </c>
      <c r="E51" s="17">
        <v>0</v>
      </c>
      <c r="F51" s="3">
        <v>0</v>
      </c>
      <c r="G51" s="17">
        <v>0</v>
      </c>
      <c r="H51" s="3">
        <v>0</v>
      </c>
    </row>
    <row r="52" spans="1:8" x14ac:dyDescent="0.2">
      <c r="B52" t="s">
        <v>128</v>
      </c>
      <c r="C52" s="17">
        <v>-1.248</v>
      </c>
      <c r="D52" s="17">
        <f>-'[3]summary w_99 Actuals'!$C$66/1000</f>
        <v>-1.6242683099999999</v>
      </c>
      <c r="E52" s="17">
        <f>-'[3]summary w_99 Actuals'!$D$66/1000</f>
        <v>-1.3539909999999999</v>
      </c>
      <c r="F52" s="3">
        <f>-'[3]summary w_99 Actuals'!$E$66/1000</f>
        <v>-1.3539909999999999</v>
      </c>
      <c r="G52" s="17">
        <f>-'[3]summary w_99 Actuals'!$F$66/1000</f>
        <v>-1.4464269999999999</v>
      </c>
      <c r="H52" s="3"/>
    </row>
    <row r="53" spans="1:8" x14ac:dyDescent="0.2">
      <c r="B53" t="s">
        <v>129</v>
      </c>
      <c r="C53" s="17">
        <v>-0.375</v>
      </c>
      <c r="D53" s="17">
        <f>-'[3]summary w_99 Actuals'!$C$14/1000</f>
        <v>-0.38866923000000003</v>
      </c>
      <c r="E53" s="17">
        <f>-'[3]summary w_99 Actuals'!$D$14/1000</f>
        <v>-0.60499999999999998</v>
      </c>
      <c r="F53" s="3">
        <f>-'[3]summary w_99 Actuals'!$E$14/1000</f>
        <v>-0.60499999999999998</v>
      </c>
      <c r="G53" s="17">
        <f>-'[3]summary w_99 Actuals'!$F$14/1000</f>
        <v>-0.81740000000000002</v>
      </c>
      <c r="H53" s="3"/>
    </row>
    <row r="54" spans="1:8" x14ac:dyDescent="0.2">
      <c r="B54" t="s">
        <v>130</v>
      </c>
      <c r="C54" s="17">
        <v>0</v>
      </c>
      <c r="D54" s="17">
        <v>0</v>
      </c>
      <c r="E54" s="17">
        <v>0</v>
      </c>
      <c r="F54" s="3">
        <v>0</v>
      </c>
      <c r="G54" s="17">
        <v>-0.4</v>
      </c>
      <c r="H54" s="3"/>
    </row>
    <row r="55" spans="1:8" x14ac:dyDescent="0.2">
      <c r="B55" t="s">
        <v>131</v>
      </c>
      <c r="C55" s="17">
        <f>-0.113</f>
        <v>-0.113</v>
      </c>
      <c r="D55" s="17">
        <f>SUM(-'[3]summary w_99 Actuals'!$C$51)/1000</f>
        <v>-9.2364760000000004E-2</v>
      </c>
      <c r="E55" s="17">
        <f>SUM(-'[3]summary w_99 Actuals'!$D$51)/1000</f>
        <v>-5.8999999999999997E-2</v>
      </c>
      <c r="F55" s="3">
        <f>SUM(-'[3]summary w_99 Actuals'!$E$51)/1000</f>
        <v>-0.10267799999999999</v>
      </c>
      <c r="G55" s="17">
        <f>SUM(-'[3]summary w_99 Actuals'!$F$51)/1000</f>
        <v>-5.8999999999999997E-2</v>
      </c>
      <c r="H55" s="3"/>
    </row>
    <row r="56" spans="1:8" ht="15" x14ac:dyDescent="0.35">
      <c r="B56" t="s">
        <v>45</v>
      </c>
      <c r="C56" s="25">
        <v>0</v>
      </c>
      <c r="D56" s="25">
        <v>0</v>
      </c>
      <c r="E56" s="25">
        <v>0</v>
      </c>
      <c r="F56" s="5">
        <v>0</v>
      </c>
      <c r="G56" s="25">
        <v>-0.1</v>
      </c>
      <c r="H56" s="5">
        <v>0</v>
      </c>
    </row>
    <row r="57" spans="1:8" ht="15" x14ac:dyDescent="0.35">
      <c r="B57" s="6" t="s">
        <v>19</v>
      </c>
      <c r="C57" s="25">
        <f t="shared" ref="C57:H57" si="8">SUM(C49:C56)</f>
        <v>-31.137</v>
      </c>
      <c r="D57" s="25">
        <f t="shared" si="8"/>
        <v>-31.322779300000001</v>
      </c>
      <c r="E57" s="25">
        <f t="shared" si="8"/>
        <v>-29.195991000000003</v>
      </c>
      <c r="F57" s="5">
        <f t="shared" si="8"/>
        <v>-29.580573000000001</v>
      </c>
      <c r="G57" s="25">
        <f t="shared" si="8"/>
        <v>-30.691514999999999</v>
      </c>
      <c r="H57" s="5">
        <f t="shared" si="8"/>
        <v>0</v>
      </c>
    </row>
    <row r="58" spans="1:8" ht="15" x14ac:dyDescent="0.35">
      <c r="A58" s="6" t="s">
        <v>53</v>
      </c>
      <c r="C58" s="25">
        <f t="shared" ref="C58:H58" si="9">+C47+C57+C46</f>
        <v>-30.937000000000001</v>
      </c>
      <c r="D58" s="25">
        <f t="shared" si="9"/>
        <v>-31.122779300000001</v>
      </c>
      <c r="E58" s="25">
        <f t="shared" si="9"/>
        <v>-28.995991000000004</v>
      </c>
      <c r="F58" s="5">
        <f t="shared" si="9"/>
        <v>-29.380573000000002</v>
      </c>
      <c r="G58" s="25">
        <f t="shared" si="9"/>
        <v>-30.591514999999998</v>
      </c>
      <c r="H58" s="5">
        <f t="shared" si="9"/>
        <v>0.1</v>
      </c>
    </row>
    <row r="59" spans="1:8" x14ac:dyDescent="0.2">
      <c r="C59" s="17"/>
      <c r="D59" s="17"/>
      <c r="E59" s="17"/>
      <c r="F59" s="3"/>
      <c r="G59" s="17"/>
      <c r="H59" s="3"/>
    </row>
    <row r="60" spans="1:8" x14ac:dyDescent="0.2">
      <c r="A60" s="9" t="s">
        <v>52</v>
      </c>
      <c r="C60" s="17"/>
      <c r="D60" s="17"/>
      <c r="E60" s="17"/>
      <c r="F60" s="3"/>
      <c r="G60" s="17"/>
      <c r="H60" s="3"/>
    </row>
    <row r="61" spans="1:8" x14ac:dyDescent="0.2">
      <c r="A61" s="6" t="s">
        <v>71</v>
      </c>
      <c r="C61" s="17">
        <v>-6.6</v>
      </c>
      <c r="D61" s="17">
        <v>0.7</v>
      </c>
      <c r="E61" s="17">
        <v>0.3</v>
      </c>
      <c r="F61" s="3">
        <v>0.3</v>
      </c>
      <c r="G61" s="17">
        <v>2.6</v>
      </c>
      <c r="H61" s="3">
        <v>2.6</v>
      </c>
    </row>
    <row r="62" spans="1:8" x14ac:dyDescent="0.2">
      <c r="A62" s="6" t="s">
        <v>40</v>
      </c>
      <c r="C62" s="17">
        <v>0</v>
      </c>
      <c r="D62" s="17">
        <v>0</v>
      </c>
      <c r="E62" s="17">
        <v>0</v>
      </c>
      <c r="F62" s="3">
        <v>0</v>
      </c>
      <c r="G62" s="17">
        <v>0</v>
      </c>
      <c r="H62" s="3">
        <v>0</v>
      </c>
    </row>
    <row r="63" spans="1:8" x14ac:dyDescent="0.2">
      <c r="A63" s="6"/>
      <c r="B63" t="s">
        <v>91</v>
      </c>
      <c r="C63" s="17">
        <v>0</v>
      </c>
      <c r="D63" s="17">
        <v>12</v>
      </c>
      <c r="E63" s="17">
        <v>0</v>
      </c>
      <c r="F63" s="3">
        <v>10.199999999999999</v>
      </c>
      <c r="G63" s="17">
        <v>0</v>
      </c>
      <c r="H63" s="3">
        <v>0</v>
      </c>
    </row>
    <row r="64" spans="1:8" x14ac:dyDescent="0.2">
      <c r="A64" s="6"/>
      <c r="B64" t="s">
        <v>92</v>
      </c>
      <c r="C64" s="17">
        <v>0</v>
      </c>
      <c r="D64" s="17">
        <v>0</v>
      </c>
      <c r="E64" s="17">
        <v>46</v>
      </c>
      <c r="F64" s="3">
        <v>30.7</v>
      </c>
      <c r="G64" s="17">
        <v>3</v>
      </c>
      <c r="H64" s="3">
        <v>0</v>
      </c>
    </row>
    <row r="65" spans="1:8" x14ac:dyDescent="0.2">
      <c r="A65" s="6"/>
      <c r="B65" t="s">
        <v>93</v>
      </c>
      <c r="C65" s="17">
        <v>17.3</v>
      </c>
      <c r="D65" s="17">
        <v>9</v>
      </c>
      <c r="E65" s="17">
        <v>9</v>
      </c>
      <c r="F65" s="3">
        <v>6</v>
      </c>
      <c r="G65" s="17">
        <v>0</v>
      </c>
      <c r="H65" s="3">
        <v>0</v>
      </c>
    </row>
    <row r="66" spans="1:8" x14ac:dyDescent="0.2">
      <c r="A66" s="6"/>
      <c r="B66" t="s">
        <v>94</v>
      </c>
      <c r="C66" s="17">
        <v>-4.0999999999999996</v>
      </c>
      <c r="D66" s="17">
        <v>-4.0999999999999996</v>
      </c>
      <c r="E66" s="17">
        <v>-4.0999999999999996</v>
      </c>
      <c r="F66" s="3">
        <v>-4.0999999999999996</v>
      </c>
      <c r="G66" s="17">
        <v>-3.1</v>
      </c>
      <c r="H66" s="3">
        <v>0</v>
      </c>
    </row>
    <row r="67" spans="1:8" ht="15" x14ac:dyDescent="0.35">
      <c r="A67" s="6"/>
      <c r="B67" t="s">
        <v>7</v>
      </c>
      <c r="C67" s="25">
        <v>0</v>
      </c>
      <c r="D67" s="25">
        <v>0</v>
      </c>
      <c r="E67" s="25">
        <v>0</v>
      </c>
      <c r="F67" s="5">
        <v>0</v>
      </c>
      <c r="G67" s="25">
        <v>0</v>
      </c>
      <c r="H67" s="5">
        <v>0</v>
      </c>
    </row>
    <row r="68" spans="1:8" x14ac:dyDescent="0.2">
      <c r="A68" s="6"/>
      <c r="B68" t="s">
        <v>95</v>
      </c>
      <c r="C68" s="17">
        <f t="shared" ref="C68:H68" si="10">SUM(C63:C67)</f>
        <v>13.200000000000001</v>
      </c>
      <c r="D68" s="17">
        <f t="shared" si="10"/>
        <v>16.899999999999999</v>
      </c>
      <c r="E68" s="17">
        <f t="shared" si="10"/>
        <v>50.9</v>
      </c>
      <c r="F68" s="3">
        <f t="shared" si="10"/>
        <v>42.8</v>
      </c>
      <c r="G68" s="17">
        <f t="shared" si="10"/>
        <v>-0.10000000000000009</v>
      </c>
      <c r="H68" s="3">
        <f t="shared" si="10"/>
        <v>0</v>
      </c>
    </row>
    <row r="69" spans="1:8" x14ac:dyDescent="0.2">
      <c r="A69" s="6" t="s">
        <v>8</v>
      </c>
      <c r="C69" s="17"/>
      <c r="D69" s="17"/>
      <c r="E69" s="17"/>
      <c r="F69" s="3"/>
      <c r="G69" s="17"/>
      <c r="H69" s="3"/>
    </row>
    <row r="70" spans="1:8" x14ac:dyDescent="0.2">
      <c r="B70" t="s">
        <v>59</v>
      </c>
      <c r="C70" s="17">
        <f>-2.226</f>
        <v>-2.226</v>
      </c>
      <c r="D70" s="17">
        <f>SUM(-'[3]summary w_99 Actuals'!$C$9)/1000</f>
        <v>-2.1135269999999999</v>
      </c>
      <c r="E70" s="17">
        <f>SUM(-'[3]summary w_99 Actuals'!$D$9)/1000</f>
        <v>-2.4391256769366199</v>
      </c>
      <c r="F70" s="3">
        <f>SUM(-'[3]summary w_99 Actuals'!$E$9)/1000</f>
        <v>-2.1085214299319994</v>
      </c>
      <c r="G70" s="17">
        <f>SUM(-'[3]summary w_99 Actuals'!$F$9)/1000</f>
        <v>-2.1502784500000001</v>
      </c>
      <c r="H70" s="3"/>
    </row>
    <row r="71" spans="1:8" x14ac:dyDescent="0.2">
      <c r="B71" t="s">
        <v>132</v>
      </c>
      <c r="C71" s="17">
        <v>-1.49</v>
      </c>
      <c r="D71" s="17">
        <f>-'[3]summary w_99 Actuals'!$C$62/1000</f>
        <v>-1.3050318399999998</v>
      </c>
      <c r="E71" s="17">
        <f>-'[3]summary w_99 Actuals'!$D$62/1000</f>
        <v>-0.48741199999999996</v>
      </c>
      <c r="F71" s="3">
        <f>-'[3]summary w_99 Actuals'!$E$62/1000</f>
        <v>-0.48741199999999996</v>
      </c>
      <c r="G71" s="17">
        <f>-'[3]summary w_99 Actuals'!$F$62/1000</f>
        <v>-0.51743499999999998</v>
      </c>
      <c r="H71" s="3"/>
    </row>
    <row r="72" spans="1:8" x14ac:dyDescent="0.2">
      <c r="B72" t="s">
        <v>133</v>
      </c>
      <c r="C72" s="22">
        <v>0.56599999999999995</v>
      </c>
      <c r="D72" s="17">
        <f>-'[3]summary w_99 Actuals'!$C$10/1000</f>
        <v>0.11502071999999999</v>
      </c>
      <c r="E72" s="17">
        <f>-'[3]summary w_99 Actuals'!$D$10/1000</f>
        <v>0.107</v>
      </c>
      <c r="F72" s="3">
        <f>-'[3]summary w_99 Actuals'!$E$10/1000</f>
        <v>0.107</v>
      </c>
      <c r="G72" s="17">
        <f>-'[3]summary w_99 Actuals'!$F$10/1000</f>
        <v>8.1779027500000004E-2</v>
      </c>
      <c r="H72" s="3"/>
    </row>
    <row r="73" spans="1:8" x14ac:dyDescent="0.2">
      <c r="B73" t="s">
        <v>134</v>
      </c>
      <c r="C73" s="17">
        <v>0</v>
      </c>
      <c r="D73" s="17">
        <v>0</v>
      </c>
      <c r="E73" s="17">
        <v>0</v>
      </c>
      <c r="F73" s="3">
        <v>0</v>
      </c>
      <c r="G73" s="17">
        <v>-0.5</v>
      </c>
      <c r="H73" s="3">
        <v>0</v>
      </c>
    </row>
    <row r="74" spans="1:8" ht="15" x14ac:dyDescent="0.35">
      <c r="B74" t="s">
        <v>45</v>
      </c>
      <c r="C74" s="25">
        <v>0</v>
      </c>
      <c r="D74" s="25">
        <v>0</v>
      </c>
      <c r="E74" s="25">
        <v>0</v>
      </c>
      <c r="F74" s="5">
        <v>0</v>
      </c>
      <c r="G74" s="25">
        <v>0</v>
      </c>
      <c r="H74" s="5">
        <v>0</v>
      </c>
    </row>
    <row r="75" spans="1:8" ht="15" x14ac:dyDescent="0.35">
      <c r="B75" s="6" t="s">
        <v>19</v>
      </c>
      <c r="C75" s="25">
        <f t="shared" ref="C75:H75" si="11">SUM(C70:C74)</f>
        <v>-3.1500000000000004</v>
      </c>
      <c r="D75" s="25">
        <f t="shared" si="11"/>
        <v>-3.3035381199999998</v>
      </c>
      <c r="E75" s="25">
        <f t="shared" si="11"/>
        <v>-2.8195376769366196</v>
      </c>
      <c r="F75" s="5">
        <f t="shared" si="11"/>
        <v>-2.4889334299319992</v>
      </c>
      <c r="G75" s="25">
        <f t="shared" si="11"/>
        <v>-3.0859344224999998</v>
      </c>
      <c r="H75" s="5">
        <f t="shared" si="11"/>
        <v>0</v>
      </c>
    </row>
    <row r="76" spans="1:8" ht="15" x14ac:dyDescent="0.35">
      <c r="A76" s="6" t="s">
        <v>62</v>
      </c>
      <c r="C76" s="25">
        <f t="shared" ref="C76:H76" si="12">+C68+C75+C61</f>
        <v>3.4500000000000011</v>
      </c>
      <c r="D76" s="25">
        <f t="shared" si="12"/>
        <v>14.296461879999999</v>
      </c>
      <c r="E76" s="25">
        <f t="shared" si="12"/>
        <v>48.380462323063377</v>
      </c>
      <c r="F76" s="5">
        <f t="shared" si="12"/>
        <v>40.611066570067997</v>
      </c>
      <c r="G76" s="25">
        <f t="shared" si="12"/>
        <v>-0.58593442249999983</v>
      </c>
      <c r="H76" s="5">
        <f t="shared" si="12"/>
        <v>2.6</v>
      </c>
    </row>
    <row r="77" spans="1:8" x14ac:dyDescent="0.2">
      <c r="C77" s="17"/>
      <c r="D77" s="17"/>
      <c r="E77" s="17"/>
      <c r="F77" s="3"/>
      <c r="G77" s="17"/>
      <c r="H77" s="3"/>
    </row>
    <row r="78" spans="1:8" x14ac:dyDescent="0.2">
      <c r="A78" s="9" t="s">
        <v>54</v>
      </c>
      <c r="C78" s="17"/>
      <c r="D78" s="17"/>
      <c r="E78" s="17"/>
      <c r="F78" s="3"/>
      <c r="G78" s="17"/>
      <c r="H78" s="3"/>
    </row>
    <row r="79" spans="1:8" x14ac:dyDescent="0.2">
      <c r="A79" s="6" t="s">
        <v>40</v>
      </c>
      <c r="C79" s="17">
        <v>0</v>
      </c>
      <c r="D79" s="17">
        <v>0</v>
      </c>
      <c r="E79" s="17">
        <v>0</v>
      </c>
      <c r="F79" s="3">
        <v>0</v>
      </c>
      <c r="G79" s="17">
        <v>0</v>
      </c>
      <c r="H79" s="3">
        <v>0</v>
      </c>
    </row>
    <row r="80" spans="1:8" x14ac:dyDescent="0.2">
      <c r="A80" s="6" t="s">
        <v>8</v>
      </c>
      <c r="C80" s="17"/>
      <c r="D80" s="17"/>
      <c r="E80" s="17"/>
      <c r="F80" s="3"/>
      <c r="G80" s="17"/>
      <c r="H80" s="3"/>
    </row>
    <row r="81" spans="1:8" x14ac:dyDescent="0.2">
      <c r="B81" t="s">
        <v>59</v>
      </c>
      <c r="C81" s="17">
        <f>-2.264-0.407-0.478</f>
        <v>-3.149</v>
      </c>
      <c r="D81" s="17">
        <f>SUM(-'[3]summary w_99 Actuals'!$C$25-'[3]summary w_99 Actuals'!$C$26-'[3]summary w_99 Actuals'!$C$27-'[3]summary w_99 Actuals'!$C$65)/1000</f>
        <v>-3.6115262800000001</v>
      </c>
      <c r="E81" s="17">
        <f>SUM(-'[3]summary w_99 Actuals'!$D$25-'[3]summary w_99 Actuals'!$D$26-'[3]summary w_99 Actuals'!$D$27-'[3]summary w_99 Actuals'!$D$65)/1000</f>
        <v>-5.6764239999999999</v>
      </c>
      <c r="F81" s="3">
        <f>SUM(-'[3]summary w_99 Actuals'!$E$25-'[3]summary w_99 Actuals'!$E$26-'[3]summary w_99 Actuals'!$E$27-'[3]summary w_99 Actuals'!$E$65)/1000</f>
        <v>-4.6804240000000004</v>
      </c>
      <c r="G81" s="17">
        <f>SUM(-'[3]summary w_99 Actuals'!$F$25-'[3]summary w_99 Actuals'!$F$26-'[3]summary w_99 Actuals'!$F$27-'[3]summary w_99 Actuals'!$F$65)/1000</f>
        <v>-4.5877619999999997</v>
      </c>
      <c r="H81" s="3"/>
    </row>
    <row r="82" spans="1:8" x14ac:dyDescent="0.2">
      <c r="B82" t="s">
        <v>58</v>
      </c>
      <c r="C82" s="17">
        <v>0</v>
      </c>
      <c r="D82" s="17">
        <f>-'[3]summary w_99 Actuals'!$C$28/1000</f>
        <v>-0.25303799999999999</v>
      </c>
      <c r="E82" s="17">
        <f>-'[3]summary w_99 Actuals'!$D$28/1000</f>
        <v>-0.435</v>
      </c>
      <c r="F82" s="3">
        <f>-'[3]summary w_99 Actuals'!$E$28/1000</f>
        <v>-0.435</v>
      </c>
      <c r="G82" s="17">
        <f>-'[3]summary w_99 Actuals'!$F$28/1000</f>
        <v>-0.45700000000000002</v>
      </c>
      <c r="H82" s="3"/>
    </row>
    <row r="83" spans="1:8" x14ac:dyDescent="0.2">
      <c r="B83" t="s">
        <v>44</v>
      </c>
      <c r="C83" s="17">
        <v>0</v>
      </c>
      <c r="D83" s="17">
        <v>0</v>
      </c>
      <c r="E83" s="17">
        <v>0</v>
      </c>
      <c r="F83" s="3">
        <v>0</v>
      </c>
      <c r="G83" s="17">
        <v>0</v>
      </c>
      <c r="H83" s="3">
        <v>0</v>
      </c>
    </row>
    <row r="84" spans="1:8" ht="15" x14ac:dyDescent="0.35">
      <c r="B84" t="s">
        <v>45</v>
      </c>
      <c r="C84" s="25">
        <v>0</v>
      </c>
      <c r="D84" s="5">
        <v>0</v>
      </c>
      <c r="E84" s="25">
        <f>-'[3]summary w_99 Actuals'!$D$30/1000</f>
        <v>0.35399999999999998</v>
      </c>
      <c r="F84" s="5">
        <f>-'[3]summary w_99 Actuals'!$E$30/1000</f>
        <v>-0.17799999999999999</v>
      </c>
      <c r="G84" s="25">
        <v>0</v>
      </c>
      <c r="H84" s="5">
        <v>0</v>
      </c>
    </row>
    <row r="85" spans="1:8" ht="15" x14ac:dyDescent="0.35">
      <c r="B85" s="6" t="s">
        <v>19</v>
      </c>
      <c r="C85" s="25">
        <f t="shared" ref="C85:H85" si="13">SUM(C81:C84)</f>
        <v>-3.149</v>
      </c>
      <c r="D85" s="25">
        <f t="shared" si="13"/>
        <v>-3.8645642800000002</v>
      </c>
      <c r="E85" s="25">
        <f>SUM(E81:E84)</f>
        <v>-5.7574239999999994</v>
      </c>
      <c r="F85" s="5">
        <f t="shared" si="13"/>
        <v>-5.2934239999999999</v>
      </c>
      <c r="G85" s="25">
        <f t="shared" si="13"/>
        <v>-5.0447619999999995</v>
      </c>
      <c r="H85" s="5">
        <f t="shared" si="13"/>
        <v>0</v>
      </c>
    </row>
    <row r="86" spans="1:8" ht="15" x14ac:dyDescent="0.35">
      <c r="A86" s="6" t="s">
        <v>55</v>
      </c>
      <c r="C86" s="25">
        <f t="shared" ref="C86:H86" si="14">+C79+C85</f>
        <v>-3.149</v>
      </c>
      <c r="D86" s="25">
        <f t="shared" si="14"/>
        <v>-3.8645642800000002</v>
      </c>
      <c r="E86" s="25">
        <f t="shared" si="14"/>
        <v>-5.7574239999999994</v>
      </c>
      <c r="F86" s="5">
        <f t="shared" si="14"/>
        <v>-5.2934239999999999</v>
      </c>
      <c r="G86" s="25">
        <f t="shared" si="14"/>
        <v>-5.0447619999999995</v>
      </c>
      <c r="H86" s="5">
        <f t="shared" si="14"/>
        <v>0</v>
      </c>
    </row>
    <row r="87" spans="1:8" x14ac:dyDescent="0.2">
      <c r="C87" s="17"/>
      <c r="D87" s="17"/>
      <c r="E87" s="17"/>
      <c r="F87" s="3"/>
      <c r="G87" s="17"/>
      <c r="H87" s="3"/>
    </row>
    <row r="88" spans="1:8" x14ac:dyDescent="0.2">
      <c r="A88" s="9" t="s">
        <v>56</v>
      </c>
      <c r="C88" s="17"/>
      <c r="D88" s="17"/>
      <c r="E88" s="17"/>
      <c r="F88" s="3"/>
      <c r="G88" s="17"/>
      <c r="H88" s="3"/>
    </row>
    <row r="89" spans="1:8" x14ac:dyDescent="0.2">
      <c r="A89" s="6" t="s">
        <v>40</v>
      </c>
      <c r="C89" s="17">
        <v>0</v>
      </c>
      <c r="D89" s="17">
        <v>0</v>
      </c>
      <c r="E89" s="17">
        <v>0</v>
      </c>
      <c r="F89" s="3">
        <v>0</v>
      </c>
      <c r="G89" s="17">
        <v>0</v>
      </c>
      <c r="H89" s="3">
        <v>0</v>
      </c>
    </row>
    <row r="90" spans="1:8" x14ac:dyDescent="0.2">
      <c r="A90" s="6" t="s">
        <v>8</v>
      </c>
      <c r="C90" s="17"/>
      <c r="D90" s="17"/>
      <c r="E90" s="17"/>
      <c r="F90" s="3"/>
      <c r="G90" s="17"/>
      <c r="H90" s="3"/>
    </row>
    <row r="91" spans="1:8" x14ac:dyDescent="0.2">
      <c r="B91" t="s">
        <v>59</v>
      </c>
      <c r="C91" s="17">
        <v>-1.6319999999999999</v>
      </c>
      <c r="D91" s="17">
        <f>SUM(-'[3]summary w_99 Actuals'!$C$67/1000)</f>
        <v>-1.8755400099999999</v>
      </c>
      <c r="E91" s="17">
        <f>-'[3]summary w_99 Actuals'!$D$67/1000</f>
        <v>-1.3267070000000001</v>
      </c>
      <c r="F91" s="3">
        <f>-'[3]summary w_99 Actuals'!$E$67/1000</f>
        <v>-1.3267070000000001</v>
      </c>
      <c r="G91" s="17">
        <f>-'[3]summary w_99 Actuals'!$F$67/1000</f>
        <v>-1.439627</v>
      </c>
      <c r="H91" s="3"/>
    </row>
    <row r="92" spans="1:8" x14ac:dyDescent="0.2">
      <c r="B92" t="s">
        <v>58</v>
      </c>
      <c r="C92" s="17">
        <v>0</v>
      </c>
      <c r="D92" s="17">
        <v>0</v>
      </c>
      <c r="E92" s="17">
        <v>0</v>
      </c>
      <c r="F92" s="3">
        <v>0</v>
      </c>
      <c r="G92" s="17">
        <v>0</v>
      </c>
      <c r="H92" s="3">
        <v>0</v>
      </c>
    </row>
    <row r="93" spans="1:8" x14ac:dyDescent="0.2">
      <c r="B93" t="s">
        <v>44</v>
      </c>
      <c r="C93" s="17">
        <v>0</v>
      </c>
      <c r="D93" s="17">
        <v>0</v>
      </c>
      <c r="E93" s="17">
        <v>0</v>
      </c>
      <c r="F93" s="3">
        <v>0</v>
      </c>
      <c r="G93" s="17">
        <v>0</v>
      </c>
      <c r="H93" s="3">
        <v>0</v>
      </c>
    </row>
    <row r="94" spans="1:8" x14ac:dyDescent="0.2">
      <c r="B94" t="s">
        <v>135</v>
      </c>
      <c r="C94" s="17">
        <v>0</v>
      </c>
      <c r="D94" s="17">
        <v>0</v>
      </c>
      <c r="E94" s="17">
        <v>0</v>
      </c>
      <c r="F94" s="3">
        <v>0</v>
      </c>
      <c r="G94" s="17">
        <v>-0.3</v>
      </c>
      <c r="H94" s="3"/>
    </row>
    <row r="95" spans="1:8" ht="15" x14ac:dyDescent="0.35">
      <c r="B95" t="s">
        <v>45</v>
      </c>
      <c r="C95" s="25">
        <v>0</v>
      </c>
      <c r="D95" s="25">
        <v>0</v>
      </c>
      <c r="E95" s="25">
        <v>0</v>
      </c>
      <c r="F95" s="5">
        <v>0</v>
      </c>
      <c r="G95" s="25">
        <v>0</v>
      </c>
      <c r="H95" s="5">
        <v>0</v>
      </c>
    </row>
    <row r="96" spans="1:8" ht="15" x14ac:dyDescent="0.35">
      <c r="B96" s="6" t="s">
        <v>19</v>
      </c>
      <c r="C96" s="25">
        <f t="shared" ref="C96:H96" si="15">SUM(C91:C95)</f>
        <v>-1.6319999999999999</v>
      </c>
      <c r="D96" s="25">
        <f t="shared" si="15"/>
        <v>-1.8755400099999999</v>
      </c>
      <c r="E96" s="25">
        <f t="shared" si="15"/>
        <v>-1.3267070000000001</v>
      </c>
      <c r="F96" s="5">
        <f t="shared" si="15"/>
        <v>-1.3267070000000001</v>
      </c>
      <c r="G96" s="25">
        <f t="shared" si="15"/>
        <v>-1.739627</v>
      </c>
      <c r="H96" s="5">
        <f t="shared" si="15"/>
        <v>0</v>
      </c>
    </row>
    <row r="97" spans="1:8" ht="15" x14ac:dyDescent="0.35">
      <c r="A97" s="6" t="s">
        <v>57</v>
      </c>
      <c r="C97" s="25">
        <f t="shared" ref="C97:H97" si="16">+C89+C96</f>
        <v>-1.6319999999999999</v>
      </c>
      <c r="D97" s="25">
        <f t="shared" si="16"/>
        <v>-1.8755400099999999</v>
      </c>
      <c r="E97" s="25">
        <f t="shared" si="16"/>
        <v>-1.3267070000000001</v>
      </c>
      <c r="F97" s="5">
        <f t="shared" si="16"/>
        <v>-1.3267070000000001</v>
      </c>
      <c r="G97" s="25">
        <f t="shared" si="16"/>
        <v>-1.739627</v>
      </c>
      <c r="H97" s="5">
        <f t="shared" si="16"/>
        <v>0</v>
      </c>
    </row>
    <row r="98" spans="1:8" x14ac:dyDescent="0.2">
      <c r="C98" s="17"/>
      <c r="D98" s="17"/>
      <c r="E98" s="17"/>
      <c r="F98" s="3"/>
      <c r="G98" s="17"/>
      <c r="H98" s="3"/>
    </row>
    <row r="99" spans="1:8" x14ac:dyDescent="0.2">
      <c r="A99" s="9" t="s">
        <v>60</v>
      </c>
      <c r="C99" s="17"/>
      <c r="D99" s="17"/>
      <c r="E99" s="17"/>
      <c r="F99" s="3"/>
      <c r="G99" s="17"/>
      <c r="H99" s="3"/>
    </row>
    <row r="100" spans="1:8" x14ac:dyDescent="0.2">
      <c r="A100" s="6" t="s">
        <v>40</v>
      </c>
      <c r="C100" s="17">
        <v>0</v>
      </c>
      <c r="D100" s="17">
        <v>0</v>
      </c>
      <c r="E100" s="17">
        <v>0</v>
      </c>
      <c r="F100" s="3">
        <v>0</v>
      </c>
      <c r="G100" s="17">
        <v>0</v>
      </c>
      <c r="H100" s="3">
        <v>0</v>
      </c>
    </row>
    <row r="101" spans="1:8" x14ac:dyDescent="0.2">
      <c r="A101" s="6" t="s">
        <v>8</v>
      </c>
      <c r="C101" s="17"/>
      <c r="D101" s="17"/>
      <c r="E101" s="17"/>
      <c r="F101" s="3"/>
      <c r="G101" s="17"/>
      <c r="H101" s="3"/>
    </row>
    <row r="102" spans="1:8" x14ac:dyDescent="0.2">
      <c r="B102" t="s">
        <v>59</v>
      </c>
      <c r="C102" s="17">
        <f>-0.622-0.115</f>
        <v>-0.73699999999999999</v>
      </c>
      <c r="D102" s="17">
        <f>SUM(-'[3]summary w_99 Actuals'!$C$63-'[3]summary w_99 Actuals'!$C$64)/1000</f>
        <v>-0.84647324000000002</v>
      </c>
      <c r="E102" s="17">
        <f>SUM(-'[3]summary w_99 Actuals'!$D$63-'[3]summary w_99 Actuals'!$D$64)/1000</f>
        <v>-0.92805499999999996</v>
      </c>
      <c r="F102" s="3">
        <f>SUM(-'[3]summary w_99 Actuals'!$E$63-'[3]summary w_99 Actuals'!$E$64)/1000</f>
        <v>-0.92805499999999996</v>
      </c>
      <c r="G102" s="17">
        <f>-'[3]summary w_99 Actuals'!$F$63/1000</f>
        <v>-0.73230799999999996</v>
      </c>
      <c r="H102" s="3"/>
    </row>
    <row r="103" spans="1:8" x14ac:dyDescent="0.2">
      <c r="B103" t="s">
        <v>58</v>
      </c>
      <c r="C103" s="17">
        <v>0</v>
      </c>
      <c r="D103" s="17">
        <v>0</v>
      </c>
      <c r="E103" s="17">
        <v>0</v>
      </c>
      <c r="F103" s="3">
        <v>0</v>
      </c>
      <c r="G103" s="17">
        <v>0</v>
      </c>
      <c r="H103" s="3">
        <v>0</v>
      </c>
    </row>
    <row r="104" spans="1:8" x14ac:dyDescent="0.2">
      <c r="B104" t="s">
        <v>44</v>
      </c>
      <c r="C104" s="17">
        <v>0</v>
      </c>
      <c r="D104" s="17">
        <v>0</v>
      </c>
      <c r="E104" s="17">
        <v>0</v>
      </c>
      <c r="F104" s="3">
        <v>0</v>
      </c>
      <c r="G104" s="17">
        <v>0</v>
      </c>
      <c r="H104" s="3">
        <v>0</v>
      </c>
    </row>
    <row r="105" spans="1:8" ht="15" x14ac:dyDescent="0.35">
      <c r="B105" t="s">
        <v>45</v>
      </c>
      <c r="C105" s="25">
        <v>0</v>
      </c>
      <c r="D105" s="25">
        <v>0</v>
      </c>
      <c r="E105" s="25">
        <v>0</v>
      </c>
      <c r="F105" s="5">
        <v>0</v>
      </c>
      <c r="G105" s="25">
        <v>0</v>
      </c>
      <c r="H105" s="5">
        <v>0</v>
      </c>
    </row>
    <row r="106" spans="1:8" ht="15" x14ac:dyDescent="0.35">
      <c r="B106" s="6" t="s">
        <v>19</v>
      </c>
      <c r="C106" s="25">
        <f t="shared" ref="C106:H106" si="17">SUM(C102:C105)</f>
        <v>-0.73699999999999999</v>
      </c>
      <c r="D106" s="25">
        <f t="shared" si="17"/>
        <v>-0.84647324000000002</v>
      </c>
      <c r="E106" s="25">
        <f t="shared" si="17"/>
        <v>-0.92805499999999996</v>
      </c>
      <c r="F106" s="5">
        <f t="shared" si="17"/>
        <v>-0.92805499999999996</v>
      </c>
      <c r="G106" s="25">
        <f t="shared" si="17"/>
        <v>-0.73230799999999996</v>
      </c>
      <c r="H106" s="5">
        <f t="shared" si="17"/>
        <v>0</v>
      </c>
    </row>
    <row r="107" spans="1:8" ht="15" x14ac:dyDescent="0.35">
      <c r="A107" s="6" t="s">
        <v>61</v>
      </c>
      <c r="C107" s="25">
        <f t="shared" ref="C107:H107" si="18">+C100+C106</f>
        <v>-0.73699999999999999</v>
      </c>
      <c r="D107" s="25">
        <f t="shared" si="18"/>
        <v>-0.84647324000000002</v>
      </c>
      <c r="E107" s="25">
        <f t="shared" si="18"/>
        <v>-0.92805499999999996</v>
      </c>
      <c r="F107" s="5">
        <f t="shared" si="18"/>
        <v>-0.92805499999999996</v>
      </c>
      <c r="G107" s="25">
        <f t="shared" si="18"/>
        <v>-0.73230799999999996</v>
      </c>
      <c r="H107" s="5">
        <f t="shared" si="18"/>
        <v>0</v>
      </c>
    </row>
    <row r="108" spans="1:8" x14ac:dyDescent="0.2">
      <c r="C108" s="17"/>
      <c r="D108" s="17"/>
      <c r="E108" s="17"/>
      <c r="F108" s="3"/>
      <c r="G108" s="17"/>
      <c r="H108" s="3"/>
    </row>
    <row r="109" spans="1:8" x14ac:dyDescent="0.2">
      <c r="A109" s="9" t="s">
        <v>63</v>
      </c>
      <c r="C109" s="17"/>
      <c r="D109" s="17"/>
      <c r="E109" s="17"/>
      <c r="F109" s="3"/>
      <c r="G109" s="17"/>
      <c r="H109" s="3"/>
    </row>
    <row r="110" spans="1:8" x14ac:dyDescent="0.2">
      <c r="A110" s="6" t="s">
        <v>40</v>
      </c>
      <c r="C110" s="17">
        <v>0</v>
      </c>
      <c r="D110" s="17">
        <v>0</v>
      </c>
      <c r="E110" s="17">
        <v>0</v>
      </c>
      <c r="F110" s="3">
        <v>0</v>
      </c>
      <c r="G110" s="17">
        <v>0</v>
      </c>
      <c r="H110" s="3">
        <v>0</v>
      </c>
    </row>
    <row r="111" spans="1:8" x14ac:dyDescent="0.2">
      <c r="A111" s="6" t="s">
        <v>8</v>
      </c>
      <c r="C111" s="17"/>
      <c r="D111" s="17"/>
      <c r="E111" s="17"/>
      <c r="F111" s="3"/>
      <c r="G111" s="17"/>
      <c r="H111" s="3"/>
    </row>
    <row r="112" spans="1:8" x14ac:dyDescent="0.2">
      <c r="B112" t="s">
        <v>59</v>
      </c>
      <c r="C112" s="17">
        <f>-1.094-0.407808</f>
        <v>-1.501808</v>
      </c>
      <c r="D112" s="17">
        <f>SUM(-'[3]summary w_99 Actuals'!$C$6-'[3]summary w_99 Actuals'!$C$68)/1000</f>
        <v>-1.70172521</v>
      </c>
      <c r="E112" s="17">
        <f>SUM(-'[3]summary w_99 Actuals'!$D$6-'[3]summary w_99 Actuals'!$D$68)/1000</f>
        <v>-2.57659152</v>
      </c>
      <c r="F112" s="3">
        <f>SUM(-'[3]summary w_99 Actuals'!$E$6-'[3]summary w_99 Actuals'!$E$68)/1000</f>
        <v>-2.5116344485714284</v>
      </c>
      <c r="G112" s="17">
        <f>SUM(-'[3]summary w_99 Actuals'!$F$6-'[3]summary w_99 Actuals'!$F$68)/1000</f>
        <v>-2.6596130000000002</v>
      </c>
      <c r="H112" s="3"/>
    </row>
    <row r="113" spans="1:8" x14ac:dyDescent="0.2">
      <c r="B113" t="s">
        <v>58</v>
      </c>
      <c r="C113" s="17">
        <v>0</v>
      </c>
      <c r="D113" s="17">
        <v>0</v>
      </c>
      <c r="E113" s="17">
        <v>0</v>
      </c>
      <c r="F113" s="3">
        <v>0</v>
      </c>
      <c r="G113" s="17">
        <v>0</v>
      </c>
      <c r="H113" s="3">
        <v>0</v>
      </c>
    </row>
    <row r="114" spans="1:8" x14ac:dyDescent="0.2">
      <c r="B114" t="s">
        <v>44</v>
      </c>
      <c r="C114" s="17">
        <v>0</v>
      </c>
      <c r="D114" s="17">
        <v>0</v>
      </c>
      <c r="E114" s="17">
        <v>0</v>
      </c>
      <c r="F114" s="3">
        <v>0</v>
      </c>
      <c r="G114" s="17">
        <v>0</v>
      </c>
      <c r="H114" s="3">
        <v>0</v>
      </c>
    </row>
    <row r="115" spans="1:8" ht="15" x14ac:dyDescent="0.35">
      <c r="B115" t="s">
        <v>136</v>
      </c>
      <c r="C115" s="25">
        <f>0.0023-5.121+0.877428</f>
        <v>-4.2412720000000004</v>
      </c>
      <c r="D115" s="27">
        <f>SUM(-'[3]summary w_99 Actuals'!$C$41-'[3]summary w_99 Actuals'!$C$32)/1000-D21</f>
        <v>-2.1767481100000001</v>
      </c>
      <c r="E115" s="27">
        <f>SUM(-'[3]summary w_99 Actuals'!$D$41-'[3]summary w_99 Actuals'!$D$32)/1000-E21</f>
        <v>0.6152672400000001</v>
      </c>
      <c r="F115" s="28">
        <f>SUM(-'[3]summary w_99 Actuals'!$E$41-'[3]summary w_99 Actuals'!$E$32)/1000-F21</f>
        <v>1.5759992799999996</v>
      </c>
      <c r="G115" s="27">
        <f>SUM(-'[3]summary w_99 Actuals'!$F$41-'[3]summary w_99 Actuals'!$F$32)/1000-G21</f>
        <v>-0.86365508000000024</v>
      </c>
      <c r="H115" s="5"/>
    </row>
    <row r="116" spans="1:8" ht="15" x14ac:dyDescent="0.35">
      <c r="B116" s="6" t="s">
        <v>19</v>
      </c>
      <c r="C116" s="25">
        <f t="shared" ref="C116:H116" si="19">SUM(C112:C115)</f>
        <v>-5.7430800000000009</v>
      </c>
      <c r="D116" s="25">
        <f t="shared" si="19"/>
        <v>-3.8784733200000003</v>
      </c>
      <c r="E116" s="25">
        <f t="shared" si="19"/>
        <v>-1.9613242799999999</v>
      </c>
      <c r="F116" s="5">
        <f t="shared" si="19"/>
        <v>-0.93563516857142881</v>
      </c>
      <c r="G116" s="25">
        <f t="shared" si="19"/>
        <v>-3.5232680800000002</v>
      </c>
      <c r="H116" s="5">
        <f t="shared" si="19"/>
        <v>0</v>
      </c>
    </row>
    <row r="117" spans="1:8" ht="15" x14ac:dyDescent="0.35">
      <c r="A117" s="6" t="s">
        <v>64</v>
      </c>
      <c r="C117" s="25">
        <f t="shared" ref="C117:H117" si="20">+C110+C116</f>
        <v>-5.7430800000000009</v>
      </c>
      <c r="D117" s="25">
        <f t="shared" si="20"/>
        <v>-3.8784733200000003</v>
      </c>
      <c r="E117" s="25">
        <f t="shared" si="20"/>
        <v>-1.9613242799999999</v>
      </c>
      <c r="F117" s="5">
        <f t="shared" si="20"/>
        <v>-0.93563516857142881</v>
      </c>
      <c r="G117" s="25">
        <f t="shared" si="20"/>
        <v>-3.5232680800000002</v>
      </c>
      <c r="H117" s="5">
        <f t="shared" si="20"/>
        <v>0</v>
      </c>
    </row>
    <row r="118" spans="1:8" x14ac:dyDescent="0.2">
      <c r="C118" s="17"/>
      <c r="D118" s="17"/>
      <c r="E118" s="17"/>
      <c r="F118" s="3"/>
      <c r="G118" s="17"/>
      <c r="H118" s="3"/>
    </row>
    <row r="119" spans="1:8" ht="15" x14ac:dyDescent="0.35">
      <c r="A119" s="6" t="s">
        <v>65</v>
      </c>
      <c r="C119" s="25">
        <f t="shared" ref="C119:H119" si="21">+C43+C58+C76+C86+C97+C107+C117</f>
        <v>241.97721999999999</v>
      </c>
      <c r="D119" s="25">
        <f t="shared" si="21"/>
        <v>254.7178947299999</v>
      </c>
      <c r="E119" s="25">
        <f t="shared" si="21"/>
        <v>298.86739074306348</v>
      </c>
      <c r="F119" s="5">
        <f t="shared" si="21"/>
        <v>286.04830173149657</v>
      </c>
      <c r="G119" s="25">
        <f t="shared" si="21"/>
        <v>272.60973869750001</v>
      </c>
      <c r="H119" s="5">
        <f t="shared" si="21"/>
        <v>292.97134661500007</v>
      </c>
    </row>
    <row r="120" spans="1:8" x14ac:dyDescent="0.2">
      <c r="C120" s="17"/>
      <c r="D120" s="17"/>
      <c r="E120" s="17"/>
      <c r="F120" s="3"/>
      <c r="G120" s="17"/>
      <c r="H120" s="3"/>
    </row>
    <row r="121" spans="1:8" x14ac:dyDescent="0.2">
      <c r="A121" s="6" t="s">
        <v>66</v>
      </c>
      <c r="C121" s="17"/>
      <c r="D121" s="17"/>
      <c r="E121" s="17"/>
      <c r="F121" s="3"/>
      <c r="G121" s="17"/>
      <c r="H121" s="3"/>
    </row>
    <row r="122" spans="1:8" x14ac:dyDescent="0.2">
      <c r="B122" t="s">
        <v>67</v>
      </c>
      <c r="C122" s="17"/>
      <c r="D122" s="17"/>
      <c r="E122" s="17"/>
      <c r="F122" s="3"/>
      <c r="G122" s="17"/>
      <c r="H122" s="3"/>
    </row>
    <row r="123" spans="1:8" x14ac:dyDescent="0.2">
      <c r="B123" t="s">
        <v>137</v>
      </c>
      <c r="C123" s="17">
        <v>-2.2669999999999999</v>
      </c>
      <c r="D123" s="17">
        <f>SUM(-'[3]summary w_99 Actuals'!$C$55-'[3]summary w_99 Actuals'!$C$56)/1000</f>
        <v>-2.0271520000000001</v>
      </c>
      <c r="E123" s="17">
        <f>SUM(-'[3]summary w_99 Actuals'!$D$55-'[3]summary w_99 Actuals'!$D$56)/1000</f>
        <v>-2.8792559999999998</v>
      </c>
      <c r="F123" s="3">
        <f>SUM(-'[3]summary w_99 Actuals'!$E$55-'[3]summary w_99 Actuals'!$E$56)/1000</f>
        <v>-2.8792559999999998</v>
      </c>
      <c r="G123" s="17">
        <f>SUM(-'[3]summary w_99 Actuals'!$F$55-'[3]summary w_99 Actuals'!$F$56)/1000</f>
        <v>-2.8792559999999998</v>
      </c>
      <c r="H123" s="3">
        <f>SUM(-'[3]summary w_99 Actuals'!$F$55-'[3]summary w_99 Actuals'!$F$56)/1000</f>
        <v>-2.8792559999999998</v>
      </c>
    </row>
    <row r="124" spans="1:8" ht="15" x14ac:dyDescent="0.35">
      <c r="B124" t="s">
        <v>138</v>
      </c>
      <c r="C124" s="25">
        <f>0.631-1.43-2.373-1.126-0.203-0.877428-0.44</f>
        <v>-5.8184280000000008</v>
      </c>
      <c r="D124" s="25">
        <f>SUM(-'[3]summary w_99 Actuals'!$C$54-'[3]summary w_99 Actuals'!$C$57-'[3]summary w_99 Actuals'!$C$58-'[3]summary w_99 Actuals'!$C$59-'[3]summary w_99 Actuals'!$C$69-'[3]summary w_99 Actuals'!$C$50-'[3]summary w_99 Actuals'!$C$72)/1000</f>
        <v>-7.2710251400000008</v>
      </c>
      <c r="E124" s="25">
        <f>SUM(-'[3]summary w_99 Actuals'!$D$54-'[3]summary w_99 Actuals'!$D$57-'[3]summary w_99 Actuals'!$D$58-'[3]summary w_99 Actuals'!$D$59-'[3]summary w_99 Actuals'!$D$69-'[3]summary w_99 Actuals'!$D$50-'[3]summary w_99 Actuals'!$D$72)/1000</f>
        <v>-10.882515</v>
      </c>
      <c r="F124" s="5">
        <f>SUM(-'[3]summary w_99 Actuals'!$E$54-'[3]summary w_99 Actuals'!$E$57-'[3]summary w_99 Actuals'!$E$58-'[3]summary w_99 Actuals'!$E$59-'[3]summary w_99 Actuals'!$E$69-'[3]summary w_99 Actuals'!$E$50-'[3]summary w_99 Actuals'!$E$72)/1000</f>
        <v>-11.221680999999998</v>
      </c>
      <c r="G124" s="25">
        <f>SUM(-'[3]summary w_99 Actuals'!$F$54-'[3]summary w_99 Actuals'!$F$57-'[3]summary w_99 Actuals'!$F$58-'[3]summary w_99 Actuals'!$F$59-'[3]summary w_99 Actuals'!$F$69-'[3]summary w_99 Actuals'!$F$50)/1000</f>
        <v>-12.631817000000002</v>
      </c>
      <c r="H124" s="5">
        <f>SUM(-'[3]summary w_99 Actuals'!$F$54-'[3]summary w_99 Actuals'!$F$57-'[3]summary w_99 Actuals'!$F$58-'[3]summary w_99 Actuals'!$F$59-'[3]summary w_99 Actuals'!$F$69-'[3]summary w_99 Actuals'!$F$50)/1000</f>
        <v>-12.631817000000002</v>
      </c>
    </row>
    <row r="125" spans="1:8" x14ac:dyDescent="0.2">
      <c r="B125" t="s">
        <v>80</v>
      </c>
      <c r="C125" s="17">
        <f t="shared" ref="C125:H125" si="22">SUM(C123:C124)</f>
        <v>-8.0854280000000003</v>
      </c>
      <c r="D125" s="17">
        <f t="shared" si="22"/>
        <v>-9.29817714</v>
      </c>
      <c r="E125" s="17">
        <f t="shared" si="22"/>
        <v>-13.761771</v>
      </c>
      <c r="F125" s="3">
        <f t="shared" si="22"/>
        <v>-14.100936999999998</v>
      </c>
      <c r="G125" s="17">
        <f t="shared" si="22"/>
        <v>-15.511073000000001</v>
      </c>
      <c r="H125" s="3">
        <f t="shared" si="22"/>
        <v>-15.511073000000001</v>
      </c>
    </row>
    <row r="126" spans="1:8" x14ac:dyDescent="0.2">
      <c r="B126" t="s">
        <v>75</v>
      </c>
      <c r="C126" s="17">
        <v>-46.4</v>
      </c>
      <c r="D126" s="17">
        <v>-47.3</v>
      </c>
      <c r="E126" s="17">
        <v>-49.1</v>
      </c>
      <c r="F126" s="3">
        <v>-48.7</v>
      </c>
      <c r="G126" s="17">
        <v>-52.8</v>
      </c>
      <c r="H126" s="3">
        <v>0</v>
      </c>
    </row>
    <row r="127" spans="1:8" x14ac:dyDescent="0.2">
      <c r="B127" t="s">
        <v>76</v>
      </c>
      <c r="C127" s="17"/>
      <c r="D127" s="17"/>
      <c r="E127" s="17"/>
      <c r="F127" s="3"/>
      <c r="G127" s="17"/>
      <c r="H127" s="3"/>
    </row>
    <row r="128" spans="1:8" x14ac:dyDescent="0.2">
      <c r="B128" t="s">
        <v>77</v>
      </c>
      <c r="C128" s="17">
        <v>-19.7</v>
      </c>
      <c r="D128" s="17">
        <v>-20.8</v>
      </c>
      <c r="E128" s="17">
        <v>-20.8</v>
      </c>
      <c r="F128" s="3">
        <v>-20.8</v>
      </c>
      <c r="G128" s="17">
        <v>-23</v>
      </c>
      <c r="H128" s="3">
        <v>0</v>
      </c>
    </row>
    <row r="129" spans="1:8" ht="15" x14ac:dyDescent="0.35">
      <c r="B129" t="s">
        <v>78</v>
      </c>
      <c r="C129" s="25">
        <v>-3.7</v>
      </c>
      <c r="D129" s="25">
        <v>-4.5999999999999996</v>
      </c>
      <c r="E129" s="25">
        <v>-5</v>
      </c>
      <c r="F129" s="5">
        <v>-4.7</v>
      </c>
      <c r="G129" s="25">
        <v>-5.0999999999999996</v>
      </c>
      <c r="H129" s="5">
        <v>0</v>
      </c>
    </row>
    <row r="130" spans="1:8" ht="15" x14ac:dyDescent="0.35">
      <c r="B130" t="s">
        <v>79</v>
      </c>
      <c r="C130" s="25">
        <f t="shared" ref="C130:H130" si="23">SUM(C128:C129)</f>
        <v>-23.4</v>
      </c>
      <c r="D130" s="25">
        <f t="shared" si="23"/>
        <v>-25.4</v>
      </c>
      <c r="E130" s="25">
        <f t="shared" si="23"/>
        <v>-25.8</v>
      </c>
      <c r="F130" s="5">
        <f t="shared" si="23"/>
        <v>-25.5</v>
      </c>
      <c r="G130" s="25">
        <f t="shared" si="23"/>
        <v>-28.1</v>
      </c>
      <c r="H130" s="5">
        <f t="shared" si="23"/>
        <v>0</v>
      </c>
    </row>
    <row r="131" spans="1:8" ht="15" x14ac:dyDescent="0.35">
      <c r="B131" s="6" t="s">
        <v>88</v>
      </c>
      <c r="C131" s="25">
        <f t="shared" ref="C131:H131" si="24">+C125+C126+C130</f>
        <v>-77.88542799999999</v>
      </c>
      <c r="D131" s="25">
        <f t="shared" si="24"/>
        <v>-81.998177139999996</v>
      </c>
      <c r="E131" s="25">
        <f t="shared" si="24"/>
        <v>-88.661771000000002</v>
      </c>
      <c r="F131" s="5">
        <f t="shared" si="24"/>
        <v>-88.300937000000005</v>
      </c>
      <c r="G131" s="25">
        <f t="shared" si="24"/>
        <v>-96.411072999999988</v>
      </c>
      <c r="H131" s="5">
        <f t="shared" si="24"/>
        <v>-15.511073000000001</v>
      </c>
    </row>
    <row r="132" spans="1:8" x14ac:dyDescent="0.2">
      <c r="B132" s="6"/>
      <c r="C132" s="17"/>
      <c r="D132" s="17"/>
      <c r="E132" s="17"/>
      <c r="F132" s="3"/>
      <c r="G132" s="17"/>
      <c r="H132" s="3"/>
    </row>
    <row r="133" spans="1:8" x14ac:dyDescent="0.2">
      <c r="A133" s="6" t="s">
        <v>81</v>
      </c>
      <c r="C133" s="17"/>
      <c r="D133" s="17"/>
      <c r="E133" s="17"/>
      <c r="F133" s="3"/>
      <c r="G133" s="17"/>
      <c r="H133" s="3"/>
    </row>
    <row r="134" spans="1:8" x14ac:dyDescent="0.2">
      <c r="B134" t="s">
        <v>82</v>
      </c>
      <c r="C134" s="17">
        <v>0</v>
      </c>
      <c r="D134" s="17">
        <v>0</v>
      </c>
      <c r="E134" s="17">
        <v>0</v>
      </c>
      <c r="F134" s="3">
        <v>0</v>
      </c>
      <c r="G134" s="17">
        <v>0</v>
      </c>
      <c r="H134" s="3">
        <v>0</v>
      </c>
    </row>
    <row r="135" spans="1:8" x14ac:dyDescent="0.2">
      <c r="B135" t="s">
        <v>83</v>
      </c>
      <c r="C135" s="17">
        <v>0</v>
      </c>
      <c r="D135" s="17">
        <v>0</v>
      </c>
      <c r="E135" s="17">
        <v>0</v>
      </c>
      <c r="F135" s="3">
        <v>0</v>
      </c>
      <c r="G135" s="17">
        <v>0</v>
      </c>
      <c r="H135" s="3">
        <v>0</v>
      </c>
    </row>
    <row r="136" spans="1:8" x14ac:dyDescent="0.2">
      <c r="B136" t="s">
        <v>84</v>
      </c>
      <c r="C136" s="17">
        <v>0</v>
      </c>
      <c r="D136" s="17">
        <v>0</v>
      </c>
      <c r="E136" s="17">
        <v>0</v>
      </c>
      <c r="F136" s="3">
        <v>0</v>
      </c>
      <c r="G136" s="17">
        <v>0</v>
      </c>
      <c r="H136" s="3">
        <v>0</v>
      </c>
    </row>
    <row r="137" spans="1:8" x14ac:dyDescent="0.2">
      <c r="B137" t="s">
        <v>85</v>
      </c>
      <c r="C137" s="17">
        <v>-1.3</v>
      </c>
      <c r="D137" s="17">
        <v>-8.9</v>
      </c>
      <c r="E137" s="17">
        <v>15</v>
      </c>
      <c r="F137" s="3">
        <v>14.5</v>
      </c>
      <c r="G137" s="17">
        <v>0</v>
      </c>
      <c r="H137" s="3">
        <v>0</v>
      </c>
    </row>
    <row r="138" spans="1:8" x14ac:dyDescent="0.2">
      <c r="B138" t="s">
        <v>139</v>
      </c>
      <c r="C138" s="17">
        <v>0.5</v>
      </c>
      <c r="D138" s="17">
        <v>0.6</v>
      </c>
      <c r="E138" s="17">
        <v>0</v>
      </c>
      <c r="F138" s="3">
        <v>0.4</v>
      </c>
      <c r="G138" s="17">
        <v>0</v>
      </c>
      <c r="H138" s="3"/>
    </row>
    <row r="139" spans="1:8" x14ac:dyDescent="0.2">
      <c r="B139" t="s">
        <v>140</v>
      </c>
      <c r="C139" s="17">
        <v>1.9</v>
      </c>
      <c r="D139" s="17">
        <v>2.8</v>
      </c>
      <c r="E139" s="17">
        <v>0</v>
      </c>
      <c r="F139" s="3">
        <v>1.3</v>
      </c>
      <c r="G139" s="17">
        <v>0.2</v>
      </c>
      <c r="H139" s="3"/>
    </row>
    <row r="140" spans="1:8" x14ac:dyDescent="0.2">
      <c r="B140" t="s">
        <v>141</v>
      </c>
      <c r="C140" s="17">
        <v>0</v>
      </c>
      <c r="D140" s="17">
        <v>0</v>
      </c>
      <c r="E140" s="17">
        <v>0</v>
      </c>
      <c r="F140" s="3">
        <v>2</v>
      </c>
      <c r="G140" s="17">
        <v>0</v>
      </c>
      <c r="H140" s="3"/>
    </row>
    <row r="141" spans="1:8" x14ac:dyDescent="0.2">
      <c r="B141" t="s">
        <v>142</v>
      </c>
      <c r="C141" s="17">
        <v>0</v>
      </c>
      <c r="D141" s="17">
        <v>0</v>
      </c>
      <c r="E141" s="17">
        <v>2.9</v>
      </c>
      <c r="F141" s="3">
        <v>0</v>
      </c>
      <c r="G141" s="17">
        <v>7.3</v>
      </c>
      <c r="H141" s="3"/>
    </row>
    <row r="142" spans="1:8" ht="15" x14ac:dyDescent="0.35">
      <c r="B142" t="s">
        <v>7</v>
      </c>
      <c r="C142" s="25">
        <v>0</v>
      </c>
      <c r="D142" s="25">
        <v>0</v>
      </c>
      <c r="E142" s="25">
        <v>0</v>
      </c>
      <c r="F142" s="5">
        <v>0</v>
      </c>
      <c r="G142" s="25">
        <v>0</v>
      </c>
      <c r="H142" s="5">
        <v>0</v>
      </c>
    </row>
    <row r="143" spans="1:8" ht="15" x14ac:dyDescent="0.35">
      <c r="B143" t="s">
        <v>86</v>
      </c>
      <c r="C143" s="25">
        <f t="shared" ref="C143:H143" si="25">SUM(C134:C142)</f>
        <v>1.0999999999999999</v>
      </c>
      <c r="D143" s="25">
        <f t="shared" si="25"/>
        <v>-5.5000000000000009</v>
      </c>
      <c r="E143" s="25">
        <f t="shared" si="25"/>
        <v>17.899999999999999</v>
      </c>
      <c r="F143" s="5">
        <f t="shared" si="25"/>
        <v>18.2</v>
      </c>
      <c r="G143" s="25">
        <f t="shared" si="25"/>
        <v>7.5</v>
      </c>
      <c r="H143" s="5">
        <f t="shared" si="25"/>
        <v>0</v>
      </c>
    </row>
    <row r="144" spans="1:8" x14ac:dyDescent="0.2">
      <c r="C144" s="17"/>
      <c r="D144" s="17"/>
      <c r="E144" s="17"/>
      <c r="F144" s="3"/>
      <c r="G144" s="17"/>
      <c r="H144" s="3"/>
    </row>
    <row r="145" spans="1:8" ht="15" x14ac:dyDescent="0.35">
      <c r="A145" s="6" t="s">
        <v>87</v>
      </c>
      <c r="C145" s="25">
        <f t="shared" ref="C145:H145" si="26">+C119+C131+C143</f>
        <v>165.19179199999999</v>
      </c>
      <c r="D145" s="25">
        <f t="shared" si="26"/>
        <v>167.2197175899999</v>
      </c>
      <c r="E145" s="25">
        <f t="shared" si="26"/>
        <v>228.1056197430635</v>
      </c>
      <c r="F145" s="5">
        <f t="shared" si="26"/>
        <v>215.94736473149655</v>
      </c>
      <c r="G145" s="25">
        <f t="shared" si="26"/>
        <v>183.69866569750002</v>
      </c>
      <c r="H145" s="5">
        <f t="shared" si="26"/>
        <v>277.46027361500006</v>
      </c>
    </row>
  </sheetData>
  <printOptions horizontalCentered="1"/>
  <pageMargins left="0" right="0" top="0.25" bottom="0.25" header="0" footer="0"/>
  <pageSetup scale="72" orientation="portrait" horizontalDpi="1200" verticalDpi="1200" r:id="rId1"/>
  <headerFooter alignWithMargins="0"/>
  <rowBreaks count="1" manualBreakCount="1"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1"/>
  <sheetViews>
    <sheetView tabSelected="1" workbookViewId="0">
      <selection activeCell="G114" sqref="G114"/>
    </sheetView>
  </sheetViews>
  <sheetFormatPr defaultRowHeight="12.75" x14ac:dyDescent="0.2"/>
  <cols>
    <col min="2" max="2" width="27.28515625" bestFit="1" customWidth="1"/>
  </cols>
  <sheetData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</row>
    <row r="5" spans="1:8" x14ac:dyDescent="0.2">
      <c r="A5" s="6" t="s">
        <v>48</v>
      </c>
      <c r="C5" s="3"/>
      <c r="D5" s="3"/>
      <c r="E5" s="3"/>
      <c r="F5" s="3"/>
      <c r="G5" s="3"/>
      <c r="H5" s="3"/>
    </row>
    <row r="6" spans="1:8" x14ac:dyDescent="0.2">
      <c r="B6" t="s">
        <v>4</v>
      </c>
      <c r="C6" s="3"/>
      <c r="D6" s="3"/>
      <c r="E6" s="3"/>
      <c r="F6" s="3"/>
      <c r="G6" s="3"/>
      <c r="H6" s="3"/>
    </row>
    <row r="7" spans="1:8" x14ac:dyDescent="0.2">
      <c r="B7" t="s">
        <v>41</v>
      </c>
      <c r="C7" s="3"/>
      <c r="D7" s="3"/>
      <c r="E7" s="3"/>
      <c r="F7" s="3"/>
      <c r="G7" s="3"/>
      <c r="H7" s="3"/>
    </row>
    <row r="8" spans="1:8" x14ac:dyDescent="0.2">
      <c r="B8" t="s">
        <v>42</v>
      </c>
      <c r="C8" s="3"/>
      <c r="D8" s="3"/>
      <c r="E8" s="3"/>
      <c r="F8" s="3"/>
      <c r="G8" s="3"/>
      <c r="H8" s="3"/>
    </row>
    <row r="9" spans="1:8" x14ac:dyDescent="0.2">
      <c r="B9" t="s">
        <v>30</v>
      </c>
      <c r="C9" s="3"/>
      <c r="D9" s="3"/>
      <c r="E9" s="3"/>
      <c r="F9" s="3"/>
      <c r="G9" s="3"/>
      <c r="H9" s="3"/>
    </row>
    <row r="10" spans="1:8" x14ac:dyDescent="0.2">
      <c r="B10" t="s">
        <v>5</v>
      </c>
      <c r="C10" s="3"/>
      <c r="D10" s="3"/>
      <c r="E10" s="3"/>
      <c r="F10" s="3"/>
      <c r="G10" s="3"/>
      <c r="H10" s="3"/>
    </row>
    <row r="11" spans="1:8" x14ac:dyDescent="0.2">
      <c r="B11" t="s">
        <v>31</v>
      </c>
      <c r="C11" s="3"/>
      <c r="D11" s="3"/>
      <c r="E11" s="3"/>
      <c r="F11" s="3"/>
      <c r="G11" s="3"/>
      <c r="H11" s="3"/>
    </row>
    <row r="12" spans="1:8" x14ac:dyDescent="0.2">
      <c r="B12" t="s">
        <v>6</v>
      </c>
      <c r="C12" s="3"/>
      <c r="D12" s="3"/>
      <c r="E12" s="3"/>
      <c r="F12" s="3"/>
      <c r="G12" s="3"/>
      <c r="H12" s="3"/>
    </row>
    <row r="13" spans="1:8" x14ac:dyDescent="0.2">
      <c r="B13" t="s">
        <v>27</v>
      </c>
      <c r="C13" s="3"/>
      <c r="D13" s="3"/>
      <c r="E13" s="3"/>
      <c r="F13" s="3"/>
      <c r="G13" s="3"/>
      <c r="H13" s="3"/>
    </row>
    <row r="14" spans="1:8" x14ac:dyDescent="0.2">
      <c r="B14" t="s">
        <v>7</v>
      </c>
      <c r="C14" s="4"/>
      <c r="D14" s="4"/>
      <c r="E14" s="4"/>
      <c r="F14" s="4"/>
      <c r="G14" s="4"/>
      <c r="H14" s="4"/>
    </row>
    <row r="15" spans="1:8" x14ac:dyDescent="0.2">
      <c r="B15" s="6" t="s">
        <v>25</v>
      </c>
      <c r="C15" s="3">
        <f t="shared" ref="C15:H15" si="0">SUM(C6:C14)</f>
        <v>0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</row>
    <row r="16" spans="1:8" x14ac:dyDescent="0.2">
      <c r="A16" s="6" t="s">
        <v>8</v>
      </c>
      <c r="C16" s="3"/>
      <c r="D16" s="3"/>
      <c r="E16" s="3"/>
      <c r="F16" s="3"/>
      <c r="G16" s="3"/>
      <c r="H16" s="3"/>
    </row>
    <row r="17" spans="1:8" x14ac:dyDescent="0.2">
      <c r="B17" t="s">
        <v>9</v>
      </c>
      <c r="C17" s="3"/>
      <c r="D17" s="3"/>
      <c r="E17" s="3"/>
      <c r="F17" s="3"/>
      <c r="G17" s="3"/>
      <c r="H17" s="3"/>
    </row>
    <row r="18" spans="1:8" x14ac:dyDescent="0.2">
      <c r="B18" t="s">
        <v>10</v>
      </c>
      <c r="C18" s="3"/>
      <c r="D18" s="3"/>
      <c r="E18" s="3"/>
      <c r="F18" s="3"/>
      <c r="G18" s="3"/>
      <c r="H18" s="3"/>
    </row>
    <row r="19" spans="1:8" x14ac:dyDescent="0.2">
      <c r="B19" t="s">
        <v>11</v>
      </c>
      <c r="C19" s="3"/>
      <c r="D19" s="3"/>
      <c r="E19" s="3"/>
      <c r="F19" s="3"/>
      <c r="G19" s="3"/>
      <c r="H19" s="3"/>
    </row>
    <row r="20" spans="1:8" x14ac:dyDescent="0.2">
      <c r="B20" t="s">
        <v>12</v>
      </c>
      <c r="C20" s="3"/>
      <c r="D20" s="3"/>
      <c r="E20" s="3"/>
      <c r="F20" s="3"/>
      <c r="G20" s="3"/>
      <c r="H20" s="3"/>
    </row>
    <row r="21" spans="1:8" x14ac:dyDescent="0.2">
      <c r="B21" t="s">
        <v>13</v>
      </c>
      <c r="C21" s="3"/>
      <c r="D21" s="3"/>
      <c r="E21" s="3"/>
      <c r="F21" s="3"/>
      <c r="G21" s="3"/>
      <c r="H21" s="3"/>
    </row>
    <row r="22" spans="1:8" x14ac:dyDescent="0.2">
      <c r="B22" t="s">
        <v>14</v>
      </c>
      <c r="C22" s="3"/>
      <c r="D22" s="3"/>
      <c r="E22" s="3"/>
      <c r="F22" s="3"/>
      <c r="G22" s="3"/>
      <c r="H22" s="3"/>
    </row>
    <row r="23" spans="1:8" x14ac:dyDescent="0.2">
      <c r="B23" t="s">
        <v>15</v>
      </c>
      <c r="C23" s="3"/>
      <c r="D23" s="3"/>
      <c r="E23" s="3"/>
      <c r="F23" s="3"/>
      <c r="G23" s="3"/>
      <c r="H23" s="3"/>
    </row>
    <row r="24" spans="1:8" x14ac:dyDescent="0.2">
      <c r="B24" t="s">
        <v>16</v>
      </c>
      <c r="C24" s="3"/>
      <c r="D24" s="3"/>
      <c r="E24" s="3"/>
      <c r="F24" s="3"/>
      <c r="G24" s="3"/>
      <c r="H24" s="3"/>
    </row>
    <row r="25" spans="1:8" x14ac:dyDescent="0.2">
      <c r="B25" s="12" t="s">
        <v>108</v>
      </c>
      <c r="C25" s="3"/>
      <c r="D25" s="3"/>
      <c r="E25" s="3"/>
      <c r="F25" s="3"/>
      <c r="G25" s="3"/>
      <c r="H25" s="3"/>
    </row>
    <row r="26" spans="1:8" ht="15" x14ac:dyDescent="0.35">
      <c r="B26" s="12" t="s">
        <v>110</v>
      </c>
      <c r="C26" s="5"/>
      <c r="D26" s="5"/>
      <c r="E26" s="5"/>
      <c r="F26" s="5"/>
      <c r="G26" s="5"/>
      <c r="H26" s="5"/>
    </row>
    <row r="27" spans="1:8" ht="15" x14ac:dyDescent="0.35">
      <c r="B27" s="6" t="s">
        <v>19</v>
      </c>
      <c r="C27" s="5">
        <f t="shared" ref="C27:H27" si="1">SUM(C17:C26)</f>
        <v>0</v>
      </c>
      <c r="D27" s="5">
        <f t="shared" si="1"/>
        <v>0</v>
      </c>
      <c r="E27" s="5">
        <f t="shared" si="1"/>
        <v>0</v>
      </c>
      <c r="F27" s="5">
        <f t="shared" si="1"/>
        <v>0</v>
      </c>
      <c r="G27" s="5">
        <f t="shared" si="1"/>
        <v>0</v>
      </c>
      <c r="H27" s="5">
        <f t="shared" si="1"/>
        <v>0</v>
      </c>
    </row>
    <row r="28" spans="1:8" x14ac:dyDescent="0.2">
      <c r="A28" s="6" t="s">
        <v>18</v>
      </c>
      <c r="C28" s="3">
        <f t="shared" ref="C28:H28" si="2">+C15+C27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</row>
    <row r="29" spans="1:8" x14ac:dyDescent="0.2">
      <c r="A29" s="6" t="s">
        <v>20</v>
      </c>
      <c r="C29" s="3"/>
      <c r="D29" s="3"/>
      <c r="E29" s="3"/>
      <c r="F29" s="3"/>
      <c r="G29" s="3"/>
      <c r="H29" s="3"/>
    </row>
    <row r="30" spans="1:8" x14ac:dyDescent="0.2">
      <c r="B30" t="s">
        <v>21</v>
      </c>
      <c r="C30" s="3"/>
      <c r="D30" s="3"/>
      <c r="E30" s="3"/>
      <c r="F30" s="3"/>
      <c r="G30" s="3"/>
      <c r="H30" s="3"/>
    </row>
    <row r="31" spans="1:8" x14ac:dyDescent="0.2">
      <c r="B31" t="s">
        <v>22</v>
      </c>
      <c r="C31" s="3"/>
      <c r="D31" s="3"/>
      <c r="E31" s="3"/>
      <c r="F31" s="3"/>
      <c r="G31" s="3"/>
      <c r="H31" s="3"/>
    </row>
    <row r="32" spans="1:8" ht="15" x14ac:dyDescent="0.35">
      <c r="B32" t="s">
        <v>23</v>
      </c>
      <c r="C32" s="5"/>
      <c r="D32" s="5"/>
      <c r="E32" s="5"/>
      <c r="F32" s="5"/>
      <c r="G32" s="5"/>
      <c r="H32" s="5"/>
    </row>
    <row r="33" spans="1:8" ht="15" x14ac:dyDescent="0.35">
      <c r="B33" s="6" t="s">
        <v>24</v>
      </c>
      <c r="C33" s="5">
        <f t="shared" ref="C33:H33" si="3">SUM(C30:C32)</f>
        <v>0</v>
      </c>
      <c r="D33" s="5">
        <f t="shared" si="3"/>
        <v>0</v>
      </c>
      <c r="E33" s="5">
        <f t="shared" si="3"/>
        <v>0</v>
      </c>
      <c r="F33" s="5">
        <f t="shared" si="3"/>
        <v>0</v>
      </c>
      <c r="G33" s="5">
        <f t="shared" si="3"/>
        <v>0</v>
      </c>
      <c r="H33" s="5">
        <f t="shared" si="3"/>
        <v>0</v>
      </c>
    </row>
    <row r="34" spans="1:8" ht="15" x14ac:dyDescent="0.35">
      <c r="A34" s="6" t="s">
        <v>49</v>
      </c>
      <c r="C34" s="5">
        <f t="shared" ref="C34:H34" si="4">+C28+C33</f>
        <v>0</v>
      </c>
      <c r="D34" s="5">
        <f t="shared" si="4"/>
        <v>0</v>
      </c>
      <c r="E34" s="5">
        <f t="shared" si="4"/>
        <v>0</v>
      </c>
      <c r="F34" s="5">
        <f t="shared" si="4"/>
        <v>0</v>
      </c>
      <c r="G34" s="5">
        <f t="shared" si="4"/>
        <v>0</v>
      </c>
      <c r="H34" s="5">
        <f t="shared" si="4"/>
        <v>0</v>
      </c>
    </row>
    <row r="35" spans="1:8" x14ac:dyDescent="0.2">
      <c r="C35" s="3"/>
      <c r="D35" s="3"/>
      <c r="E35" s="3"/>
      <c r="F35" s="3"/>
      <c r="G35" s="3"/>
      <c r="H35" s="3"/>
    </row>
    <row r="36" spans="1:8" x14ac:dyDescent="0.2">
      <c r="A36" s="9" t="s">
        <v>43</v>
      </c>
      <c r="C36" s="3"/>
      <c r="D36" s="3"/>
      <c r="E36" s="3"/>
      <c r="F36" s="3"/>
      <c r="G36" s="3"/>
      <c r="H36" s="3"/>
    </row>
    <row r="37" spans="1:8" x14ac:dyDescent="0.2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A38" s="6" t="s">
        <v>8</v>
      </c>
      <c r="C38" s="3"/>
      <c r="D38" s="3"/>
      <c r="E38" s="3"/>
      <c r="F38" s="3"/>
      <c r="G38" s="3"/>
      <c r="H38" s="3"/>
    </row>
    <row r="39" spans="1:8" x14ac:dyDescent="0.2">
      <c r="B39" t="s">
        <v>38</v>
      </c>
      <c r="C39" s="3"/>
      <c r="D39" s="3"/>
      <c r="E39" s="3"/>
      <c r="F39" s="3"/>
      <c r="G39" s="3"/>
      <c r="H39" s="3"/>
    </row>
    <row r="40" spans="1:8" x14ac:dyDescent="0.2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35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35">
      <c r="B42" s="6" t="s">
        <v>19</v>
      </c>
      <c r="C42" s="5">
        <f t="shared" ref="C42:H42" si="5">SUM(C39:C41)</f>
        <v>0</v>
      </c>
      <c r="D42" s="5">
        <f t="shared" si="5"/>
        <v>0</v>
      </c>
      <c r="E42" s="5">
        <f t="shared" si="5"/>
        <v>0</v>
      </c>
      <c r="F42" s="5">
        <f t="shared" si="5"/>
        <v>0</v>
      </c>
      <c r="G42" s="5">
        <f t="shared" si="5"/>
        <v>0</v>
      </c>
      <c r="H42" s="5">
        <f t="shared" si="5"/>
        <v>0</v>
      </c>
    </row>
    <row r="43" spans="1:8" ht="15" x14ac:dyDescent="0.35">
      <c r="A43" s="6" t="s">
        <v>50</v>
      </c>
      <c r="C43" s="5">
        <f t="shared" ref="C43:H43" si="6">+C37+C42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ht="15" x14ac:dyDescent="0.35">
      <c r="A45" s="6" t="s">
        <v>51</v>
      </c>
      <c r="C45" s="5">
        <f t="shared" ref="C45:H45" si="7">+C34+C43</f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</row>
    <row r="46" spans="1:8" ht="15" x14ac:dyDescent="0.35">
      <c r="A46" s="6"/>
      <c r="C46" s="5"/>
      <c r="D46" s="5"/>
      <c r="E46" s="5"/>
      <c r="F46" s="5"/>
      <c r="G46" s="5"/>
      <c r="H46" s="5"/>
    </row>
    <row r="47" spans="1:8" x14ac:dyDescent="0.2">
      <c r="A47" s="9" t="s">
        <v>37</v>
      </c>
      <c r="C47" s="3"/>
      <c r="D47" s="3"/>
      <c r="E47" s="3"/>
      <c r="F47" s="3"/>
      <c r="G47" s="3"/>
      <c r="H47" s="3"/>
    </row>
    <row r="48" spans="1:8" x14ac:dyDescent="0.2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">
      <c r="A49" s="6" t="s">
        <v>8</v>
      </c>
      <c r="C49" s="3"/>
      <c r="D49" s="3"/>
      <c r="E49" s="3"/>
      <c r="F49" s="3"/>
      <c r="G49" s="3"/>
      <c r="H49" s="3"/>
    </row>
    <row r="50" spans="1:8" x14ac:dyDescent="0.2">
      <c r="B50" t="s">
        <v>39</v>
      </c>
      <c r="C50" s="3"/>
      <c r="D50" s="3"/>
      <c r="E50" s="3"/>
      <c r="F50" s="3"/>
      <c r="G50" s="3"/>
      <c r="H50" s="3">
        <v>0</v>
      </c>
    </row>
    <row r="51" spans="1:8" x14ac:dyDescent="0.2">
      <c r="B51" s="12" t="s">
        <v>117</v>
      </c>
      <c r="C51" s="3"/>
      <c r="D51" s="3"/>
      <c r="E51" s="3"/>
      <c r="F51" s="3"/>
      <c r="G51" s="3"/>
      <c r="H51" s="3">
        <v>0</v>
      </c>
    </row>
    <row r="52" spans="1:8" x14ac:dyDescent="0.2">
      <c r="B52" t="s">
        <v>124</v>
      </c>
      <c r="C52" s="3"/>
      <c r="D52" s="3"/>
      <c r="E52" s="3"/>
      <c r="F52" s="3"/>
      <c r="G52" s="3"/>
      <c r="H52" s="3">
        <v>0</v>
      </c>
    </row>
    <row r="53" spans="1:8" x14ac:dyDescent="0.2">
      <c r="B53" s="12" t="s">
        <v>115</v>
      </c>
      <c r="C53" s="3"/>
      <c r="D53" s="3"/>
      <c r="E53" s="3"/>
      <c r="F53" s="3"/>
      <c r="G53" s="3"/>
      <c r="H53" s="3"/>
    </row>
    <row r="54" spans="1:8" ht="15" x14ac:dyDescent="0.35">
      <c r="B54" s="12" t="s">
        <v>104</v>
      </c>
      <c r="C54" s="5"/>
      <c r="D54" s="5"/>
      <c r="E54" s="5"/>
      <c r="F54" s="5"/>
      <c r="G54" s="5"/>
      <c r="H54" s="5">
        <v>0</v>
      </c>
    </row>
    <row r="55" spans="1:8" ht="15" x14ac:dyDescent="0.35">
      <c r="B55" s="6" t="s">
        <v>19</v>
      </c>
      <c r="C55" s="5">
        <f t="shared" ref="C55:H55" si="8">SUM(C50:C54)</f>
        <v>0</v>
      </c>
      <c r="D55" s="5">
        <f t="shared" si="8"/>
        <v>0</v>
      </c>
      <c r="E55" s="5">
        <f t="shared" si="8"/>
        <v>0</v>
      </c>
      <c r="F55" s="5">
        <f t="shared" si="8"/>
        <v>0</v>
      </c>
      <c r="G55" s="5">
        <f t="shared" si="8"/>
        <v>0</v>
      </c>
      <c r="H55" s="5">
        <f t="shared" si="8"/>
        <v>0</v>
      </c>
    </row>
    <row r="56" spans="1:8" ht="15" x14ac:dyDescent="0.35">
      <c r="A56" s="6" t="s">
        <v>53</v>
      </c>
      <c r="C56" s="5">
        <f t="shared" ref="C56:H56" si="9">+C48+C55</f>
        <v>0</v>
      </c>
      <c r="D56" s="5">
        <f t="shared" si="9"/>
        <v>0</v>
      </c>
      <c r="E56" s="5">
        <f t="shared" si="9"/>
        <v>0</v>
      </c>
      <c r="F56" s="5">
        <f t="shared" si="9"/>
        <v>0</v>
      </c>
      <c r="G56" s="5">
        <f t="shared" si="9"/>
        <v>0</v>
      </c>
      <c r="H56" s="5">
        <f t="shared" si="9"/>
        <v>0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40</v>
      </c>
      <c r="C59" s="3"/>
      <c r="D59" s="3"/>
      <c r="E59" s="3"/>
      <c r="F59" s="3"/>
      <c r="G59" s="3"/>
      <c r="H59" s="3">
        <v>0</v>
      </c>
    </row>
    <row r="60" spans="1:8" x14ac:dyDescent="0.2">
      <c r="A60" s="6" t="s">
        <v>8</v>
      </c>
      <c r="C60" s="3"/>
      <c r="D60" s="3"/>
      <c r="E60" s="3"/>
      <c r="F60" s="3"/>
      <c r="G60" s="3"/>
      <c r="H60" s="3"/>
    </row>
    <row r="61" spans="1:8" x14ac:dyDescent="0.2">
      <c r="B61" t="s">
        <v>59</v>
      </c>
      <c r="C61" s="3"/>
      <c r="D61" s="3"/>
      <c r="E61" s="3"/>
      <c r="F61" s="3"/>
      <c r="G61" s="3"/>
      <c r="H61" s="3">
        <v>0</v>
      </c>
    </row>
    <row r="62" spans="1:8" x14ac:dyDescent="0.2">
      <c r="B62" t="s">
        <v>58</v>
      </c>
      <c r="C62" s="3"/>
      <c r="D62" s="3"/>
      <c r="E62" s="3"/>
      <c r="F62" s="3"/>
      <c r="G62" s="3"/>
      <c r="H62" s="3">
        <v>0</v>
      </c>
    </row>
    <row r="63" spans="1:8" x14ac:dyDescent="0.2">
      <c r="B63" t="s">
        <v>44</v>
      </c>
      <c r="C63" s="3"/>
      <c r="D63" s="3"/>
      <c r="E63" s="3"/>
      <c r="F63" s="3"/>
      <c r="G63" s="3"/>
      <c r="H63" s="3">
        <v>0</v>
      </c>
    </row>
    <row r="64" spans="1:8" x14ac:dyDescent="0.2">
      <c r="B64" t="s">
        <v>114</v>
      </c>
      <c r="C64" s="3"/>
      <c r="D64" s="3"/>
      <c r="E64" s="3"/>
      <c r="F64" s="3"/>
      <c r="G64" s="3"/>
      <c r="H64" s="3"/>
    </row>
    <row r="65" spans="1:8" x14ac:dyDescent="0.2">
      <c r="B65" t="s">
        <v>112</v>
      </c>
      <c r="C65" s="3"/>
      <c r="D65" s="3"/>
      <c r="E65" s="3"/>
      <c r="F65" s="3"/>
      <c r="G65" s="3"/>
      <c r="H65" s="3"/>
    </row>
    <row r="66" spans="1:8" ht="15" x14ac:dyDescent="0.35">
      <c r="B66" s="12" t="s">
        <v>104</v>
      </c>
      <c r="C66" s="5"/>
      <c r="D66" s="5"/>
      <c r="E66" s="5"/>
      <c r="F66" s="5"/>
      <c r="G66" s="5"/>
      <c r="H66" s="5">
        <v>0</v>
      </c>
    </row>
    <row r="67" spans="1:8" ht="15" x14ac:dyDescent="0.35">
      <c r="B67" s="6" t="s">
        <v>19</v>
      </c>
      <c r="C67" s="5">
        <f t="shared" ref="C67:H67" si="10">SUM(C61:C66)</f>
        <v>0</v>
      </c>
      <c r="D67" s="5">
        <f t="shared" si="10"/>
        <v>0</v>
      </c>
      <c r="E67" s="5">
        <f t="shared" si="10"/>
        <v>0</v>
      </c>
      <c r="F67" s="5">
        <f t="shared" si="10"/>
        <v>0</v>
      </c>
      <c r="G67" s="5">
        <f t="shared" si="10"/>
        <v>0</v>
      </c>
      <c r="H67" s="5">
        <f t="shared" si="10"/>
        <v>0</v>
      </c>
    </row>
    <row r="68" spans="1:8" ht="15" x14ac:dyDescent="0.35">
      <c r="A68" s="6" t="s">
        <v>62</v>
      </c>
      <c r="C68" s="5">
        <f t="shared" ref="C68:H68" si="11">+C59+C67</f>
        <v>0</v>
      </c>
      <c r="D68" s="5">
        <f t="shared" si="11"/>
        <v>0</v>
      </c>
      <c r="E68" s="5">
        <f t="shared" si="11"/>
        <v>0</v>
      </c>
      <c r="F68" s="5">
        <f t="shared" si="11"/>
        <v>0</v>
      </c>
      <c r="G68" s="5">
        <f t="shared" si="11"/>
        <v>0</v>
      </c>
      <c r="H68" s="5">
        <f t="shared" si="11"/>
        <v>0</v>
      </c>
    </row>
    <row r="69" spans="1:8" x14ac:dyDescent="0.2">
      <c r="C69" s="3"/>
      <c r="D69" s="3"/>
      <c r="E69" s="3"/>
      <c r="F69" s="3"/>
      <c r="G69" s="3"/>
      <c r="H69" s="3"/>
    </row>
    <row r="70" spans="1:8" x14ac:dyDescent="0.2">
      <c r="A70" s="9" t="s">
        <v>54</v>
      </c>
      <c r="C70" s="3"/>
      <c r="D70" s="3"/>
      <c r="E70" s="3"/>
      <c r="F70" s="3"/>
      <c r="G70" s="3"/>
      <c r="H70" s="3"/>
    </row>
    <row r="71" spans="1:8" x14ac:dyDescent="0.2">
      <c r="A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">
      <c r="A72" s="6" t="s">
        <v>8</v>
      </c>
      <c r="C72" s="3"/>
      <c r="D72" s="3"/>
      <c r="E72" s="3"/>
      <c r="F72" s="3"/>
      <c r="G72" s="3"/>
      <c r="H72" s="3"/>
    </row>
    <row r="73" spans="1:8" x14ac:dyDescent="0.2">
      <c r="B73" t="s">
        <v>59</v>
      </c>
      <c r="C73" s="3"/>
      <c r="D73" s="3"/>
      <c r="E73" s="3"/>
      <c r="F73" s="3"/>
      <c r="G73" s="3"/>
      <c r="H73" s="3">
        <v>0</v>
      </c>
    </row>
    <row r="74" spans="1:8" x14ac:dyDescent="0.2">
      <c r="B74" t="s">
        <v>58</v>
      </c>
      <c r="C74" s="3">
        <v>0</v>
      </c>
      <c r="D74" s="3">
        <v>0</v>
      </c>
      <c r="E74" s="3">
        <v>0</v>
      </c>
      <c r="F74" s="3">
        <v>0</v>
      </c>
      <c r="G74" s="3">
        <f>0</f>
        <v>0</v>
      </c>
      <c r="H74" s="3">
        <v>0</v>
      </c>
    </row>
    <row r="75" spans="1:8" x14ac:dyDescent="0.2">
      <c r="B75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 ht="15" x14ac:dyDescent="0.35">
      <c r="B76" t="s">
        <v>45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</row>
    <row r="77" spans="1:8" ht="15" x14ac:dyDescent="0.35">
      <c r="B77" s="6" t="s">
        <v>19</v>
      </c>
      <c r="C77" s="5">
        <f t="shared" ref="C77:H77" si="12">SUM(C73:C76)</f>
        <v>0</v>
      </c>
      <c r="D77" s="5">
        <f t="shared" si="12"/>
        <v>0</v>
      </c>
      <c r="E77" s="5">
        <f t="shared" si="12"/>
        <v>0</v>
      </c>
      <c r="F77" s="5">
        <f t="shared" si="12"/>
        <v>0</v>
      </c>
      <c r="G77" s="5">
        <f t="shared" si="12"/>
        <v>0</v>
      </c>
      <c r="H77" s="5">
        <f t="shared" si="12"/>
        <v>0</v>
      </c>
    </row>
    <row r="78" spans="1:8" ht="15" x14ac:dyDescent="0.35">
      <c r="A78" s="6" t="s">
        <v>55</v>
      </c>
      <c r="C78" s="5">
        <f t="shared" ref="C78:H78" si="13">+C71+C77</f>
        <v>0</v>
      </c>
      <c r="D78" s="5">
        <f t="shared" si="13"/>
        <v>0</v>
      </c>
      <c r="E78" s="5">
        <f t="shared" si="13"/>
        <v>0</v>
      </c>
      <c r="F78" s="5">
        <f t="shared" si="13"/>
        <v>0</v>
      </c>
      <c r="G78" s="5">
        <f t="shared" si="13"/>
        <v>0</v>
      </c>
      <c r="H78" s="5">
        <f t="shared" si="13"/>
        <v>0</v>
      </c>
    </row>
    <row r="79" spans="1:8" x14ac:dyDescent="0.2">
      <c r="C79" s="3"/>
      <c r="D79" s="3"/>
      <c r="E79" s="3"/>
      <c r="F79" s="3"/>
      <c r="G79" s="3"/>
      <c r="H79" s="3"/>
    </row>
    <row r="80" spans="1:8" x14ac:dyDescent="0.2">
      <c r="A80" s="9" t="s">
        <v>56</v>
      </c>
      <c r="C80" s="3"/>
      <c r="D80" s="3"/>
      <c r="E80" s="3"/>
      <c r="F80" s="3"/>
      <c r="G80" s="3"/>
      <c r="H80" s="3"/>
    </row>
    <row r="81" spans="1:8" x14ac:dyDescent="0.2">
      <c r="A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">
      <c r="A82" s="6" t="s">
        <v>8</v>
      </c>
      <c r="C82" s="3"/>
      <c r="D82" s="3"/>
      <c r="E82" s="3"/>
      <c r="F82" s="3"/>
      <c r="G82" s="3"/>
      <c r="H82" s="3"/>
    </row>
    <row r="83" spans="1:8" x14ac:dyDescent="0.2">
      <c r="B83" t="s">
        <v>59</v>
      </c>
      <c r="C83" s="3"/>
      <c r="D83" s="3"/>
      <c r="E83" s="3"/>
      <c r="F83" s="3"/>
      <c r="G83" s="3"/>
      <c r="H83" s="3"/>
    </row>
    <row r="84" spans="1:8" x14ac:dyDescent="0.2">
      <c r="B84" t="s">
        <v>58</v>
      </c>
      <c r="C84" s="3"/>
      <c r="D84" s="3"/>
      <c r="E84" s="3"/>
      <c r="F84" s="3"/>
      <c r="G84" s="3"/>
      <c r="H84" s="3"/>
    </row>
    <row r="85" spans="1:8" x14ac:dyDescent="0.2">
      <c r="B85" t="s">
        <v>44</v>
      </c>
      <c r="C85" s="3"/>
      <c r="D85" s="3"/>
      <c r="E85" s="3"/>
      <c r="F85" s="3"/>
      <c r="G85" s="3"/>
      <c r="H85" s="3"/>
    </row>
    <row r="86" spans="1:8" ht="15" x14ac:dyDescent="0.35">
      <c r="B86" s="12" t="s">
        <v>111</v>
      </c>
      <c r="C86" s="5"/>
      <c r="D86" s="5"/>
      <c r="E86" s="5"/>
      <c r="F86" s="5"/>
      <c r="G86" s="5"/>
      <c r="H86" s="5"/>
    </row>
    <row r="87" spans="1:8" ht="15" x14ac:dyDescent="0.35">
      <c r="B87" s="6" t="s">
        <v>19</v>
      </c>
      <c r="C87" s="5">
        <f t="shared" ref="C87:H87" si="14">SUM(C83:C86)</f>
        <v>0</v>
      </c>
      <c r="D87" s="5">
        <f t="shared" si="14"/>
        <v>0</v>
      </c>
      <c r="E87" s="5">
        <f t="shared" si="14"/>
        <v>0</v>
      </c>
      <c r="F87" s="5">
        <f t="shared" si="14"/>
        <v>0</v>
      </c>
      <c r="G87" s="5">
        <f t="shared" si="14"/>
        <v>0</v>
      </c>
      <c r="H87" s="5">
        <f t="shared" si="14"/>
        <v>0</v>
      </c>
    </row>
    <row r="88" spans="1:8" ht="15" x14ac:dyDescent="0.35">
      <c r="A88" s="6" t="s">
        <v>57</v>
      </c>
      <c r="C88" s="5">
        <f t="shared" ref="C88:H88" si="15">+C81+C87</f>
        <v>0</v>
      </c>
      <c r="D88" s="5">
        <f t="shared" si="15"/>
        <v>0</v>
      </c>
      <c r="E88" s="5">
        <f t="shared" si="15"/>
        <v>0</v>
      </c>
      <c r="F88" s="5">
        <f t="shared" si="15"/>
        <v>0</v>
      </c>
      <c r="G88" s="5">
        <f t="shared" si="15"/>
        <v>0</v>
      </c>
      <c r="H88" s="5">
        <f t="shared" si="15"/>
        <v>0</v>
      </c>
    </row>
    <row r="89" spans="1:8" x14ac:dyDescent="0.2">
      <c r="C89" s="3"/>
      <c r="D89" s="3"/>
      <c r="E89" s="3"/>
      <c r="F89" s="3"/>
      <c r="G89" s="3"/>
      <c r="H89" s="3"/>
    </row>
    <row r="90" spans="1:8" x14ac:dyDescent="0.2">
      <c r="A90" s="9" t="s">
        <v>60</v>
      </c>
      <c r="C90" s="3"/>
      <c r="D90" s="3"/>
      <c r="E90" s="3"/>
      <c r="F90" s="3"/>
      <c r="G90" s="3"/>
      <c r="H90" s="3"/>
    </row>
    <row r="91" spans="1:8" x14ac:dyDescent="0.2">
      <c r="A91" s="6" t="s">
        <v>40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">
      <c r="A92" s="6" t="s">
        <v>8</v>
      </c>
      <c r="C92" s="3"/>
      <c r="D92" s="3"/>
      <c r="E92" s="3"/>
      <c r="F92" s="3"/>
      <c r="G92" s="3"/>
      <c r="H92" s="3"/>
    </row>
    <row r="93" spans="1:8" x14ac:dyDescent="0.2">
      <c r="B93" t="s">
        <v>59</v>
      </c>
      <c r="C93" s="3"/>
      <c r="D93" s="3"/>
      <c r="E93" s="3"/>
      <c r="F93" s="3"/>
      <c r="G93" s="3"/>
      <c r="H93" s="3"/>
    </row>
    <row r="94" spans="1:8" x14ac:dyDescent="0.2">
      <c r="B94" t="s">
        <v>58</v>
      </c>
      <c r="C94" s="3"/>
      <c r="D94" s="3"/>
      <c r="E94" s="3"/>
      <c r="F94" s="3"/>
      <c r="G94" s="3"/>
      <c r="H94" s="3"/>
    </row>
    <row r="95" spans="1:8" x14ac:dyDescent="0.2">
      <c r="B95" t="s">
        <v>99</v>
      </c>
      <c r="C95" s="3"/>
      <c r="D95" s="3"/>
      <c r="E95" s="3"/>
      <c r="F95" s="3"/>
      <c r="G95" s="3"/>
      <c r="H95" s="3"/>
    </row>
    <row r="96" spans="1:8" x14ac:dyDescent="0.2">
      <c r="B96" t="s">
        <v>112</v>
      </c>
      <c r="C96" s="3"/>
      <c r="D96" s="3"/>
      <c r="E96" s="3"/>
      <c r="F96" s="3"/>
      <c r="G96" s="3"/>
      <c r="H96" s="3"/>
    </row>
    <row r="97" spans="1:8" ht="15" x14ac:dyDescent="0.35">
      <c r="B97" s="12" t="s">
        <v>104</v>
      </c>
      <c r="C97" s="5"/>
      <c r="D97" s="5"/>
      <c r="E97" s="5"/>
      <c r="F97" s="5"/>
      <c r="G97" s="5"/>
      <c r="H97" s="5"/>
    </row>
    <row r="98" spans="1:8" ht="15" x14ac:dyDescent="0.35">
      <c r="B98" s="6" t="s">
        <v>19</v>
      </c>
      <c r="C98" s="5">
        <f t="shared" ref="C98:H98" si="16">SUM(C93:C97)</f>
        <v>0</v>
      </c>
      <c r="D98" s="5">
        <f t="shared" si="16"/>
        <v>0</v>
      </c>
      <c r="E98" s="5">
        <f t="shared" si="16"/>
        <v>0</v>
      </c>
      <c r="F98" s="5">
        <f t="shared" si="16"/>
        <v>0</v>
      </c>
      <c r="G98" s="5">
        <f t="shared" si="16"/>
        <v>0</v>
      </c>
      <c r="H98" s="5">
        <f t="shared" si="16"/>
        <v>0</v>
      </c>
    </row>
    <row r="99" spans="1:8" ht="15" x14ac:dyDescent="0.35">
      <c r="A99" s="6" t="s">
        <v>61</v>
      </c>
      <c r="C99" s="5">
        <f t="shared" ref="C99:H99" si="17">+C91+C98</f>
        <v>0</v>
      </c>
      <c r="D99" s="5">
        <f t="shared" si="17"/>
        <v>0</v>
      </c>
      <c r="E99" s="5">
        <f t="shared" si="17"/>
        <v>0</v>
      </c>
      <c r="F99" s="5">
        <f t="shared" si="17"/>
        <v>0</v>
      </c>
      <c r="G99" s="5">
        <f t="shared" si="17"/>
        <v>0</v>
      </c>
      <c r="H99" s="5">
        <f t="shared" si="17"/>
        <v>0</v>
      </c>
    </row>
    <row r="100" spans="1:8" x14ac:dyDescent="0.2">
      <c r="C100" s="3"/>
      <c r="D100" s="3"/>
      <c r="E100" s="3"/>
      <c r="F100" s="3"/>
      <c r="G100" s="3"/>
      <c r="H100" s="3"/>
    </row>
    <row r="101" spans="1:8" x14ac:dyDescent="0.2">
      <c r="A101" s="9" t="s">
        <v>63</v>
      </c>
      <c r="C101" s="3"/>
      <c r="D101" s="3"/>
      <c r="E101" s="3"/>
      <c r="F101" s="3"/>
      <c r="G101" s="3"/>
      <c r="H101" s="3"/>
    </row>
    <row r="102" spans="1:8" x14ac:dyDescent="0.2">
      <c r="A102" s="6" t="s">
        <v>40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">
      <c r="A103" s="6" t="s">
        <v>8</v>
      </c>
      <c r="C103" s="3"/>
      <c r="D103" s="3"/>
      <c r="E103" s="3"/>
      <c r="F103" s="3"/>
      <c r="G103" s="3"/>
      <c r="H103" s="3"/>
    </row>
    <row r="104" spans="1:8" x14ac:dyDescent="0.2">
      <c r="B104" t="s">
        <v>59</v>
      </c>
      <c r="C104" s="3"/>
      <c r="D104" s="3"/>
      <c r="E104" s="3"/>
      <c r="F104" s="3"/>
      <c r="G104" s="3"/>
      <c r="H104" s="3">
        <v>0</v>
      </c>
    </row>
    <row r="105" spans="1:8" x14ac:dyDescent="0.2">
      <c r="B105" t="s">
        <v>100</v>
      </c>
      <c r="C105" s="3"/>
      <c r="D105" s="3"/>
      <c r="E105" s="3"/>
      <c r="F105" s="3"/>
      <c r="G105" s="3"/>
      <c r="H105" s="3">
        <v>0</v>
      </c>
    </row>
    <row r="106" spans="1:8" x14ac:dyDescent="0.2">
      <c r="B106" s="12" t="s">
        <v>113</v>
      </c>
      <c r="C106" s="3"/>
      <c r="D106" s="3"/>
      <c r="E106" s="3"/>
      <c r="F106" s="3"/>
      <c r="G106" s="3"/>
      <c r="H106" s="3">
        <v>0</v>
      </c>
    </row>
    <row r="107" spans="1:8" x14ac:dyDescent="0.2">
      <c r="B107" t="s">
        <v>101</v>
      </c>
      <c r="C107" s="3"/>
      <c r="D107" s="3"/>
      <c r="E107" s="3"/>
      <c r="F107" s="3"/>
      <c r="G107" s="3"/>
      <c r="H107" s="3">
        <v>0</v>
      </c>
    </row>
    <row r="108" spans="1:8" x14ac:dyDescent="0.2">
      <c r="B108" t="s">
        <v>116</v>
      </c>
      <c r="C108" s="3"/>
      <c r="D108" s="3"/>
      <c r="E108" s="3"/>
      <c r="F108" s="3"/>
      <c r="G108" s="3"/>
      <c r="H108" s="3"/>
    </row>
    <row r="109" spans="1:8" ht="15" x14ac:dyDescent="0.35">
      <c r="B109" s="12" t="s">
        <v>109</v>
      </c>
      <c r="C109" s="5"/>
      <c r="D109" s="5"/>
      <c r="E109" s="5"/>
      <c r="F109" s="5"/>
      <c r="G109" s="5"/>
      <c r="H109" s="5">
        <v>0</v>
      </c>
    </row>
    <row r="110" spans="1:8" ht="15" x14ac:dyDescent="0.35">
      <c r="B110" s="6" t="s">
        <v>19</v>
      </c>
      <c r="C110" s="5">
        <f t="shared" ref="C110:H110" si="18">SUM(C104:C109)</f>
        <v>0</v>
      </c>
      <c r="D110" s="5">
        <f t="shared" si="18"/>
        <v>0</v>
      </c>
      <c r="E110" s="5">
        <f t="shared" si="18"/>
        <v>0</v>
      </c>
      <c r="F110" s="5">
        <f t="shared" si="18"/>
        <v>0</v>
      </c>
      <c r="G110" s="5">
        <f t="shared" si="18"/>
        <v>0</v>
      </c>
      <c r="H110" s="5">
        <f t="shared" si="18"/>
        <v>0</v>
      </c>
    </row>
    <row r="111" spans="1:8" ht="15" x14ac:dyDescent="0.35">
      <c r="A111" s="6" t="s">
        <v>64</v>
      </c>
      <c r="C111" s="5">
        <f t="shared" ref="C111:H111" si="19">+C102+C110</f>
        <v>0</v>
      </c>
      <c r="D111" s="5">
        <f t="shared" si="19"/>
        <v>0</v>
      </c>
      <c r="E111" s="5">
        <f t="shared" si="19"/>
        <v>0</v>
      </c>
      <c r="F111" s="5">
        <f t="shared" si="19"/>
        <v>0</v>
      </c>
      <c r="G111" s="5">
        <f t="shared" si="19"/>
        <v>0</v>
      </c>
      <c r="H111" s="5">
        <f t="shared" si="19"/>
        <v>0</v>
      </c>
    </row>
    <row r="112" spans="1:8" x14ac:dyDescent="0.2">
      <c r="C112" s="3"/>
      <c r="D112" s="3"/>
      <c r="E112" s="3"/>
      <c r="F112" s="3"/>
      <c r="G112" s="3"/>
      <c r="H112" s="3"/>
    </row>
    <row r="113" spans="1:8" ht="15" x14ac:dyDescent="0.35">
      <c r="A113" s="6" t="s">
        <v>65</v>
      </c>
      <c r="C113" s="5">
        <f t="shared" ref="C113:H113" si="20">+C45+C56+C68+C78+C88+C99+C111</f>
        <v>0</v>
      </c>
      <c r="D113" s="5">
        <f t="shared" si="20"/>
        <v>0</v>
      </c>
      <c r="E113" s="5">
        <f t="shared" si="20"/>
        <v>0</v>
      </c>
      <c r="F113" s="5">
        <f t="shared" si="20"/>
        <v>0</v>
      </c>
      <c r="G113" s="5">
        <f t="shared" si="20"/>
        <v>0</v>
      </c>
      <c r="H113" s="5">
        <f t="shared" si="20"/>
        <v>0</v>
      </c>
    </row>
    <row r="114" spans="1:8" x14ac:dyDescent="0.2">
      <c r="C114" s="3"/>
      <c r="D114" s="3"/>
      <c r="E114" s="3"/>
      <c r="F114" s="3"/>
      <c r="G114" s="3"/>
      <c r="H114" s="3"/>
    </row>
    <row r="115" spans="1:8" x14ac:dyDescent="0.2">
      <c r="A115" s="6" t="s">
        <v>66</v>
      </c>
      <c r="C115" s="3"/>
      <c r="D115" s="3"/>
      <c r="E115" s="3"/>
      <c r="F115" s="3"/>
      <c r="G115" s="3"/>
      <c r="H115" s="3"/>
    </row>
    <row r="116" spans="1:8" x14ac:dyDescent="0.2">
      <c r="B116" t="s">
        <v>67</v>
      </c>
      <c r="C116" s="3"/>
      <c r="D116" s="3"/>
      <c r="E116" s="3"/>
      <c r="F116" s="3"/>
      <c r="G116" s="3"/>
      <c r="H116" s="3"/>
    </row>
    <row r="117" spans="1:8" x14ac:dyDescent="0.2">
      <c r="B117" t="s">
        <v>68</v>
      </c>
      <c r="C117" s="3">
        <f>-7.6</f>
        <v>-7.6</v>
      </c>
      <c r="D117" s="3">
        <f>-6.4</f>
        <v>-6.4</v>
      </c>
      <c r="E117" s="3">
        <f>-6.4</f>
        <v>-6.4</v>
      </c>
      <c r="F117" s="3">
        <f>-6.4</f>
        <v>-6.4</v>
      </c>
      <c r="G117" s="3">
        <f>-6.4</f>
        <v>-6.4</v>
      </c>
      <c r="H117" s="3">
        <v>0</v>
      </c>
    </row>
    <row r="118" spans="1:8" x14ac:dyDescent="0.2">
      <c r="B118" t="s">
        <v>69</v>
      </c>
      <c r="C118" s="11">
        <f>(0.1+0.4+3.8+6+1.2+1.5)*-1</f>
        <v>-13</v>
      </c>
      <c r="D118" s="11">
        <f>(5.3+0.4+5.4+0.1+1.7+0.5+0.8)*-1</f>
        <v>-14.200000000000001</v>
      </c>
      <c r="E118" s="11">
        <f>(5.8+0.4+7.4+0.1+1.5+0.3+0.1)*-1</f>
        <v>-15.600000000000001</v>
      </c>
      <c r="F118" s="11">
        <f>(0.2+0.4+15.6+0.1+1.2-1.1)*-1</f>
        <v>-16.399999999999999</v>
      </c>
      <c r="G118" s="11">
        <f>(0.3+0.4+14.3+0.1+1.5+0.3)*-1</f>
        <v>-16.900000000000002</v>
      </c>
      <c r="H118" s="11">
        <v>0</v>
      </c>
    </row>
    <row r="119" spans="1:8" ht="15" x14ac:dyDescent="0.35">
      <c r="B119" t="s">
        <v>102</v>
      </c>
      <c r="C119" s="11">
        <f>-2.5</f>
        <v>-2.5</v>
      </c>
      <c r="D119" s="11">
        <f>-1.9</f>
        <v>-1.9</v>
      </c>
      <c r="E119" s="11">
        <f>-1.9</f>
        <v>-1.9</v>
      </c>
      <c r="F119" s="11">
        <f>-1.5</f>
        <v>-1.5</v>
      </c>
      <c r="G119" s="11">
        <f>-1.9</f>
        <v>-1.9</v>
      </c>
      <c r="H119" s="5"/>
    </row>
    <row r="120" spans="1:8" ht="15" x14ac:dyDescent="0.35">
      <c r="B120" t="s">
        <v>103</v>
      </c>
      <c r="C120" s="11">
        <f>-3.2+1.1</f>
        <v>-2.1</v>
      </c>
      <c r="D120" s="11">
        <f>-2.4</f>
        <v>-2.4</v>
      </c>
      <c r="E120" s="11">
        <f>-2.3</f>
        <v>-2.2999999999999998</v>
      </c>
      <c r="F120" s="11">
        <f>-2.2</f>
        <v>-2.2000000000000002</v>
      </c>
      <c r="G120" s="11">
        <f>-2.3</f>
        <v>-2.2999999999999998</v>
      </c>
      <c r="H120" s="5"/>
    </row>
    <row r="121" spans="1:8" ht="15" x14ac:dyDescent="0.35">
      <c r="B121" t="s">
        <v>100</v>
      </c>
      <c r="C121" s="11">
        <f>-1.1</f>
        <v>-1.1000000000000001</v>
      </c>
      <c r="D121" s="11">
        <f>-1.5</f>
        <v>-1.5</v>
      </c>
      <c r="E121" s="11">
        <f>-1.7</f>
        <v>-1.7</v>
      </c>
      <c r="F121" s="11">
        <f>-1.7</f>
        <v>-1.7</v>
      </c>
      <c r="G121" s="11">
        <f>-1.7</f>
        <v>-1.7</v>
      </c>
      <c r="H121" s="5"/>
    </row>
    <row r="122" spans="1:8" ht="15" x14ac:dyDescent="0.35">
      <c r="B122" t="s">
        <v>105</v>
      </c>
      <c r="C122" s="11">
        <f>8+1.7</f>
        <v>9.6999999999999993</v>
      </c>
      <c r="D122" s="11"/>
      <c r="E122" s="5"/>
      <c r="F122" s="11"/>
      <c r="G122" s="11"/>
      <c r="H122" s="5"/>
    </row>
    <row r="123" spans="1:8" x14ac:dyDescent="0.2">
      <c r="B123" t="s">
        <v>80</v>
      </c>
      <c r="C123" s="3">
        <f>SUM(C117:C122)</f>
        <v>-16.600000000000005</v>
      </c>
      <c r="D123" s="3">
        <f>SUM(D117:D122)</f>
        <v>-26.4</v>
      </c>
      <c r="E123" s="3">
        <f>SUM(E117:E122)</f>
        <v>-27.9</v>
      </c>
      <c r="F123" s="3">
        <f>SUM(F117:F122)</f>
        <v>-28.199999999999996</v>
      </c>
      <c r="G123" s="3">
        <f>SUM(G117:G122)</f>
        <v>-29.200000000000003</v>
      </c>
      <c r="H123" s="3">
        <f>SUM(H117:H118)</f>
        <v>0</v>
      </c>
    </row>
    <row r="124" spans="1:8" x14ac:dyDescent="0.2">
      <c r="B124" t="s">
        <v>75</v>
      </c>
      <c r="C124" s="3">
        <v>-48.9</v>
      </c>
      <c r="D124" s="3">
        <v>-47.2</v>
      </c>
      <c r="E124" s="3">
        <v>-45.4</v>
      </c>
      <c r="F124" s="3">
        <v>-47.8</v>
      </c>
      <c r="G124" s="3">
        <v>-49.6</v>
      </c>
      <c r="H124" s="3">
        <v>0</v>
      </c>
    </row>
    <row r="125" spans="1:8" x14ac:dyDescent="0.2">
      <c r="B125" t="s">
        <v>106</v>
      </c>
      <c r="C125" s="3">
        <f>-2.5</f>
        <v>-2.5</v>
      </c>
      <c r="D125" s="3">
        <f>-2.5</f>
        <v>-2.5</v>
      </c>
      <c r="E125" s="3">
        <f>-2.5</f>
        <v>-2.5</v>
      </c>
      <c r="F125" s="3">
        <f>-2.3</f>
        <v>-2.2999999999999998</v>
      </c>
      <c r="G125" s="3">
        <f>-2.6</f>
        <v>-2.6</v>
      </c>
      <c r="H125" s="3"/>
    </row>
    <row r="126" spans="1:8" x14ac:dyDescent="0.2">
      <c r="B126" t="s">
        <v>107</v>
      </c>
      <c r="C126" s="3"/>
      <c r="D126" s="3"/>
      <c r="E126" s="3">
        <v>2</v>
      </c>
      <c r="F126" s="3"/>
      <c r="G126" s="3"/>
      <c r="H126" s="3"/>
    </row>
    <row r="127" spans="1:8" x14ac:dyDescent="0.2">
      <c r="B127" t="s">
        <v>76</v>
      </c>
      <c r="C127" s="3"/>
      <c r="D127" s="3"/>
      <c r="E127" s="3"/>
      <c r="F127" s="3"/>
      <c r="G127" s="3"/>
      <c r="H127" s="3"/>
    </row>
    <row r="128" spans="1:8" x14ac:dyDescent="0.2">
      <c r="B128" t="s">
        <v>77</v>
      </c>
      <c r="C128" s="3">
        <v>-27.3</v>
      </c>
      <c r="D128" s="3">
        <v>-27.9</v>
      </c>
      <c r="E128" s="3">
        <v>-26.9</v>
      </c>
      <c r="F128" s="3">
        <v>-27.4</v>
      </c>
      <c r="G128" s="3">
        <v>-28.3</v>
      </c>
      <c r="H128" s="3">
        <v>0</v>
      </c>
    </row>
    <row r="129" spans="1:8" ht="15" x14ac:dyDescent="0.35">
      <c r="B129" t="s">
        <v>78</v>
      </c>
      <c r="C129" s="5">
        <v>-4.5999999999999996</v>
      </c>
      <c r="D129" s="5">
        <v>-5.3</v>
      </c>
      <c r="E129" s="5">
        <v>-6.5</v>
      </c>
      <c r="F129" s="5">
        <v>-5.8</v>
      </c>
      <c r="G129" s="5">
        <v>-6.2</v>
      </c>
      <c r="H129" s="5">
        <v>0</v>
      </c>
    </row>
    <row r="130" spans="1:8" ht="15" x14ac:dyDescent="0.35">
      <c r="B130" t="s">
        <v>79</v>
      </c>
      <c r="C130" s="5">
        <f t="shared" ref="C130:H130" si="21">SUM(C128:C129)</f>
        <v>-31.9</v>
      </c>
      <c r="D130" s="5">
        <f t="shared" si="21"/>
        <v>-33.199999999999996</v>
      </c>
      <c r="E130" s="5">
        <f t="shared" si="21"/>
        <v>-33.4</v>
      </c>
      <c r="F130" s="5">
        <f t="shared" si="21"/>
        <v>-33.199999999999996</v>
      </c>
      <c r="G130" s="5">
        <f t="shared" si="21"/>
        <v>-34.5</v>
      </c>
      <c r="H130" s="5">
        <f t="shared" si="21"/>
        <v>0</v>
      </c>
    </row>
    <row r="131" spans="1:8" ht="15" x14ac:dyDescent="0.35">
      <c r="B131" s="6" t="s">
        <v>88</v>
      </c>
      <c r="C131" s="5">
        <f t="shared" ref="C131:H131" si="22">+C123+C124+C130</f>
        <v>-97.4</v>
      </c>
      <c r="D131" s="5">
        <f t="shared" si="22"/>
        <v>-106.79999999999998</v>
      </c>
      <c r="E131" s="5">
        <f t="shared" si="22"/>
        <v>-106.69999999999999</v>
      </c>
      <c r="F131" s="5">
        <f t="shared" si="22"/>
        <v>-109.19999999999999</v>
      </c>
      <c r="G131" s="5">
        <f t="shared" si="22"/>
        <v>-113.30000000000001</v>
      </c>
      <c r="H131" s="5">
        <f t="shared" si="22"/>
        <v>0</v>
      </c>
    </row>
    <row r="132" spans="1:8" x14ac:dyDescent="0.2">
      <c r="B132" s="6"/>
      <c r="C132" s="3"/>
      <c r="D132" s="3"/>
      <c r="E132" s="3"/>
      <c r="F132" s="3"/>
      <c r="G132" s="3"/>
      <c r="H132" s="3"/>
    </row>
    <row r="133" spans="1:8" x14ac:dyDescent="0.2">
      <c r="A133" s="6" t="s">
        <v>81</v>
      </c>
      <c r="C133" s="3"/>
      <c r="D133" s="3"/>
      <c r="E133" s="3"/>
      <c r="F133" s="3"/>
      <c r="G133" s="3"/>
      <c r="H133" s="3"/>
    </row>
    <row r="134" spans="1:8" x14ac:dyDescent="0.2">
      <c r="B134" t="s">
        <v>82</v>
      </c>
      <c r="C134" s="3">
        <v>4.8</v>
      </c>
      <c r="D134" s="3">
        <v>1.9</v>
      </c>
      <c r="E134" s="3">
        <v>4.8</v>
      </c>
      <c r="F134" s="3">
        <v>3.7</v>
      </c>
      <c r="G134" s="3">
        <v>3.7</v>
      </c>
      <c r="H134" s="3">
        <v>0</v>
      </c>
    </row>
    <row r="135" spans="1:8" x14ac:dyDescent="0.2">
      <c r="B135" t="s">
        <v>83</v>
      </c>
      <c r="C135" s="3">
        <v>0.4</v>
      </c>
      <c r="D135" s="3">
        <v>0.3</v>
      </c>
      <c r="E135" s="3">
        <v>0.3</v>
      </c>
      <c r="F135" s="3">
        <v>0</v>
      </c>
      <c r="G135" s="3">
        <v>0</v>
      </c>
      <c r="H135" s="3">
        <v>0</v>
      </c>
    </row>
    <row r="136" spans="1:8" x14ac:dyDescent="0.2">
      <c r="B136" t="s">
        <v>84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">
      <c r="B137" t="s">
        <v>85</v>
      </c>
      <c r="C137" s="3">
        <v>0</v>
      </c>
      <c r="D137" s="3">
        <v>14.3</v>
      </c>
      <c r="E137" s="3">
        <v>3.1</v>
      </c>
      <c r="F137" s="3">
        <v>0</v>
      </c>
      <c r="G137" s="3">
        <v>0</v>
      </c>
      <c r="H137" s="3">
        <v>0</v>
      </c>
    </row>
    <row r="138" spans="1:8" ht="15" x14ac:dyDescent="0.35">
      <c r="B138" t="s">
        <v>7</v>
      </c>
      <c r="C138" s="5">
        <v>0.3</v>
      </c>
      <c r="D138" s="5">
        <f>2.2+0.5+1.5+0.5</f>
        <v>4.7</v>
      </c>
      <c r="E138" s="5">
        <f>2.3-0.1</f>
        <v>2.1999999999999997</v>
      </c>
      <c r="F138" s="5">
        <v>-0.5</v>
      </c>
      <c r="G138" s="5">
        <v>-0.4</v>
      </c>
      <c r="H138" s="5">
        <v>0</v>
      </c>
    </row>
    <row r="139" spans="1:8" ht="15" x14ac:dyDescent="0.35">
      <c r="B139" t="s">
        <v>86</v>
      </c>
      <c r="C139" s="5">
        <f t="shared" ref="C139:H139" si="23">SUM(C134:C138)</f>
        <v>5.5</v>
      </c>
      <c r="D139" s="5">
        <f t="shared" si="23"/>
        <v>21.2</v>
      </c>
      <c r="E139" s="5">
        <f t="shared" si="23"/>
        <v>10.399999999999999</v>
      </c>
      <c r="F139" s="5">
        <f t="shared" si="23"/>
        <v>3.2</v>
      </c>
      <c r="G139" s="5">
        <f t="shared" si="23"/>
        <v>3.3000000000000003</v>
      </c>
      <c r="H139" s="5">
        <f t="shared" si="23"/>
        <v>0</v>
      </c>
    </row>
    <row r="140" spans="1:8" x14ac:dyDescent="0.2">
      <c r="C140" s="3"/>
      <c r="D140" s="3"/>
      <c r="E140" s="3"/>
      <c r="F140" s="3"/>
      <c r="G140" s="3"/>
      <c r="H140" s="3"/>
    </row>
    <row r="141" spans="1:8" x14ac:dyDescent="0.2">
      <c r="A141" s="6" t="s">
        <v>87</v>
      </c>
      <c r="C141" s="3">
        <f t="shared" ref="C141:H141" si="24">+C113+C131+C139</f>
        <v>-91.9</v>
      </c>
      <c r="D141" s="3">
        <f t="shared" si="24"/>
        <v>-85.59999999999998</v>
      </c>
      <c r="E141" s="3">
        <f t="shared" si="24"/>
        <v>-96.299999999999983</v>
      </c>
      <c r="F141" s="3">
        <f t="shared" si="24"/>
        <v>-105.99999999999999</v>
      </c>
      <c r="G141" s="3">
        <f t="shared" si="24"/>
        <v>-110.00000000000001</v>
      </c>
      <c r="H141" s="3">
        <f t="shared" si="24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4"/>
  <sheetViews>
    <sheetView zoomScaleNormal="100" workbookViewId="0">
      <selection activeCell="A16" sqref="A16"/>
    </sheetView>
  </sheetViews>
  <sheetFormatPr defaultRowHeight="12.75" x14ac:dyDescent="0.2"/>
  <cols>
    <col min="1" max="1" width="10.7109375" customWidth="1"/>
    <col min="2" max="2" width="22.7109375" customWidth="1"/>
    <col min="3" max="8" width="10.7109375" customWidth="1"/>
  </cols>
  <sheetData>
    <row r="1" spans="1:10" x14ac:dyDescent="0.2">
      <c r="I1" s="1" t="s">
        <v>26</v>
      </c>
      <c r="J1" s="1" t="s">
        <v>1</v>
      </c>
    </row>
    <row r="2" spans="1:10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  <c r="I2" s="1" t="s">
        <v>161</v>
      </c>
      <c r="J2" s="1" t="s">
        <v>161</v>
      </c>
    </row>
    <row r="3" spans="1:10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  <c r="I3" s="2" t="s">
        <v>162</v>
      </c>
      <c r="J3" s="2" t="s">
        <v>163</v>
      </c>
    </row>
    <row r="5" spans="1:10" x14ac:dyDescent="0.2">
      <c r="A5" s="9" t="s">
        <v>47</v>
      </c>
    </row>
    <row r="6" spans="1:10" x14ac:dyDescent="0.2">
      <c r="A6" t="s">
        <v>144</v>
      </c>
    </row>
    <row r="7" spans="1:10" x14ac:dyDescent="0.2">
      <c r="B7" t="s">
        <v>3</v>
      </c>
      <c r="C7" s="3">
        <f>+NNG!C28</f>
        <v>411.70000000000005</v>
      </c>
      <c r="D7" s="3">
        <f>+NNG!D28</f>
        <v>417.90000000000003</v>
      </c>
      <c r="E7" s="3">
        <f>+NNG!E28</f>
        <v>406.8</v>
      </c>
      <c r="F7" s="3">
        <f>+NNG!F28</f>
        <v>394.80000000000007</v>
      </c>
      <c r="G7" s="3">
        <f>+NNG!G28</f>
        <v>438.99999999999994</v>
      </c>
      <c r="H7" s="3">
        <f>+NNG!H28</f>
        <v>425.20000000000005</v>
      </c>
      <c r="I7" s="3">
        <f>+H7-G7</f>
        <v>-13.799999999999898</v>
      </c>
      <c r="J7" s="3">
        <f>+G7-F7</f>
        <v>44.199999999999875</v>
      </c>
    </row>
    <row r="8" spans="1:10" x14ac:dyDescent="0.2">
      <c r="B8" t="s">
        <v>29</v>
      </c>
      <c r="C8" s="3">
        <f>+TW!C24</f>
        <v>147.00000000000003</v>
      </c>
      <c r="D8" s="3">
        <f>+TW!D24</f>
        <v>147.10000000000002</v>
      </c>
      <c r="E8" s="3">
        <f>+TW!E24</f>
        <v>156.5</v>
      </c>
      <c r="F8" s="3">
        <f>+TW!F24</f>
        <v>160.5</v>
      </c>
      <c r="G8" s="3">
        <f>+TW!G24</f>
        <v>180.20000000000005</v>
      </c>
      <c r="H8" s="3">
        <f>+TW!H24</f>
        <v>170.70000000000002</v>
      </c>
      <c r="I8" s="3">
        <f t="shared" ref="I8:I71" si="0">+H8-G8</f>
        <v>-9.5000000000000284</v>
      </c>
      <c r="J8" s="3">
        <f t="shared" ref="J8:J71" si="1">+G8-F8</f>
        <v>19.700000000000045</v>
      </c>
    </row>
    <row r="9" spans="1:10" ht="15" x14ac:dyDescent="0.35">
      <c r="B9" t="s">
        <v>143</v>
      </c>
      <c r="C9" s="5">
        <f>+Citrus!C26</f>
        <v>283.04230000000001</v>
      </c>
      <c r="D9" s="5">
        <f>+Citrus!D26</f>
        <v>284.167146</v>
      </c>
      <c r="E9" s="5">
        <f>+Citrus!E26</f>
        <v>280.40102570000005</v>
      </c>
      <c r="F9" s="5">
        <f>+Citrus!F26</f>
        <v>287.64036357999998</v>
      </c>
      <c r="G9" s="5">
        <f>+Citrus!G26</f>
        <v>317.80718119999995</v>
      </c>
      <c r="H9" s="5">
        <f>+Citrus!H26</f>
        <v>280.57134661500004</v>
      </c>
      <c r="I9" s="5">
        <f t="shared" si="0"/>
        <v>-37.235834584999907</v>
      </c>
      <c r="J9" s="5">
        <f t="shared" si="1"/>
        <v>30.166817619999961</v>
      </c>
    </row>
    <row r="10" spans="1:10" ht="15" x14ac:dyDescent="0.35">
      <c r="B10" t="s">
        <v>145</v>
      </c>
      <c r="C10" s="5">
        <f t="shared" ref="C10:H10" si="2">SUM(C7:C9)</f>
        <v>841.74230000000011</v>
      </c>
      <c r="D10" s="5">
        <f t="shared" si="2"/>
        <v>849.167146</v>
      </c>
      <c r="E10" s="5">
        <f t="shared" si="2"/>
        <v>843.70102569999995</v>
      </c>
      <c r="F10" s="5">
        <f t="shared" si="2"/>
        <v>842.94036358000005</v>
      </c>
      <c r="G10" s="5">
        <f t="shared" si="2"/>
        <v>937.00718119999999</v>
      </c>
      <c r="H10" s="5">
        <f t="shared" si="2"/>
        <v>876.47134661500013</v>
      </c>
      <c r="I10" s="5">
        <f t="shared" si="0"/>
        <v>-60.535834584999861</v>
      </c>
      <c r="J10" s="5">
        <f t="shared" si="1"/>
        <v>94.066817619999938</v>
      </c>
    </row>
    <row r="11" spans="1:10" x14ac:dyDescent="0.2">
      <c r="A11" t="s">
        <v>146</v>
      </c>
      <c r="C11" s="3"/>
      <c r="D11" s="3"/>
      <c r="E11" s="3"/>
      <c r="F11" s="3"/>
      <c r="G11" s="3"/>
      <c r="H11" s="3"/>
      <c r="I11" s="3"/>
      <c r="J11" s="3"/>
    </row>
    <row r="12" spans="1:10" x14ac:dyDescent="0.2">
      <c r="B12" t="s">
        <v>3</v>
      </c>
      <c r="C12" s="3">
        <f>+NNG!C33</f>
        <v>25.7</v>
      </c>
      <c r="D12" s="3">
        <f>+NNG!D33</f>
        <v>23.3</v>
      </c>
      <c r="E12" s="3">
        <f>+NNG!E33</f>
        <v>24.6</v>
      </c>
      <c r="F12" s="3">
        <f>+NNG!F33</f>
        <v>45.2</v>
      </c>
      <c r="G12" s="3">
        <f>+NNG!G33</f>
        <v>9.9</v>
      </c>
      <c r="H12" s="3">
        <f>+NNG!H33</f>
        <v>10</v>
      </c>
      <c r="I12" s="3">
        <f t="shared" si="0"/>
        <v>9.9999999999999645E-2</v>
      </c>
      <c r="J12" s="3">
        <f t="shared" si="1"/>
        <v>-35.300000000000004</v>
      </c>
    </row>
    <row r="13" spans="1:10" x14ac:dyDescent="0.2">
      <c r="B13" t="s">
        <v>29</v>
      </c>
      <c r="C13" s="3">
        <f>+TW!C29</f>
        <v>3.1</v>
      </c>
      <c r="D13" s="3">
        <f>+TW!D29</f>
        <v>5.0999999999999996</v>
      </c>
      <c r="E13" s="3">
        <f>+TW!E29</f>
        <v>3</v>
      </c>
      <c r="F13" s="3">
        <f>+TW!F29</f>
        <v>0</v>
      </c>
      <c r="G13" s="3">
        <f>+TW!G29</f>
        <v>0</v>
      </c>
      <c r="H13" s="3">
        <f>+TW!H29</f>
        <v>0</v>
      </c>
      <c r="I13" s="3">
        <f t="shared" si="0"/>
        <v>0</v>
      </c>
      <c r="J13" s="3">
        <f t="shared" si="1"/>
        <v>0</v>
      </c>
    </row>
    <row r="14" spans="1:10" ht="15" x14ac:dyDescent="0.35">
      <c r="B14" t="s">
        <v>143</v>
      </c>
      <c r="C14" s="5">
        <f>+Citrus!C31</f>
        <v>0.5</v>
      </c>
      <c r="D14" s="5">
        <f>+Citrus!D31</f>
        <v>0.5</v>
      </c>
      <c r="E14" s="5">
        <f>+Citrus!E31</f>
        <v>12.5</v>
      </c>
      <c r="F14" s="5">
        <f>+Citrus!F31</f>
        <v>-0.8</v>
      </c>
      <c r="G14" s="5">
        <f>+Citrus!G31</f>
        <v>0.5</v>
      </c>
      <c r="H14" s="5">
        <f>+Citrus!H31</f>
        <v>9.6999999999999993</v>
      </c>
      <c r="I14" s="5">
        <f t="shared" si="0"/>
        <v>9.1999999999999993</v>
      </c>
      <c r="J14" s="5">
        <f t="shared" si="1"/>
        <v>1.3</v>
      </c>
    </row>
    <row r="15" spans="1:10" ht="15" x14ac:dyDescent="0.35">
      <c r="B15" t="s">
        <v>145</v>
      </c>
      <c r="C15" s="5">
        <f t="shared" ref="C15:H15" si="3">SUM(C12:C14)</f>
        <v>29.3</v>
      </c>
      <c r="D15" s="5">
        <f t="shared" si="3"/>
        <v>28.9</v>
      </c>
      <c r="E15" s="5">
        <f t="shared" si="3"/>
        <v>40.1</v>
      </c>
      <c r="F15" s="5">
        <f t="shared" si="3"/>
        <v>44.400000000000006</v>
      </c>
      <c r="G15" s="5">
        <f t="shared" si="3"/>
        <v>10.4</v>
      </c>
      <c r="H15" s="5">
        <f t="shared" si="3"/>
        <v>19.7</v>
      </c>
      <c r="I15" s="5">
        <f t="shared" si="0"/>
        <v>9.2999999999999989</v>
      </c>
      <c r="J15" s="5">
        <f t="shared" si="1"/>
        <v>-34.000000000000007</v>
      </c>
    </row>
    <row r="16" spans="1:10" ht="15" x14ac:dyDescent="0.35">
      <c r="A16" s="6" t="s">
        <v>147</v>
      </c>
      <c r="C16" s="5">
        <f t="shared" ref="C16:H16" si="4">+C15+C10</f>
        <v>871.04230000000007</v>
      </c>
      <c r="D16" s="5">
        <f t="shared" si="4"/>
        <v>878.06714599999998</v>
      </c>
      <c r="E16" s="5">
        <f t="shared" si="4"/>
        <v>883.80102569999997</v>
      </c>
      <c r="F16" s="5">
        <f t="shared" si="4"/>
        <v>887.34036358000003</v>
      </c>
      <c r="G16" s="5">
        <f t="shared" si="4"/>
        <v>947.40718119999997</v>
      </c>
      <c r="H16" s="5">
        <f t="shared" si="4"/>
        <v>896.17134661500018</v>
      </c>
      <c r="I16" s="5">
        <f t="shared" si="0"/>
        <v>-51.235834584999793</v>
      </c>
      <c r="J16" s="5">
        <f t="shared" si="1"/>
        <v>60.066817619999938</v>
      </c>
    </row>
    <row r="17" spans="1:10" x14ac:dyDescent="0.2"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9" t="str">
        <f>+NNG!A36</f>
        <v>Market Services</v>
      </c>
      <c r="C18" s="3"/>
      <c r="D18" s="3"/>
      <c r="E18" s="3"/>
      <c r="F18" s="3"/>
      <c r="G18" s="3"/>
      <c r="H18" s="3"/>
      <c r="I18" s="3"/>
      <c r="J18" s="3"/>
    </row>
    <row r="19" spans="1:10" x14ac:dyDescent="0.2">
      <c r="B19" t="s">
        <v>3</v>
      </c>
      <c r="C19" s="3">
        <f>+NNG!C43</f>
        <v>-5.2</v>
      </c>
      <c r="D19" s="3">
        <f>+NNG!D43</f>
        <v>-5.4</v>
      </c>
      <c r="E19" s="3">
        <f>+NNG!E43</f>
        <v>-5.2</v>
      </c>
      <c r="F19" s="3">
        <f>+NNG!F43</f>
        <v>-5.0999999999999996</v>
      </c>
      <c r="G19" s="3">
        <f>+NNG!G43</f>
        <v>-5</v>
      </c>
      <c r="H19" s="3">
        <f>+E19*0.95</f>
        <v>-4.9399999999999995</v>
      </c>
      <c r="I19" s="3">
        <f t="shared" si="0"/>
        <v>6.0000000000000497E-2</v>
      </c>
      <c r="J19" s="3">
        <f t="shared" si="1"/>
        <v>9.9999999999999645E-2</v>
      </c>
    </row>
    <row r="20" spans="1:10" x14ac:dyDescent="0.2">
      <c r="B20" t="s">
        <v>29</v>
      </c>
      <c r="C20" s="3">
        <f>+TW!C39</f>
        <v>-1.1000000000000001</v>
      </c>
      <c r="D20" s="3">
        <f>+TW!D39</f>
        <v>-1.3</v>
      </c>
      <c r="E20" s="3">
        <f>+TW!E39</f>
        <v>-1.7</v>
      </c>
      <c r="F20" s="3">
        <f>+TW!F39</f>
        <v>-1.3</v>
      </c>
      <c r="G20" s="3">
        <f>+TW!G39</f>
        <v>-1.5</v>
      </c>
      <c r="H20" s="3">
        <f>+E20*0.95</f>
        <v>-1.615</v>
      </c>
      <c r="I20" s="3">
        <f t="shared" si="0"/>
        <v>-0.11499999999999999</v>
      </c>
      <c r="J20" s="3">
        <f t="shared" si="1"/>
        <v>-0.19999999999999996</v>
      </c>
    </row>
    <row r="21" spans="1:10" ht="15" x14ac:dyDescent="0.35">
      <c r="B21" t="s">
        <v>143</v>
      </c>
      <c r="C21" s="5">
        <f>+Citrus!C41</f>
        <v>-2.8170000000000002</v>
      </c>
      <c r="D21" s="5">
        <f>+Citrus!D41</f>
        <v>-2.657883</v>
      </c>
      <c r="E21" s="5">
        <f>+Citrus!E41</f>
        <v>-3.4445960000000002</v>
      </c>
      <c r="F21" s="5">
        <f>+Citrus!F41</f>
        <v>-3.5387342499999996</v>
      </c>
      <c r="G21" s="5">
        <f>+Citrus!G41</f>
        <v>-3.4800279999999999</v>
      </c>
      <c r="H21" s="5">
        <f>+E21*0.95</f>
        <v>-3.2723662</v>
      </c>
      <c r="I21" s="5">
        <f t="shared" si="0"/>
        <v>0.2076617999999999</v>
      </c>
      <c r="J21" s="5">
        <f t="shared" si="1"/>
        <v>5.8706249999999738E-2</v>
      </c>
    </row>
    <row r="22" spans="1:10" ht="15" x14ac:dyDescent="0.35">
      <c r="B22" t="s">
        <v>145</v>
      </c>
      <c r="C22" s="5">
        <f t="shared" ref="C22:H22" si="5">SUM(C19:C21)</f>
        <v>-9.1170000000000009</v>
      </c>
      <c r="D22" s="5">
        <f t="shared" si="5"/>
        <v>-9.3578830000000011</v>
      </c>
      <c r="E22" s="5">
        <f t="shared" si="5"/>
        <v>-10.344596000000001</v>
      </c>
      <c r="F22" s="5">
        <f t="shared" si="5"/>
        <v>-9.9387342499999995</v>
      </c>
      <c r="G22" s="5">
        <f t="shared" si="5"/>
        <v>-9.9800280000000008</v>
      </c>
      <c r="H22" s="5">
        <f t="shared" si="5"/>
        <v>-9.8273662000000002</v>
      </c>
      <c r="I22" s="5">
        <f t="shared" si="0"/>
        <v>0.15266180000000062</v>
      </c>
      <c r="J22" s="5">
        <f t="shared" si="1"/>
        <v>-4.1293750000001239E-2</v>
      </c>
    </row>
    <row r="23" spans="1:10" x14ac:dyDescent="0.2"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6" t="s">
        <v>148</v>
      </c>
      <c r="C24" s="3">
        <f t="shared" ref="C24:H24" si="6">+C22+C16</f>
        <v>861.92530000000011</v>
      </c>
      <c r="D24" s="3">
        <f t="shared" si="6"/>
        <v>868.70926299999996</v>
      </c>
      <c r="E24" s="3">
        <f t="shared" si="6"/>
        <v>873.45642969999994</v>
      </c>
      <c r="F24" s="3">
        <f t="shared" si="6"/>
        <v>877.40162932999999</v>
      </c>
      <c r="G24" s="3">
        <f t="shared" si="6"/>
        <v>937.42715320000002</v>
      </c>
      <c r="H24" s="3">
        <f t="shared" si="6"/>
        <v>886.34398041500015</v>
      </c>
      <c r="I24" s="3">
        <f t="shared" si="0"/>
        <v>-51.083172784999874</v>
      </c>
      <c r="J24" s="3">
        <f t="shared" si="1"/>
        <v>60.025523870000029</v>
      </c>
    </row>
    <row r="25" spans="1:10" x14ac:dyDescent="0.2"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9" t="str">
        <f>+NNG!A47</f>
        <v>Operations</v>
      </c>
      <c r="C26" s="3"/>
      <c r="D26" s="3"/>
      <c r="E26" s="3"/>
      <c r="F26" s="3"/>
      <c r="G26" s="3"/>
      <c r="H26" s="3"/>
      <c r="I26" s="3"/>
      <c r="J26" s="3"/>
    </row>
    <row r="27" spans="1:10" x14ac:dyDescent="0.2">
      <c r="B27" t="s">
        <v>3</v>
      </c>
      <c r="C27" s="3">
        <f>+NNG!C56</f>
        <v>-93.600000000000009</v>
      </c>
      <c r="D27" s="3">
        <f>+NNG!D56</f>
        <v>-97.1</v>
      </c>
      <c r="E27" s="3">
        <f>+NNG!E56</f>
        <v>-92.3</v>
      </c>
      <c r="F27" s="3">
        <f>+NNG!F56</f>
        <v>-88.199999999999989</v>
      </c>
      <c r="G27" s="3">
        <f>+NNG!G56</f>
        <v>-93.5</v>
      </c>
      <c r="H27" s="3">
        <f>+E27</f>
        <v>-92.3</v>
      </c>
      <c r="I27" s="3">
        <f t="shared" si="0"/>
        <v>1.2000000000000028</v>
      </c>
      <c r="J27" s="3">
        <f t="shared" si="1"/>
        <v>-5.3000000000000114</v>
      </c>
    </row>
    <row r="28" spans="1:10" x14ac:dyDescent="0.2">
      <c r="B28" t="s">
        <v>29</v>
      </c>
      <c r="C28" s="3">
        <f>+TW!C54</f>
        <v>-22.599999999999998</v>
      </c>
      <c r="D28" s="3">
        <f>+TW!D54</f>
        <v>-22.453000000000003</v>
      </c>
      <c r="E28" s="3">
        <f>+TW!E54</f>
        <v>-22.8</v>
      </c>
      <c r="F28" s="3">
        <f>+TW!F54</f>
        <v>-22.9</v>
      </c>
      <c r="G28" s="3">
        <f>+TW!G54</f>
        <v>-26.7</v>
      </c>
      <c r="H28" s="3">
        <f>+E28</f>
        <v>-22.8</v>
      </c>
      <c r="I28" s="3">
        <f t="shared" si="0"/>
        <v>3.8999999999999986</v>
      </c>
      <c r="J28" s="3">
        <f t="shared" si="1"/>
        <v>-3.8000000000000007</v>
      </c>
    </row>
    <row r="29" spans="1:10" ht="15" x14ac:dyDescent="0.35">
      <c r="B29" t="s">
        <v>143</v>
      </c>
      <c r="C29" s="5">
        <f>+Citrus!C58</f>
        <v>-30.937000000000001</v>
      </c>
      <c r="D29" s="5">
        <f>+Citrus!D58</f>
        <v>-31.122779300000001</v>
      </c>
      <c r="E29" s="5">
        <f>+Citrus!E58</f>
        <v>-28.995991000000004</v>
      </c>
      <c r="F29" s="5">
        <f>+Citrus!F58</f>
        <v>-29.380573000000002</v>
      </c>
      <c r="G29" s="5">
        <f>+Citrus!G58</f>
        <v>-30.591514999999998</v>
      </c>
      <c r="H29" s="5">
        <f>+E29</f>
        <v>-28.995991000000004</v>
      </c>
      <c r="I29" s="5">
        <f t="shared" si="0"/>
        <v>1.5955239999999939</v>
      </c>
      <c r="J29" s="5">
        <f t="shared" si="1"/>
        <v>-1.2109419999999957</v>
      </c>
    </row>
    <row r="30" spans="1:10" x14ac:dyDescent="0.2">
      <c r="A30" s="6" t="s">
        <v>150</v>
      </c>
      <c r="C30" s="3">
        <f t="shared" ref="C30:H30" si="7">SUM(C27:C29)</f>
        <v>-147.137</v>
      </c>
      <c r="D30" s="3">
        <f t="shared" si="7"/>
        <v>-150.67577929999999</v>
      </c>
      <c r="E30" s="3">
        <f t="shared" si="7"/>
        <v>-144.095991</v>
      </c>
      <c r="F30" s="3">
        <f t="shared" si="7"/>
        <v>-140.48057299999999</v>
      </c>
      <c r="G30" s="3">
        <f t="shared" si="7"/>
        <v>-150.791515</v>
      </c>
      <c r="H30" s="3">
        <f t="shared" si="7"/>
        <v>-144.095991</v>
      </c>
      <c r="I30" s="3">
        <f t="shared" si="0"/>
        <v>6.695524000000006</v>
      </c>
      <c r="J30" s="3">
        <f t="shared" si="1"/>
        <v>-10.310942000000011</v>
      </c>
    </row>
    <row r="31" spans="1:10" x14ac:dyDescent="0.2"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 s="9" t="str">
        <f>+NNG!A58</f>
        <v>Finance, Accounting &amp; Admin</v>
      </c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29" t="s">
        <v>152</v>
      </c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9"/>
      <c r="B34" t="s">
        <v>3</v>
      </c>
      <c r="C34" s="3">
        <f>+NNG!C59</f>
        <v>0</v>
      </c>
      <c r="D34" s="3">
        <f>+NNG!D59</f>
        <v>0</v>
      </c>
      <c r="E34" s="3">
        <f>+NNG!E59</f>
        <v>2</v>
      </c>
      <c r="F34" s="3">
        <f>+NNG!F59</f>
        <v>14.7</v>
      </c>
      <c r="G34" s="3">
        <f>+NNG!G59</f>
        <v>0</v>
      </c>
      <c r="H34" s="3">
        <f>+NNG!H59</f>
        <v>0</v>
      </c>
      <c r="I34" s="3">
        <f t="shared" si="0"/>
        <v>0</v>
      </c>
      <c r="J34" s="3">
        <f t="shared" si="1"/>
        <v>-14.7</v>
      </c>
    </row>
    <row r="35" spans="1:10" x14ac:dyDescent="0.2">
      <c r="A35" s="9"/>
      <c r="B35" t="s">
        <v>29</v>
      </c>
      <c r="C35" s="3">
        <f>+TW!C57</f>
        <v>0</v>
      </c>
      <c r="D35" s="3">
        <f>+TW!D57</f>
        <v>0</v>
      </c>
      <c r="E35" s="3">
        <f>+TW!E57</f>
        <v>0</v>
      </c>
      <c r="F35" s="3">
        <f>+TW!F57</f>
        <v>0</v>
      </c>
      <c r="G35" s="3">
        <f>+TW!G57</f>
        <v>0</v>
      </c>
      <c r="H35" s="3">
        <f>+TW!H57</f>
        <v>0</v>
      </c>
      <c r="I35" s="3">
        <f t="shared" si="0"/>
        <v>0</v>
      </c>
      <c r="J35" s="3">
        <f t="shared" si="1"/>
        <v>0</v>
      </c>
    </row>
    <row r="36" spans="1:10" ht="15" x14ac:dyDescent="0.35">
      <c r="A36" s="9"/>
      <c r="B36" t="s">
        <v>143</v>
      </c>
      <c r="C36" s="5">
        <f>+Citrus!C61+Citrus!C68</f>
        <v>6.6000000000000014</v>
      </c>
      <c r="D36" s="5">
        <f>+Citrus!D61+Citrus!D68</f>
        <v>17.599999999999998</v>
      </c>
      <c r="E36" s="5">
        <f>+Citrus!E61+Citrus!E68</f>
        <v>51.199999999999996</v>
      </c>
      <c r="F36" s="5">
        <f>+Citrus!F61+Citrus!F68</f>
        <v>43.099999999999994</v>
      </c>
      <c r="G36" s="5">
        <f>+Citrus!G61+Citrus!G68</f>
        <v>2.5</v>
      </c>
      <c r="H36" s="5">
        <f>+Citrus!H61+Citrus!H68</f>
        <v>2.6</v>
      </c>
      <c r="I36" s="5">
        <f t="shared" si="0"/>
        <v>0.10000000000000009</v>
      </c>
      <c r="J36" s="5">
        <f t="shared" si="1"/>
        <v>-40.599999999999994</v>
      </c>
    </row>
    <row r="37" spans="1:10" ht="15" x14ac:dyDescent="0.35">
      <c r="A37" s="9"/>
      <c r="B37" t="s">
        <v>153</v>
      </c>
      <c r="C37" s="5">
        <f t="shared" ref="C37:H37" si="8">SUM(C34:C36)</f>
        <v>6.6000000000000014</v>
      </c>
      <c r="D37" s="5">
        <f t="shared" si="8"/>
        <v>17.599999999999998</v>
      </c>
      <c r="E37" s="5">
        <f t="shared" si="8"/>
        <v>53.199999999999996</v>
      </c>
      <c r="F37" s="5">
        <f t="shared" si="8"/>
        <v>57.8</v>
      </c>
      <c r="G37" s="5">
        <f t="shared" si="8"/>
        <v>2.5</v>
      </c>
      <c r="H37" s="5">
        <f t="shared" si="8"/>
        <v>2.6</v>
      </c>
      <c r="I37" s="5">
        <f t="shared" si="0"/>
        <v>0.10000000000000009</v>
      </c>
      <c r="J37" s="5">
        <f t="shared" si="1"/>
        <v>-55.3</v>
      </c>
    </row>
    <row r="38" spans="1:10" x14ac:dyDescent="0.2">
      <c r="A38" s="29" t="s">
        <v>154</v>
      </c>
      <c r="C38" s="3"/>
      <c r="D38" s="3"/>
      <c r="E38" s="3"/>
      <c r="F38" s="3"/>
      <c r="G38" s="3"/>
      <c r="H38" s="3"/>
      <c r="I38" s="3"/>
      <c r="J38" s="3"/>
    </row>
    <row r="39" spans="1:10" x14ac:dyDescent="0.2">
      <c r="B39" t="s">
        <v>3</v>
      </c>
      <c r="C39" s="3">
        <f>+NNG!C67</f>
        <v>-4.7380000000000004</v>
      </c>
      <c r="D39" s="3">
        <f>+NNG!D67</f>
        <v>-9.6</v>
      </c>
      <c r="E39" s="3">
        <f>+NNG!E67</f>
        <v>-7.5</v>
      </c>
      <c r="F39" s="3">
        <f>+NNG!F67</f>
        <v>-8.5</v>
      </c>
      <c r="G39" s="3">
        <f>+NNG!G67</f>
        <v>-7.9</v>
      </c>
      <c r="H39" s="3">
        <f>+E39*0.95</f>
        <v>-7.125</v>
      </c>
      <c r="I39" s="3">
        <f t="shared" si="0"/>
        <v>0.77500000000000036</v>
      </c>
      <c r="J39" s="3">
        <f t="shared" si="1"/>
        <v>0.59999999999999964</v>
      </c>
    </row>
    <row r="40" spans="1:10" x14ac:dyDescent="0.2">
      <c r="B40" t="s">
        <v>29</v>
      </c>
      <c r="C40" s="3">
        <f>+TW!C65</f>
        <v>-3.4000000000000004</v>
      </c>
      <c r="D40" s="3">
        <f>+TW!D65</f>
        <v>-3.9</v>
      </c>
      <c r="E40" s="3">
        <f>+TW!E65</f>
        <v>-3.6</v>
      </c>
      <c r="F40" s="3">
        <f>+TW!F65</f>
        <v>-3.1</v>
      </c>
      <c r="G40" s="3">
        <f>+TW!G65</f>
        <v>-2.8</v>
      </c>
      <c r="H40" s="3">
        <f>+E40*0.95</f>
        <v>-3.42</v>
      </c>
      <c r="I40" s="3">
        <f t="shared" si="0"/>
        <v>-0.62000000000000011</v>
      </c>
      <c r="J40" s="3">
        <f t="shared" si="1"/>
        <v>0.30000000000000027</v>
      </c>
    </row>
    <row r="41" spans="1:10" ht="15" x14ac:dyDescent="0.35">
      <c r="B41" t="s">
        <v>143</v>
      </c>
      <c r="C41" s="5">
        <f>+Citrus!C75</f>
        <v>-3.1500000000000004</v>
      </c>
      <c r="D41" s="5">
        <f>+Citrus!D75</f>
        <v>-3.3035381199999998</v>
      </c>
      <c r="E41" s="5">
        <f>+Citrus!E75</f>
        <v>-2.8195376769366196</v>
      </c>
      <c r="F41" s="5">
        <f>+Citrus!F75</f>
        <v>-2.4889334299319992</v>
      </c>
      <c r="G41" s="5">
        <f>+Citrus!G75</f>
        <v>-3.0859344224999998</v>
      </c>
      <c r="H41" s="5">
        <f>+E41*0.95</f>
        <v>-2.6785607930897886</v>
      </c>
      <c r="I41" s="5">
        <f t="shared" si="0"/>
        <v>0.40737362941021127</v>
      </c>
      <c r="J41" s="5">
        <f t="shared" si="1"/>
        <v>-0.59700099256800065</v>
      </c>
    </row>
    <row r="42" spans="1:10" ht="15" x14ac:dyDescent="0.35">
      <c r="B42" t="s">
        <v>155</v>
      </c>
      <c r="C42" s="5">
        <f t="shared" ref="C42:H42" si="9">SUM(C39:C41)</f>
        <v>-11.288000000000002</v>
      </c>
      <c r="D42" s="5">
        <f t="shared" si="9"/>
        <v>-16.803538119999999</v>
      </c>
      <c r="E42" s="5">
        <f t="shared" si="9"/>
        <v>-13.919537676936619</v>
      </c>
      <c r="F42" s="5">
        <f t="shared" si="9"/>
        <v>-14.088933429931998</v>
      </c>
      <c r="G42" s="5">
        <f t="shared" si="9"/>
        <v>-13.785934422499999</v>
      </c>
      <c r="H42" s="5">
        <f t="shared" si="9"/>
        <v>-13.223560793089788</v>
      </c>
      <c r="I42" s="5">
        <f t="shared" si="0"/>
        <v>0.56237362941021019</v>
      </c>
      <c r="J42" s="5">
        <f t="shared" si="1"/>
        <v>0.3029990074319997</v>
      </c>
    </row>
    <row r="43" spans="1:10" ht="15" x14ac:dyDescent="0.35">
      <c r="A43" s="6" t="s">
        <v>149</v>
      </c>
      <c r="C43" s="5">
        <f t="shared" ref="C43:H43" si="10">+C42+C37</f>
        <v>-4.6880000000000006</v>
      </c>
      <c r="D43" s="5">
        <f t="shared" si="10"/>
        <v>0.79646187999999896</v>
      </c>
      <c r="E43" s="5">
        <f t="shared" si="10"/>
        <v>39.280462323063375</v>
      </c>
      <c r="F43" s="5">
        <f t="shared" si="10"/>
        <v>43.711066570067999</v>
      </c>
      <c r="G43" s="5">
        <f t="shared" si="10"/>
        <v>-11.285934422499999</v>
      </c>
      <c r="H43" s="5">
        <f t="shared" si="10"/>
        <v>-10.623560793089789</v>
      </c>
      <c r="I43" s="5">
        <f t="shared" si="0"/>
        <v>0.66237362941020983</v>
      </c>
      <c r="J43" s="5">
        <f t="shared" si="1"/>
        <v>-54.997000992567997</v>
      </c>
    </row>
    <row r="44" spans="1:10" x14ac:dyDescent="0.2"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9" t="str">
        <f>+NNG!A70</f>
        <v>Information Technology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B46" t="s">
        <v>3</v>
      </c>
      <c r="C46" s="3">
        <f>+NNG!C78</f>
        <v>-6.1</v>
      </c>
      <c r="D46" s="3">
        <f>+NNG!D78</f>
        <v>-5.4</v>
      </c>
      <c r="E46" s="3">
        <f>+NNG!E78</f>
        <v>-9.5</v>
      </c>
      <c r="F46" s="3">
        <f>+NNG!F78</f>
        <v>-9.5</v>
      </c>
      <c r="G46" s="3">
        <f>+NNG!G78</f>
        <v>-12.6</v>
      </c>
      <c r="H46" s="3">
        <f>+E46*0.95</f>
        <v>-9.0250000000000004</v>
      </c>
      <c r="I46" s="3">
        <f t="shared" si="0"/>
        <v>3.5749999999999993</v>
      </c>
      <c r="J46" s="3">
        <f t="shared" si="1"/>
        <v>-3.0999999999999996</v>
      </c>
    </row>
    <row r="47" spans="1:10" x14ac:dyDescent="0.2">
      <c r="B47" t="s">
        <v>29</v>
      </c>
      <c r="C47" s="3">
        <f>+TW!C76</f>
        <v>-1.2</v>
      </c>
      <c r="D47" s="3">
        <f>+TW!D76</f>
        <v>-1.1000000000000001</v>
      </c>
      <c r="E47" s="3">
        <f>+TW!E76</f>
        <v>-2.5999999999999996</v>
      </c>
      <c r="F47" s="3">
        <f>+TW!F76</f>
        <v>-2.7</v>
      </c>
      <c r="G47" s="3">
        <f>+TW!G76</f>
        <v>-3.5</v>
      </c>
      <c r="H47" s="3">
        <f>+E47*0.95</f>
        <v>-2.4699999999999998</v>
      </c>
      <c r="I47" s="3">
        <f t="shared" si="0"/>
        <v>1.0300000000000002</v>
      </c>
      <c r="J47" s="3">
        <f t="shared" si="1"/>
        <v>-0.79999999999999982</v>
      </c>
    </row>
    <row r="48" spans="1:10" ht="15" x14ac:dyDescent="0.35">
      <c r="B48" t="s">
        <v>143</v>
      </c>
      <c r="C48" s="5">
        <f>+Citrus!C86</f>
        <v>-3.149</v>
      </c>
      <c r="D48" s="5">
        <f>+Citrus!D86</f>
        <v>-3.8645642800000002</v>
      </c>
      <c r="E48" s="5">
        <f>+Citrus!E86</f>
        <v>-5.7574239999999994</v>
      </c>
      <c r="F48" s="5">
        <f>+Citrus!F86</f>
        <v>-5.2934239999999999</v>
      </c>
      <c r="G48" s="5">
        <f>+Citrus!G86</f>
        <v>-5.0447619999999995</v>
      </c>
      <c r="H48" s="5">
        <f>+E48*0.95</f>
        <v>-5.4695527999999989</v>
      </c>
      <c r="I48" s="5">
        <f t="shared" si="0"/>
        <v>-0.42479079999999936</v>
      </c>
      <c r="J48" s="5">
        <f t="shared" si="1"/>
        <v>0.24866200000000038</v>
      </c>
    </row>
    <row r="49" spans="1:10" ht="15" x14ac:dyDescent="0.35">
      <c r="A49" s="6" t="s">
        <v>151</v>
      </c>
      <c r="C49" s="5">
        <f t="shared" ref="C49:H49" si="11">SUM(C46:C48)</f>
        <v>-10.449</v>
      </c>
      <c r="D49" s="5">
        <f t="shared" si="11"/>
        <v>-10.36456428</v>
      </c>
      <c r="E49" s="5">
        <f t="shared" si="11"/>
        <v>-17.857423999999998</v>
      </c>
      <c r="F49" s="5">
        <f t="shared" si="11"/>
        <v>-17.493423999999997</v>
      </c>
      <c r="G49" s="5">
        <f t="shared" si="11"/>
        <v>-21.144762</v>
      </c>
      <c r="H49" s="5">
        <f t="shared" si="11"/>
        <v>-16.9645528</v>
      </c>
      <c r="I49" s="5">
        <f t="shared" si="0"/>
        <v>4.1802092000000002</v>
      </c>
      <c r="J49" s="5">
        <f t="shared" si="1"/>
        <v>-3.6513380000000026</v>
      </c>
    </row>
    <row r="50" spans="1:10" x14ac:dyDescent="0.2"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9" t="str">
        <f>+NNG!A80</f>
        <v>Legal</v>
      </c>
      <c r="C51" s="3"/>
      <c r="D51" s="3"/>
      <c r="E51" s="3"/>
      <c r="F51" s="3"/>
      <c r="G51" s="3"/>
      <c r="H51" s="3"/>
      <c r="I51" s="3"/>
      <c r="J51" s="3"/>
    </row>
    <row r="52" spans="1:10" x14ac:dyDescent="0.2">
      <c r="B52" t="s">
        <v>3</v>
      </c>
      <c r="C52" s="3">
        <f>+NNG!C88</f>
        <v>-2.4</v>
      </c>
      <c r="D52" s="3">
        <f>+NNG!D88</f>
        <v>-3</v>
      </c>
      <c r="E52" s="3">
        <f>+NNG!E88</f>
        <v>-2.1</v>
      </c>
      <c r="F52" s="3">
        <f>+NNG!F88</f>
        <v>-2.6</v>
      </c>
      <c r="G52" s="3">
        <f>+NNG!G88</f>
        <v>-2</v>
      </c>
      <c r="H52" s="3">
        <f>+E52*0.95</f>
        <v>-1.9949999999999999</v>
      </c>
      <c r="I52" s="3">
        <f t="shared" si="0"/>
        <v>5.0000000000001155E-3</v>
      </c>
      <c r="J52" s="3">
        <f t="shared" si="1"/>
        <v>0.60000000000000009</v>
      </c>
    </row>
    <row r="53" spans="1:10" x14ac:dyDescent="0.2">
      <c r="B53" t="s">
        <v>29</v>
      </c>
      <c r="C53" s="3">
        <f>+TW!C86</f>
        <v>-0.7</v>
      </c>
      <c r="D53" s="3">
        <f>+TW!D86</f>
        <v>-1.2</v>
      </c>
      <c r="E53" s="3">
        <f>+TW!E86</f>
        <v>-1.2</v>
      </c>
      <c r="F53" s="3">
        <f>+TW!F86</f>
        <v>-0.8</v>
      </c>
      <c r="G53" s="3">
        <f>+TW!G86</f>
        <v>-1.1000000000000001</v>
      </c>
      <c r="H53" s="3">
        <f>+E53*0.95</f>
        <v>-1.1399999999999999</v>
      </c>
      <c r="I53" s="3">
        <f t="shared" si="0"/>
        <v>-3.9999999999999813E-2</v>
      </c>
      <c r="J53" s="3">
        <f t="shared" si="1"/>
        <v>-0.30000000000000004</v>
      </c>
    </row>
    <row r="54" spans="1:10" ht="15" x14ac:dyDescent="0.35">
      <c r="B54" t="s">
        <v>143</v>
      </c>
      <c r="C54" s="5">
        <f>+Citrus!C97</f>
        <v>-1.6319999999999999</v>
      </c>
      <c r="D54" s="5">
        <f>+Citrus!D97</f>
        <v>-1.8755400099999999</v>
      </c>
      <c r="E54" s="5">
        <f>+Citrus!E97</f>
        <v>-1.3267070000000001</v>
      </c>
      <c r="F54" s="5">
        <f>+Citrus!F97</f>
        <v>-1.3267070000000001</v>
      </c>
      <c r="G54" s="5">
        <f>+Citrus!G97</f>
        <v>-1.739627</v>
      </c>
      <c r="H54" s="5">
        <f>+E54*0.95</f>
        <v>-1.26037165</v>
      </c>
      <c r="I54" s="5">
        <f t="shared" si="0"/>
        <v>0.47925535000000008</v>
      </c>
      <c r="J54" s="5">
        <f t="shared" si="1"/>
        <v>-0.41291999999999995</v>
      </c>
    </row>
    <row r="55" spans="1:10" ht="15" x14ac:dyDescent="0.35">
      <c r="A55" s="6" t="s">
        <v>156</v>
      </c>
      <c r="C55" s="5">
        <f t="shared" ref="C55:H55" si="12">SUM(C52:C54)</f>
        <v>-4.7319999999999993</v>
      </c>
      <c r="D55" s="5">
        <f t="shared" si="12"/>
        <v>-6.0755400100000001</v>
      </c>
      <c r="E55" s="5">
        <f t="shared" si="12"/>
        <v>-4.6267069999999997</v>
      </c>
      <c r="F55" s="5">
        <f t="shared" si="12"/>
        <v>-4.7267070000000002</v>
      </c>
      <c r="G55" s="5">
        <f t="shared" si="12"/>
        <v>-4.8396270000000001</v>
      </c>
      <c r="H55" s="5">
        <f t="shared" si="12"/>
        <v>-4.3953716499999995</v>
      </c>
      <c r="I55" s="5">
        <f t="shared" si="0"/>
        <v>0.4442553500000006</v>
      </c>
      <c r="J55" s="5">
        <f t="shared" si="1"/>
        <v>-0.11291999999999991</v>
      </c>
    </row>
    <row r="56" spans="1:10" x14ac:dyDescent="0.2"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9" t="str">
        <f>+NNG!A90</f>
        <v>Human Resources/Communications</v>
      </c>
      <c r="C57" s="3"/>
      <c r="D57" s="3"/>
      <c r="E57" s="3"/>
      <c r="F57" s="3"/>
      <c r="G57" s="3"/>
      <c r="H57" s="3"/>
      <c r="I57" s="3"/>
      <c r="J57" s="3"/>
    </row>
    <row r="58" spans="1:10" x14ac:dyDescent="0.2">
      <c r="B58" t="s">
        <v>3</v>
      </c>
      <c r="C58" s="3">
        <f>+NNG!C99</f>
        <v>-1.2</v>
      </c>
      <c r="D58" s="3">
        <f>+NNG!D99</f>
        <v>-1.4</v>
      </c>
      <c r="E58" s="3">
        <f>+NNG!E99</f>
        <v>-2</v>
      </c>
      <c r="F58" s="3">
        <f>+NNG!F99</f>
        <v>-1.5</v>
      </c>
      <c r="G58" s="3">
        <f>+NNG!G99</f>
        <v>-1.5</v>
      </c>
      <c r="H58" s="3">
        <f>+E58*0.95</f>
        <v>-1.9</v>
      </c>
      <c r="I58" s="3">
        <f t="shared" si="0"/>
        <v>-0.39999999999999991</v>
      </c>
      <c r="J58" s="3">
        <f t="shared" si="1"/>
        <v>0</v>
      </c>
    </row>
    <row r="59" spans="1:10" x14ac:dyDescent="0.2">
      <c r="B59" t="s">
        <v>29</v>
      </c>
      <c r="C59" s="3">
        <f>+TW!C96</f>
        <v>-0.19999999999999998</v>
      </c>
      <c r="D59" s="3">
        <f>+TW!D96</f>
        <v>-0.30000000000000004</v>
      </c>
      <c r="E59" s="3">
        <f>+TW!E96</f>
        <v>-0.30000000000000004</v>
      </c>
      <c r="F59" s="3">
        <f>+TW!F96</f>
        <v>-0.3</v>
      </c>
      <c r="G59" s="3">
        <f>+TW!G96</f>
        <v>-0.3</v>
      </c>
      <c r="H59" s="3">
        <f>+E59*0.95</f>
        <v>-0.28500000000000003</v>
      </c>
      <c r="I59" s="3">
        <f t="shared" si="0"/>
        <v>1.4999999999999958E-2</v>
      </c>
      <c r="J59" s="3">
        <f t="shared" si="1"/>
        <v>0</v>
      </c>
    </row>
    <row r="60" spans="1:10" ht="15" x14ac:dyDescent="0.35">
      <c r="B60" t="s">
        <v>143</v>
      </c>
      <c r="C60" s="5">
        <f>+Citrus!C107</f>
        <v>-0.73699999999999999</v>
      </c>
      <c r="D60" s="5">
        <f>+Citrus!D107</f>
        <v>-0.84647324000000002</v>
      </c>
      <c r="E60" s="5">
        <f>+Citrus!E107</f>
        <v>-0.92805499999999996</v>
      </c>
      <c r="F60" s="5">
        <f>+Citrus!F107</f>
        <v>-0.92805499999999996</v>
      </c>
      <c r="G60" s="5">
        <f>+Citrus!G107</f>
        <v>-0.73230799999999996</v>
      </c>
      <c r="H60" s="5">
        <f>+E60*0.95</f>
        <v>-0.88165224999999992</v>
      </c>
      <c r="I60" s="5">
        <f t="shared" si="0"/>
        <v>-0.14934424999999996</v>
      </c>
      <c r="J60" s="5">
        <f t="shared" si="1"/>
        <v>0.195747</v>
      </c>
    </row>
    <row r="61" spans="1:10" ht="15" x14ac:dyDescent="0.35">
      <c r="A61" s="6" t="s">
        <v>157</v>
      </c>
      <c r="C61" s="5">
        <f t="shared" ref="C61:H61" si="13">SUM(C58:C60)</f>
        <v>-2.137</v>
      </c>
      <c r="D61" s="5">
        <f t="shared" si="13"/>
        <v>-2.5464732400000001</v>
      </c>
      <c r="E61" s="5">
        <f t="shared" si="13"/>
        <v>-3.2280549999999999</v>
      </c>
      <c r="F61" s="5">
        <f t="shared" si="13"/>
        <v>-2.7280549999999999</v>
      </c>
      <c r="G61" s="5">
        <f t="shared" si="13"/>
        <v>-2.532308</v>
      </c>
      <c r="H61" s="5">
        <f t="shared" si="13"/>
        <v>-3.0666522499999997</v>
      </c>
      <c r="I61" s="5">
        <f t="shared" si="0"/>
        <v>-0.53434424999999974</v>
      </c>
      <c r="J61" s="5">
        <f t="shared" si="1"/>
        <v>0.19574699999999989</v>
      </c>
    </row>
    <row r="62" spans="1:10" x14ac:dyDescent="0.2">
      <c r="I62" s="3"/>
      <c r="J62" s="3"/>
    </row>
    <row r="63" spans="1:10" x14ac:dyDescent="0.2">
      <c r="A63" s="9" t="str">
        <f>+NNG!A101</f>
        <v>Executive &amp; Other</v>
      </c>
      <c r="C63" s="3"/>
      <c r="D63" s="3"/>
      <c r="E63" s="3"/>
      <c r="F63" s="3"/>
      <c r="G63" s="3"/>
      <c r="H63" s="3"/>
      <c r="I63" s="3"/>
      <c r="J63" s="3"/>
    </row>
    <row r="64" spans="1:10" x14ac:dyDescent="0.2">
      <c r="B64" t="s">
        <v>3</v>
      </c>
      <c r="C64" s="3">
        <f>+NNG!C111</f>
        <v>-3.1999999999999997</v>
      </c>
      <c r="D64" s="3">
        <f>+NNG!D111</f>
        <v>-4.0999999999999996</v>
      </c>
      <c r="E64" s="3">
        <f>+NNG!E111</f>
        <v>-3.4999999999999996</v>
      </c>
      <c r="F64" s="3">
        <f>+NNG!F111</f>
        <v>-4.8</v>
      </c>
      <c r="G64" s="3">
        <f>+NNG!G111</f>
        <v>-6.4</v>
      </c>
      <c r="H64" s="3">
        <f>+E64*0.95</f>
        <v>-3.3249999999999993</v>
      </c>
      <c r="I64" s="3">
        <f t="shared" si="0"/>
        <v>3.0750000000000011</v>
      </c>
      <c r="J64" s="3">
        <f t="shared" si="1"/>
        <v>-1.6000000000000005</v>
      </c>
    </row>
    <row r="65" spans="1:10" x14ac:dyDescent="0.2">
      <c r="B65" t="s">
        <v>29</v>
      </c>
      <c r="C65" s="3">
        <f>+TW!C108</f>
        <v>-1</v>
      </c>
      <c r="D65" s="3">
        <f>+TW!D108</f>
        <v>-1.8000000000000003</v>
      </c>
      <c r="E65" s="3">
        <f>+TW!E108</f>
        <v>-1.6</v>
      </c>
      <c r="F65" s="3">
        <f>+TW!F108</f>
        <v>-2.1</v>
      </c>
      <c r="G65" s="3">
        <f>+TW!G108</f>
        <v>-2</v>
      </c>
      <c r="H65" s="3">
        <f>+E65*0.95</f>
        <v>-1.52</v>
      </c>
      <c r="I65" s="3">
        <f t="shared" si="0"/>
        <v>0.48</v>
      </c>
      <c r="J65" s="3">
        <f t="shared" si="1"/>
        <v>0.10000000000000009</v>
      </c>
    </row>
    <row r="66" spans="1:10" ht="15" x14ac:dyDescent="0.35">
      <c r="B66" t="s">
        <v>143</v>
      </c>
      <c r="C66" s="5">
        <f>+Citrus!C117</f>
        <v>-5.7430800000000009</v>
      </c>
      <c r="D66" s="5">
        <f>+Citrus!D117</f>
        <v>-3.8784733200000003</v>
      </c>
      <c r="E66" s="5">
        <f>+Citrus!E117</f>
        <v>-1.9613242799999999</v>
      </c>
      <c r="F66" s="5">
        <f>+Citrus!F117</f>
        <v>-0.93563516857142881</v>
      </c>
      <c r="G66" s="5">
        <f>+Citrus!G117</f>
        <v>-3.5232680800000002</v>
      </c>
      <c r="H66" s="5">
        <f>+E66*0.95</f>
        <v>-1.8632580659999998</v>
      </c>
      <c r="I66" s="5">
        <f t="shared" si="0"/>
        <v>1.6600100140000005</v>
      </c>
      <c r="J66" s="5">
        <f t="shared" si="1"/>
        <v>-2.5876329114285714</v>
      </c>
    </row>
    <row r="67" spans="1:10" ht="15" x14ac:dyDescent="0.35">
      <c r="A67" s="6" t="s">
        <v>158</v>
      </c>
      <c r="C67" s="5">
        <f t="shared" ref="C67:H67" si="14">SUM(C64:C66)</f>
        <v>-9.9430800000000001</v>
      </c>
      <c r="D67" s="5">
        <f t="shared" si="14"/>
        <v>-9.7784733199999998</v>
      </c>
      <c r="E67" s="5">
        <f t="shared" si="14"/>
        <v>-7.0613242799999991</v>
      </c>
      <c r="F67" s="5">
        <f t="shared" si="14"/>
        <v>-7.8356351685714287</v>
      </c>
      <c r="G67" s="5">
        <f t="shared" si="14"/>
        <v>-11.92326808</v>
      </c>
      <c r="H67" s="5">
        <f t="shared" si="14"/>
        <v>-6.7082580659999991</v>
      </c>
      <c r="I67" s="5">
        <f t="shared" si="0"/>
        <v>5.2150100140000006</v>
      </c>
      <c r="J67" s="5">
        <f t="shared" si="1"/>
        <v>-4.087632911428571</v>
      </c>
    </row>
    <row r="68" spans="1:10" x14ac:dyDescent="0.2"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6" t="str">
        <f>+NNG!A115</f>
        <v>Other Expenses:</v>
      </c>
      <c r="C69" s="3"/>
      <c r="D69" s="3"/>
      <c r="E69" s="3"/>
      <c r="F69" s="3"/>
      <c r="G69" s="3"/>
      <c r="H69" s="3"/>
      <c r="I69" s="3"/>
      <c r="J69" s="3"/>
    </row>
    <row r="70" spans="1:10" x14ac:dyDescent="0.2">
      <c r="B70" t="s">
        <v>3</v>
      </c>
      <c r="C70" s="3">
        <f>+NNG!C131</f>
        <v>-97.4</v>
      </c>
      <c r="D70" s="3">
        <f>+NNG!D131</f>
        <v>-106.79999999999998</v>
      </c>
      <c r="E70" s="3">
        <f>+NNG!E131</f>
        <v>-106.69999999999999</v>
      </c>
      <c r="F70" s="3">
        <f>+NNG!F131</f>
        <v>-109.19999999999999</v>
      </c>
      <c r="G70" s="3">
        <f>+NNG!G131</f>
        <v>-113.30000000000001</v>
      </c>
      <c r="H70" s="3">
        <f>+E70</f>
        <v>-106.69999999999999</v>
      </c>
      <c r="I70" s="3">
        <f t="shared" si="0"/>
        <v>6.6000000000000227</v>
      </c>
      <c r="J70" s="3">
        <f t="shared" si="1"/>
        <v>-4.1000000000000227</v>
      </c>
    </row>
    <row r="71" spans="1:10" x14ac:dyDescent="0.2">
      <c r="B71" t="s">
        <v>29</v>
      </c>
      <c r="C71" s="3">
        <f>+TW!C128</f>
        <v>-32.4</v>
      </c>
      <c r="D71" s="3">
        <f>+TW!D128</f>
        <v>-35.9</v>
      </c>
      <c r="E71" s="3">
        <f>+TW!E128</f>
        <v>-37.4</v>
      </c>
      <c r="F71" s="3">
        <f>+TW!F128</f>
        <v>-38.200000000000003</v>
      </c>
      <c r="G71" s="3">
        <f>+TW!G128</f>
        <v>-40.299999999999997</v>
      </c>
      <c r="H71" s="3">
        <f>+E71</f>
        <v>-37.4</v>
      </c>
      <c r="I71" s="3">
        <f t="shared" si="0"/>
        <v>2.8999999999999986</v>
      </c>
      <c r="J71" s="3">
        <f t="shared" si="1"/>
        <v>-2.0999999999999943</v>
      </c>
    </row>
    <row r="72" spans="1:10" ht="15" x14ac:dyDescent="0.35">
      <c r="B72" t="s">
        <v>143</v>
      </c>
      <c r="C72" s="5">
        <f>+Citrus!C131</f>
        <v>-77.88542799999999</v>
      </c>
      <c r="D72" s="5">
        <f>+Citrus!D131</f>
        <v>-81.998177139999996</v>
      </c>
      <c r="E72" s="5">
        <f>+Citrus!E131</f>
        <v>-88.661771000000002</v>
      </c>
      <c r="F72" s="5">
        <f>+Citrus!F131</f>
        <v>-88.300937000000005</v>
      </c>
      <c r="G72" s="5">
        <f>+Citrus!G131</f>
        <v>-96.411072999999988</v>
      </c>
      <c r="H72" s="5">
        <f>+E72</f>
        <v>-88.661771000000002</v>
      </c>
      <c r="I72" s="5">
        <f t="shared" ref="I72:I81" si="15">+H72-G72</f>
        <v>7.7493019999999859</v>
      </c>
      <c r="J72" s="5">
        <f t="shared" ref="J72:J81" si="16">+G72-F72</f>
        <v>-8.1101359999999829</v>
      </c>
    </row>
    <row r="73" spans="1:10" ht="15" x14ac:dyDescent="0.35">
      <c r="A73" s="6" t="s">
        <v>159</v>
      </c>
      <c r="C73" s="5">
        <f t="shared" ref="C73:H73" si="17">SUM(C70:C72)</f>
        <v>-207.685428</v>
      </c>
      <c r="D73" s="5">
        <f t="shared" si="17"/>
        <v>-224.69817713999998</v>
      </c>
      <c r="E73" s="5">
        <f t="shared" si="17"/>
        <v>-232.76177100000001</v>
      </c>
      <c r="F73" s="5">
        <f t="shared" si="17"/>
        <v>-235.70093699999998</v>
      </c>
      <c r="G73" s="5">
        <f t="shared" si="17"/>
        <v>-250.01107300000001</v>
      </c>
      <c r="H73" s="5">
        <f t="shared" si="17"/>
        <v>-232.76177100000001</v>
      </c>
      <c r="I73" s="5">
        <f t="shared" si="15"/>
        <v>17.249302</v>
      </c>
      <c r="J73" s="5">
        <f t="shared" si="16"/>
        <v>-14.310136000000028</v>
      </c>
    </row>
    <row r="74" spans="1:10" x14ac:dyDescent="0.2">
      <c r="C74" s="3"/>
      <c r="D74" s="3"/>
      <c r="E74" s="3"/>
      <c r="F74" s="3"/>
      <c r="G74" s="3"/>
      <c r="H74" s="3"/>
      <c r="I74" s="3">
        <f t="shared" si="15"/>
        <v>0</v>
      </c>
      <c r="J74" s="3">
        <f t="shared" si="16"/>
        <v>0</v>
      </c>
    </row>
    <row r="75" spans="1:10" x14ac:dyDescent="0.2">
      <c r="A75" s="6" t="str">
        <f>+NNG!A133</f>
        <v>Other Income(Deductions)</v>
      </c>
      <c r="C75" s="3"/>
      <c r="D75" s="3"/>
      <c r="E75" s="3"/>
      <c r="F75" s="3"/>
      <c r="G75" s="3"/>
      <c r="H75" s="3"/>
      <c r="I75" s="3">
        <f t="shared" si="15"/>
        <v>0</v>
      </c>
      <c r="J75" s="3">
        <f t="shared" si="16"/>
        <v>0</v>
      </c>
    </row>
    <row r="76" spans="1:10" x14ac:dyDescent="0.2">
      <c r="B76" t="s">
        <v>3</v>
      </c>
      <c r="C76" s="3">
        <f>+NNG!C139</f>
        <v>5.5</v>
      </c>
      <c r="D76" s="3">
        <f>+NNG!D139</f>
        <v>21.2</v>
      </c>
      <c r="E76" s="3">
        <f>+NNG!E139</f>
        <v>10.399999999999999</v>
      </c>
      <c r="F76" s="3">
        <f>+NNG!F139</f>
        <v>3.2</v>
      </c>
      <c r="G76" s="3">
        <f>+NNG!G139</f>
        <v>3.3000000000000003</v>
      </c>
      <c r="H76" s="3">
        <f>+E76</f>
        <v>10.399999999999999</v>
      </c>
      <c r="I76" s="3">
        <f t="shared" si="15"/>
        <v>7.0999999999999979</v>
      </c>
      <c r="J76" s="3">
        <f t="shared" si="16"/>
        <v>0.10000000000000009</v>
      </c>
    </row>
    <row r="77" spans="1:10" x14ac:dyDescent="0.2">
      <c r="B77" t="s">
        <v>29</v>
      </c>
      <c r="C77" s="3">
        <f>+TW!C136</f>
        <v>0.5</v>
      </c>
      <c r="D77" s="3">
        <f>+TW!D136</f>
        <v>0.6</v>
      </c>
      <c r="E77" s="3">
        <f>+TW!E136</f>
        <v>2.5999999999999996</v>
      </c>
      <c r="F77" s="3">
        <f>+TW!F136</f>
        <v>0.4</v>
      </c>
      <c r="G77" s="3">
        <f>+TW!G136</f>
        <v>0</v>
      </c>
      <c r="H77" s="3">
        <f>+E77</f>
        <v>2.5999999999999996</v>
      </c>
      <c r="I77" s="3">
        <f t="shared" si="15"/>
        <v>2.5999999999999996</v>
      </c>
      <c r="J77" s="3">
        <f t="shared" si="16"/>
        <v>-0.4</v>
      </c>
    </row>
    <row r="78" spans="1:10" ht="15" x14ac:dyDescent="0.35">
      <c r="B78" t="s">
        <v>143</v>
      </c>
      <c r="C78" s="5">
        <f>+Citrus!C143</f>
        <v>1.0999999999999999</v>
      </c>
      <c r="D78" s="5">
        <f>+Citrus!D143</f>
        <v>-5.5000000000000009</v>
      </c>
      <c r="E78" s="5">
        <f>+Citrus!E143</f>
        <v>17.899999999999999</v>
      </c>
      <c r="F78" s="5">
        <f>+Citrus!F143</f>
        <v>18.2</v>
      </c>
      <c r="G78" s="5">
        <f>+Citrus!G143</f>
        <v>7.5</v>
      </c>
      <c r="H78" s="5">
        <f>+E78</f>
        <v>17.899999999999999</v>
      </c>
      <c r="I78" s="5">
        <f t="shared" si="15"/>
        <v>10.399999999999999</v>
      </c>
      <c r="J78" s="5">
        <f t="shared" si="16"/>
        <v>-10.7</v>
      </c>
    </row>
    <row r="79" spans="1:10" ht="15" x14ac:dyDescent="0.35">
      <c r="A79" s="6" t="s">
        <v>159</v>
      </c>
      <c r="C79" s="5">
        <f t="shared" ref="C79:H79" si="18">SUM(C76:C78)</f>
        <v>7.1</v>
      </c>
      <c r="D79" s="5">
        <f t="shared" si="18"/>
        <v>16.3</v>
      </c>
      <c r="E79" s="5">
        <f t="shared" si="18"/>
        <v>30.9</v>
      </c>
      <c r="F79" s="5">
        <f t="shared" si="18"/>
        <v>21.8</v>
      </c>
      <c r="G79" s="5">
        <f t="shared" si="18"/>
        <v>10.8</v>
      </c>
      <c r="H79" s="5">
        <f t="shared" si="18"/>
        <v>30.9</v>
      </c>
      <c r="I79" s="5">
        <f t="shared" si="15"/>
        <v>20.099999999999998</v>
      </c>
      <c r="J79" s="5">
        <f t="shared" si="16"/>
        <v>-11</v>
      </c>
    </row>
    <row r="80" spans="1:10" x14ac:dyDescent="0.2"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6" t="s">
        <v>160</v>
      </c>
      <c r="C81" s="3">
        <f t="shared" ref="C81:H81" si="19">+C16+C22+C30+C43+C49+C55+C61+C67+C73+C79</f>
        <v>482.25379200000032</v>
      </c>
      <c r="D81" s="3">
        <f t="shared" si="19"/>
        <v>481.66671759000013</v>
      </c>
      <c r="E81" s="3">
        <f t="shared" si="19"/>
        <v>534.00561974306322</v>
      </c>
      <c r="F81" s="3">
        <f t="shared" si="19"/>
        <v>533.94736473149646</v>
      </c>
      <c r="G81" s="3">
        <f t="shared" si="19"/>
        <v>495.69866569750019</v>
      </c>
      <c r="H81" s="3">
        <f t="shared" si="19"/>
        <v>498.62782285591032</v>
      </c>
      <c r="I81" s="3">
        <f t="shared" si="15"/>
        <v>2.9291571584101348</v>
      </c>
      <c r="J81" s="3">
        <f t="shared" si="16"/>
        <v>-38.248699033996274</v>
      </c>
    </row>
    <row r="82" spans="1:10" x14ac:dyDescent="0.2">
      <c r="C82" s="3"/>
      <c r="D82" s="3"/>
      <c r="E82" s="3"/>
      <c r="F82" s="3"/>
      <c r="G82" s="3"/>
      <c r="H82" s="3"/>
    </row>
    <row r="83" spans="1:10" x14ac:dyDescent="0.2">
      <c r="C83" s="3"/>
      <c r="D83" s="3"/>
      <c r="E83" s="3"/>
      <c r="F83" s="3"/>
      <c r="G83" s="3"/>
      <c r="H83" s="3"/>
    </row>
    <row r="84" spans="1:10" x14ac:dyDescent="0.2">
      <c r="C84" s="3"/>
      <c r="D84" s="3"/>
      <c r="E84" s="3"/>
      <c r="F84" s="3"/>
      <c r="G84" s="3"/>
      <c r="H84" s="3"/>
    </row>
    <row r="85" spans="1:10" x14ac:dyDescent="0.2">
      <c r="C85" s="3"/>
      <c r="D85" s="3"/>
      <c r="E85" s="3"/>
      <c r="F85" s="3"/>
      <c r="G85" s="3"/>
      <c r="H85" s="3"/>
    </row>
    <row r="86" spans="1:10" x14ac:dyDescent="0.2">
      <c r="C86" s="3"/>
      <c r="D86" s="3"/>
      <c r="E86" s="3"/>
      <c r="F86" s="3"/>
      <c r="G86" s="3"/>
      <c r="H86" s="3"/>
    </row>
    <row r="87" spans="1:10" x14ac:dyDescent="0.2">
      <c r="C87" s="3"/>
      <c r="D87" s="3"/>
      <c r="E87" s="3"/>
      <c r="F87" s="3"/>
      <c r="G87" s="3"/>
      <c r="H87" s="3"/>
    </row>
    <row r="88" spans="1:10" x14ac:dyDescent="0.2">
      <c r="C88" s="3"/>
      <c r="D88" s="3"/>
      <c r="E88" s="3"/>
      <c r="F88" s="3"/>
      <c r="G88" s="3"/>
      <c r="H88" s="3"/>
    </row>
    <row r="89" spans="1:10" x14ac:dyDescent="0.2">
      <c r="C89" s="3"/>
      <c r="D89" s="3"/>
      <c r="E89" s="3"/>
      <c r="F89" s="3"/>
      <c r="G89" s="3"/>
      <c r="H89" s="3"/>
    </row>
    <row r="90" spans="1:10" x14ac:dyDescent="0.2">
      <c r="C90" s="3"/>
      <c r="D90" s="3"/>
      <c r="E90" s="3"/>
      <c r="F90" s="3"/>
      <c r="G90" s="3"/>
      <c r="H90" s="3"/>
    </row>
    <row r="91" spans="1:10" x14ac:dyDescent="0.2">
      <c r="C91" s="3"/>
      <c r="D91" s="3"/>
      <c r="E91" s="3"/>
      <c r="F91" s="3"/>
      <c r="G91" s="3"/>
      <c r="H91" s="3"/>
    </row>
    <row r="92" spans="1:10" x14ac:dyDescent="0.2">
      <c r="C92" s="3"/>
      <c r="D92" s="3"/>
      <c r="E92" s="3"/>
      <c r="F92" s="3"/>
      <c r="G92" s="3"/>
      <c r="H92" s="3"/>
    </row>
    <row r="93" spans="1:10" x14ac:dyDescent="0.2">
      <c r="C93" s="3"/>
      <c r="D93" s="3"/>
      <c r="E93" s="3"/>
      <c r="F93" s="3"/>
      <c r="G93" s="3"/>
      <c r="H93" s="3"/>
    </row>
    <row r="94" spans="1:10" x14ac:dyDescent="0.2">
      <c r="C94" s="3"/>
      <c r="D94" s="3"/>
      <c r="E94" s="3"/>
      <c r="F94" s="3"/>
      <c r="G94" s="3"/>
      <c r="H94" s="3"/>
    </row>
    <row r="95" spans="1:10" x14ac:dyDescent="0.2">
      <c r="C95" s="3"/>
      <c r="D95" s="3"/>
      <c r="E95" s="3"/>
      <c r="F95" s="3"/>
      <c r="G95" s="3"/>
      <c r="H95" s="3"/>
    </row>
    <row r="96" spans="1:10" x14ac:dyDescent="0.2">
      <c r="C96" s="3"/>
      <c r="D96" s="3"/>
      <c r="E96" s="3"/>
      <c r="F96" s="3"/>
      <c r="G96" s="3"/>
      <c r="H96" s="3"/>
    </row>
    <row r="97" spans="3:8" x14ac:dyDescent="0.2">
      <c r="C97" s="3"/>
      <c r="D97" s="3"/>
      <c r="E97" s="3"/>
      <c r="F97" s="3"/>
      <c r="G97" s="3"/>
      <c r="H97" s="3"/>
    </row>
    <row r="98" spans="3:8" x14ac:dyDescent="0.2">
      <c r="C98" s="3"/>
      <c r="D98" s="3"/>
      <c r="E98" s="3"/>
      <c r="F98" s="3"/>
      <c r="G98" s="3"/>
      <c r="H98" s="3"/>
    </row>
    <row r="99" spans="3:8" x14ac:dyDescent="0.2">
      <c r="C99" s="3"/>
      <c r="D99" s="3"/>
      <c r="E99" s="3"/>
      <c r="F99" s="3"/>
      <c r="G99" s="3"/>
      <c r="H99" s="3"/>
    </row>
    <row r="100" spans="3:8" x14ac:dyDescent="0.2">
      <c r="C100" s="3"/>
      <c r="D100" s="3"/>
      <c r="E100" s="3"/>
      <c r="F100" s="3"/>
      <c r="G100" s="3"/>
      <c r="H100" s="3"/>
    </row>
    <row r="101" spans="3:8" x14ac:dyDescent="0.2">
      <c r="C101" s="3"/>
      <c r="D101" s="3"/>
      <c r="E101" s="3"/>
      <c r="F101" s="3"/>
      <c r="G101" s="3"/>
      <c r="H101" s="3"/>
    </row>
    <row r="102" spans="3:8" x14ac:dyDescent="0.2">
      <c r="C102" s="3"/>
      <c r="D102" s="3"/>
      <c r="E102" s="3"/>
      <c r="F102" s="3"/>
      <c r="G102" s="3"/>
      <c r="H102" s="3"/>
    </row>
    <row r="103" spans="3:8" x14ac:dyDescent="0.2">
      <c r="C103" s="3"/>
      <c r="D103" s="3"/>
      <c r="E103" s="3"/>
      <c r="F103" s="3"/>
      <c r="G103" s="3"/>
      <c r="H103" s="3"/>
    </row>
    <row r="104" spans="3:8" x14ac:dyDescent="0.2">
      <c r="C104" s="3"/>
      <c r="D104" s="3"/>
      <c r="E104" s="3"/>
      <c r="F104" s="3"/>
      <c r="G104" s="3"/>
      <c r="H104" s="3"/>
    </row>
    <row r="105" spans="3:8" x14ac:dyDescent="0.2">
      <c r="C105" s="3"/>
      <c r="D105" s="3"/>
      <c r="E105" s="3"/>
      <c r="F105" s="3"/>
      <c r="G105" s="3"/>
      <c r="H105" s="3"/>
    </row>
    <row r="106" spans="3:8" x14ac:dyDescent="0.2">
      <c r="C106" s="3"/>
      <c r="D106" s="3"/>
      <c r="E106" s="3"/>
      <c r="F106" s="3"/>
      <c r="G106" s="3"/>
      <c r="H106" s="3"/>
    </row>
    <row r="107" spans="3:8" x14ac:dyDescent="0.2">
      <c r="C107" s="3"/>
      <c r="D107" s="3"/>
      <c r="E107" s="3"/>
      <c r="F107" s="3"/>
      <c r="G107" s="3"/>
      <c r="H107" s="3"/>
    </row>
    <row r="108" spans="3:8" x14ac:dyDescent="0.2">
      <c r="C108" s="3"/>
      <c r="D108" s="3"/>
      <c r="E108" s="3"/>
      <c r="F108" s="3"/>
      <c r="G108" s="3"/>
      <c r="H108" s="3"/>
    </row>
    <row r="109" spans="3:8" x14ac:dyDescent="0.2">
      <c r="C109" s="3"/>
      <c r="D109" s="3"/>
      <c r="E109" s="3"/>
      <c r="F109" s="3"/>
      <c r="G109" s="3"/>
      <c r="H109" s="3"/>
    </row>
    <row r="110" spans="3:8" x14ac:dyDescent="0.2">
      <c r="C110" s="3"/>
      <c r="D110" s="3"/>
      <c r="E110" s="3"/>
      <c r="F110" s="3"/>
      <c r="G110" s="3"/>
      <c r="H110" s="3"/>
    </row>
    <row r="111" spans="3:8" x14ac:dyDescent="0.2">
      <c r="C111" s="3"/>
      <c r="D111" s="3"/>
      <c r="E111" s="3"/>
      <c r="F111" s="3"/>
      <c r="G111" s="3"/>
      <c r="H111" s="3"/>
    </row>
    <row r="112" spans="3:8" x14ac:dyDescent="0.2">
      <c r="C112" s="3"/>
      <c r="D112" s="3"/>
      <c r="E112" s="3"/>
      <c r="F112" s="3"/>
      <c r="G112" s="3"/>
      <c r="H112" s="3"/>
    </row>
    <row r="113" spans="3:8" x14ac:dyDescent="0.2">
      <c r="C113" s="3"/>
      <c r="D113" s="3"/>
      <c r="E113" s="3"/>
      <c r="F113" s="3"/>
      <c r="G113" s="3"/>
      <c r="H113" s="3"/>
    </row>
    <row r="114" spans="3:8" x14ac:dyDescent="0.2">
      <c r="C114" s="3"/>
      <c r="D114" s="3"/>
      <c r="E114" s="3"/>
      <c r="F114" s="3"/>
      <c r="G114" s="3"/>
      <c r="H114" s="3"/>
    </row>
    <row r="115" spans="3:8" x14ac:dyDescent="0.2">
      <c r="C115" s="3"/>
      <c r="D115" s="3"/>
      <c r="E115" s="3"/>
      <c r="F115" s="3"/>
      <c r="G115" s="3"/>
      <c r="H115" s="3"/>
    </row>
    <row r="116" spans="3:8" x14ac:dyDescent="0.2">
      <c r="C116" s="3"/>
      <c r="D116" s="3"/>
      <c r="E116" s="3"/>
      <c r="F116" s="3"/>
      <c r="G116" s="3"/>
      <c r="H116" s="3"/>
    </row>
    <row r="117" spans="3:8" x14ac:dyDescent="0.2">
      <c r="C117" s="3"/>
      <c r="D117" s="3"/>
      <c r="E117" s="3"/>
      <c r="F117" s="3"/>
      <c r="G117" s="3"/>
      <c r="H117" s="3"/>
    </row>
    <row r="118" spans="3:8" x14ac:dyDescent="0.2">
      <c r="C118" s="3"/>
      <c r="D118" s="3"/>
      <c r="E118" s="3"/>
      <c r="F118" s="3"/>
      <c r="G118" s="3"/>
      <c r="H118" s="3"/>
    </row>
    <row r="119" spans="3:8" x14ac:dyDescent="0.2">
      <c r="C119" s="3"/>
      <c r="D119" s="3"/>
      <c r="E119" s="3"/>
      <c r="F119" s="3"/>
      <c r="G119" s="3"/>
      <c r="H119" s="3"/>
    </row>
    <row r="120" spans="3:8" x14ac:dyDescent="0.2">
      <c r="C120" s="3"/>
      <c r="D120" s="3"/>
      <c r="E120" s="3"/>
      <c r="F120" s="3"/>
      <c r="G120" s="3"/>
      <c r="H120" s="3"/>
    </row>
    <row r="121" spans="3:8" x14ac:dyDescent="0.2">
      <c r="C121" s="3"/>
      <c r="D121" s="3"/>
      <c r="E121" s="3"/>
      <c r="F121" s="3"/>
      <c r="G121" s="3"/>
      <c r="H121" s="3"/>
    </row>
    <row r="122" spans="3:8" x14ac:dyDescent="0.2">
      <c r="C122" s="3"/>
      <c r="D122" s="3"/>
      <c r="E122" s="3"/>
      <c r="F122" s="3"/>
      <c r="G122" s="3"/>
      <c r="H122" s="3"/>
    </row>
    <row r="123" spans="3:8" x14ac:dyDescent="0.2">
      <c r="C123" s="3"/>
      <c r="D123" s="3"/>
      <c r="E123" s="3"/>
      <c r="F123" s="3"/>
      <c r="G123" s="3"/>
      <c r="H123" s="3"/>
    </row>
    <row r="124" spans="3:8" x14ac:dyDescent="0.2">
      <c r="C124" s="3"/>
      <c r="D124" s="3"/>
      <c r="E124" s="3"/>
      <c r="F124" s="3"/>
      <c r="G124" s="3"/>
      <c r="H124" s="3"/>
    </row>
    <row r="125" spans="3:8" x14ac:dyDescent="0.2">
      <c r="C125" s="3"/>
      <c r="D125" s="3"/>
      <c r="E125" s="3"/>
      <c r="F125" s="3"/>
      <c r="G125" s="3"/>
      <c r="H125" s="3"/>
    </row>
    <row r="126" spans="3:8" x14ac:dyDescent="0.2">
      <c r="C126" s="3"/>
      <c r="D126" s="3"/>
      <c r="E126" s="3"/>
      <c r="F126" s="3"/>
      <c r="G126" s="3"/>
      <c r="H126" s="3"/>
    </row>
    <row r="127" spans="3:8" x14ac:dyDescent="0.2">
      <c r="C127" s="3"/>
      <c r="D127" s="3"/>
      <c r="E127" s="3"/>
      <c r="F127" s="3"/>
      <c r="G127" s="3"/>
      <c r="H127" s="3"/>
    </row>
    <row r="128" spans="3:8" x14ac:dyDescent="0.2">
      <c r="C128" s="3"/>
      <c r="D128" s="3"/>
      <c r="E128" s="3"/>
      <c r="F128" s="3"/>
      <c r="G128" s="3"/>
      <c r="H128" s="3"/>
    </row>
    <row r="129" spans="3:8" x14ac:dyDescent="0.2">
      <c r="C129" s="3"/>
      <c r="D129" s="3"/>
      <c r="E129" s="3"/>
      <c r="F129" s="3"/>
      <c r="G129" s="3"/>
      <c r="H129" s="3"/>
    </row>
    <row r="130" spans="3:8" x14ac:dyDescent="0.2">
      <c r="C130" s="3"/>
      <c r="D130" s="3"/>
      <c r="E130" s="3"/>
      <c r="F130" s="3"/>
      <c r="G130" s="3"/>
      <c r="H130" s="3"/>
    </row>
    <row r="131" spans="3:8" x14ac:dyDescent="0.2">
      <c r="C131" s="3"/>
      <c r="D131" s="3"/>
      <c r="E131" s="3"/>
      <c r="F131" s="3"/>
      <c r="G131" s="3"/>
      <c r="H131" s="3"/>
    </row>
    <row r="132" spans="3:8" x14ac:dyDescent="0.2">
      <c r="C132" s="3"/>
      <c r="D132" s="3"/>
      <c r="E132" s="3"/>
      <c r="F132" s="3"/>
      <c r="G132" s="3"/>
      <c r="H132" s="3"/>
    </row>
    <row r="133" spans="3:8" x14ac:dyDescent="0.2">
      <c r="C133" s="3"/>
      <c r="D133" s="3"/>
      <c r="E133" s="3"/>
      <c r="F133" s="3"/>
      <c r="G133" s="3"/>
      <c r="H133" s="3"/>
    </row>
    <row r="134" spans="3:8" x14ac:dyDescent="0.2">
      <c r="C134" s="3"/>
      <c r="D134" s="3"/>
      <c r="E134" s="3"/>
      <c r="F134" s="3"/>
      <c r="G134" s="3"/>
      <c r="H134" s="3"/>
    </row>
    <row r="135" spans="3:8" x14ac:dyDescent="0.2">
      <c r="C135" s="3"/>
      <c r="D135" s="3"/>
      <c r="E135" s="3"/>
      <c r="F135" s="3"/>
      <c r="G135" s="3"/>
      <c r="H135" s="3"/>
    </row>
    <row r="136" spans="3:8" x14ac:dyDescent="0.2">
      <c r="C136" s="3"/>
      <c r="D136" s="3"/>
      <c r="E136" s="3"/>
      <c r="F136" s="3"/>
      <c r="G136" s="3"/>
      <c r="H136" s="3"/>
    </row>
    <row r="137" spans="3:8" x14ac:dyDescent="0.2">
      <c r="C137" s="3"/>
      <c r="D137" s="3"/>
      <c r="E137" s="3"/>
      <c r="F137" s="3"/>
      <c r="G137" s="3"/>
      <c r="H137" s="3"/>
    </row>
    <row r="138" spans="3:8" x14ac:dyDescent="0.2">
      <c r="C138" s="3"/>
      <c r="D138" s="3"/>
      <c r="E138" s="3"/>
      <c r="F138" s="3"/>
      <c r="G138" s="3"/>
      <c r="H138" s="3"/>
    </row>
    <row r="139" spans="3:8" x14ac:dyDescent="0.2">
      <c r="C139" s="3"/>
      <c r="D139" s="3"/>
      <c r="E139" s="3"/>
      <c r="F139" s="3"/>
      <c r="G139" s="3"/>
      <c r="H139" s="3"/>
    </row>
    <row r="140" spans="3:8" x14ac:dyDescent="0.2">
      <c r="C140" s="3"/>
      <c r="D140" s="3"/>
      <c r="E140" s="3"/>
      <c r="F140" s="3"/>
      <c r="G140" s="3"/>
      <c r="H140" s="3"/>
    </row>
    <row r="141" spans="3:8" x14ac:dyDescent="0.2">
      <c r="C141" s="3"/>
      <c r="D141" s="3"/>
      <c r="E141" s="3"/>
      <c r="F141" s="3"/>
      <c r="G141" s="3"/>
      <c r="H141" s="3"/>
    </row>
    <row r="142" spans="3:8" x14ac:dyDescent="0.2">
      <c r="C142" s="3"/>
      <c r="D142" s="3"/>
      <c r="E142" s="3"/>
      <c r="F142" s="3"/>
      <c r="G142" s="3"/>
      <c r="H142" s="3"/>
    </row>
    <row r="143" spans="3:8" x14ac:dyDescent="0.2">
      <c r="C143" s="3"/>
      <c r="D143" s="3"/>
      <c r="E143" s="3"/>
      <c r="F143" s="3"/>
      <c r="G143" s="3"/>
      <c r="H143" s="3"/>
    </row>
    <row r="144" spans="3:8" x14ac:dyDescent="0.2">
      <c r="C144" s="3"/>
      <c r="D144" s="3"/>
      <c r="E144" s="3"/>
      <c r="F144" s="3"/>
      <c r="G144" s="3"/>
      <c r="H144" s="3"/>
    </row>
    <row r="145" spans="3:8" x14ac:dyDescent="0.2">
      <c r="C145" s="3"/>
      <c r="D145" s="3"/>
      <c r="E145" s="3"/>
      <c r="F145" s="3"/>
      <c r="G145" s="3"/>
      <c r="H145" s="3"/>
    </row>
    <row r="146" spans="3:8" x14ac:dyDescent="0.2">
      <c r="C146" s="3"/>
      <c r="D146" s="3"/>
      <c r="E146" s="3"/>
      <c r="F146" s="3"/>
      <c r="G146" s="3"/>
      <c r="H146" s="3"/>
    </row>
    <row r="147" spans="3:8" x14ac:dyDescent="0.2">
      <c r="C147" s="3"/>
      <c r="D147" s="3"/>
      <c r="E147" s="3"/>
      <c r="F147" s="3"/>
      <c r="G147" s="3"/>
      <c r="H147" s="3"/>
    </row>
    <row r="148" spans="3:8" x14ac:dyDescent="0.2">
      <c r="C148" s="3"/>
      <c r="D148" s="3"/>
      <c r="E148" s="3"/>
      <c r="F148" s="3"/>
      <c r="G148" s="3"/>
      <c r="H148" s="3"/>
    </row>
    <row r="149" spans="3:8" x14ac:dyDescent="0.2">
      <c r="C149" s="3"/>
      <c r="D149" s="3"/>
      <c r="E149" s="3"/>
      <c r="F149" s="3"/>
      <c r="G149" s="3"/>
      <c r="H149" s="3"/>
    </row>
    <row r="150" spans="3:8" x14ac:dyDescent="0.2">
      <c r="C150" s="3"/>
      <c r="D150" s="3"/>
      <c r="E150" s="3"/>
      <c r="F150" s="3"/>
      <c r="G150" s="3"/>
      <c r="H150" s="3"/>
    </row>
    <row r="151" spans="3:8" x14ac:dyDescent="0.2">
      <c r="C151" s="3"/>
      <c r="D151" s="3"/>
      <c r="E151" s="3"/>
      <c r="F151" s="3"/>
      <c r="G151" s="3"/>
      <c r="H151" s="3"/>
    </row>
    <row r="152" spans="3:8" x14ac:dyDescent="0.2">
      <c r="C152" s="3"/>
      <c r="D152" s="3"/>
      <c r="E152" s="3"/>
      <c r="F152" s="3"/>
      <c r="G152" s="3"/>
      <c r="H152" s="3"/>
    </row>
    <row r="153" spans="3:8" x14ac:dyDescent="0.2">
      <c r="C153" s="3"/>
      <c r="D153" s="3"/>
      <c r="E153" s="3"/>
      <c r="F153" s="3"/>
      <c r="G153" s="3"/>
      <c r="H153" s="3"/>
    </row>
    <row r="154" spans="3:8" x14ac:dyDescent="0.2">
      <c r="C154" s="3"/>
      <c r="D154" s="3"/>
      <c r="E154" s="3"/>
      <c r="F154" s="3"/>
      <c r="G154" s="3"/>
      <c r="H154" s="3"/>
    </row>
    <row r="155" spans="3:8" x14ac:dyDescent="0.2">
      <c r="C155" s="3"/>
      <c r="D155" s="3"/>
      <c r="E155" s="3"/>
      <c r="F155" s="3"/>
      <c r="G155" s="3"/>
      <c r="H155" s="3"/>
    </row>
    <row r="156" spans="3:8" x14ac:dyDescent="0.2">
      <c r="C156" s="3"/>
      <c r="D156" s="3"/>
      <c r="E156" s="3"/>
      <c r="F156" s="3"/>
      <c r="G156" s="3"/>
      <c r="H156" s="3"/>
    </row>
    <row r="157" spans="3:8" x14ac:dyDescent="0.2">
      <c r="C157" s="3"/>
      <c r="D157" s="3"/>
      <c r="E157" s="3"/>
      <c r="F157" s="3"/>
      <c r="G157" s="3"/>
      <c r="H157" s="3"/>
    </row>
    <row r="158" spans="3:8" x14ac:dyDescent="0.2">
      <c r="C158" s="3"/>
      <c r="D158" s="3"/>
      <c r="E158" s="3"/>
      <c r="F158" s="3"/>
      <c r="G158" s="3"/>
      <c r="H158" s="3"/>
    </row>
    <row r="159" spans="3:8" x14ac:dyDescent="0.2">
      <c r="C159" s="3"/>
      <c r="D159" s="3"/>
      <c r="E159" s="3"/>
      <c r="F159" s="3"/>
      <c r="G159" s="3"/>
      <c r="H159" s="3"/>
    </row>
    <row r="160" spans="3:8" x14ac:dyDescent="0.2">
      <c r="C160" s="3"/>
      <c r="D160" s="3"/>
      <c r="E160" s="3"/>
      <c r="F160" s="3"/>
      <c r="G160" s="3"/>
      <c r="H160" s="3"/>
    </row>
    <row r="161" spans="3:8" x14ac:dyDescent="0.2">
      <c r="C161" s="3"/>
      <c r="D161" s="3"/>
      <c r="E161" s="3"/>
      <c r="F161" s="3"/>
      <c r="G161" s="3"/>
      <c r="H161" s="3"/>
    </row>
    <row r="162" spans="3:8" x14ac:dyDescent="0.2">
      <c r="C162" s="3"/>
      <c r="D162" s="3"/>
      <c r="E162" s="3"/>
      <c r="F162" s="3"/>
      <c r="G162" s="3"/>
      <c r="H162" s="3"/>
    </row>
    <row r="163" spans="3:8" x14ac:dyDescent="0.2">
      <c r="C163" s="3"/>
      <c r="D163" s="3"/>
      <c r="E163" s="3"/>
      <c r="F163" s="3"/>
      <c r="G163" s="3"/>
      <c r="H163" s="3"/>
    </row>
    <row r="164" spans="3:8" x14ac:dyDescent="0.2">
      <c r="C164" s="3"/>
      <c r="D164" s="3"/>
      <c r="E164" s="3"/>
      <c r="F164" s="3"/>
      <c r="G164" s="3"/>
      <c r="H164" s="3"/>
    </row>
    <row r="165" spans="3:8" x14ac:dyDescent="0.2">
      <c r="C165" s="3"/>
      <c r="D165" s="3"/>
      <c r="E165" s="3"/>
      <c r="F165" s="3"/>
      <c r="G165" s="3"/>
      <c r="H165" s="3"/>
    </row>
    <row r="166" spans="3:8" x14ac:dyDescent="0.2">
      <c r="C166" s="3"/>
      <c r="D166" s="3"/>
      <c r="E166" s="3"/>
      <c r="F166" s="3"/>
      <c r="G166" s="3"/>
      <c r="H166" s="3"/>
    </row>
    <row r="167" spans="3:8" x14ac:dyDescent="0.2">
      <c r="C167" s="3"/>
      <c r="D167" s="3"/>
      <c r="E167" s="3"/>
      <c r="F167" s="3"/>
      <c r="G167" s="3"/>
      <c r="H167" s="3"/>
    </row>
    <row r="168" spans="3:8" x14ac:dyDescent="0.2">
      <c r="C168" s="3"/>
      <c r="D168" s="3"/>
      <c r="E168" s="3"/>
      <c r="F168" s="3"/>
      <c r="G168" s="3"/>
      <c r="H168" s="3"/>
    </row>
    <row r="169" spans="3:8" x14ac:dyDescent="0.2">
      <c r="C169" s="3"/>
      <c r="D169" s="3"/>
      <c r="E169" s="3"/>
      <c r="F169" s="3"/>
      <c r="G169" s="3"/>
      <c r="H169" s="3"/>
    </row>
    <row r="170" spans="3:8" x14ac:dyDescent="0.2">
      <c r="C170" s="3"/>
      <c r="D170" s="3"/>
      <c r="E170" s="3"/>
      <c r="F170" s="3"/>
      <c r="G170" s="3"/>
      <c r="H170" s="3"/>
    </row>
    <row r="171" spans="3:8" x14ac:dyDescent="0.2">
      <c r="C171" s="3"/>
      <c r="D171" s="3"/>
      <c r="E171" s="3"/>
      <c r="F171" s="3"/>
      <c r="G171" s="3"/>
      <c r="H171" s="3"/>
    </row>
    <row r="172" spans="3:8" x14ac:dyDescent="0.2">
      <c r="C172" s="3"/>
      <c r="D172" s="3"/>
      <c r="E172" s="3"/>
      <c r="F172" s="3"/>
      <c r="G172" s="3"/>
      <c r="H172" s="3"/>
    </row>
    <row r="173" spans="3:8" x14ac:dyDescent="0.2">
      <c r="C173" s="3"/>
      <c r="D173" s="3"/>
      <c r="E173" s="3"/>
      <c r="F173" s="3"/>
      <c r="G173" s="3"/>
      <c r="H173" s="3"/>
    </row>
    <row r="174" spans="3:8" x14ac:dyDescent="0.2">
      <c r="C174" s="3"/>
      <c r="D174" s="3"/>
      <c r="E174" s="3"/>
      <c r="F174" s="3"/>
      <c r="G174" s="3"/>
      <c r="H174" s="3"/>
    </row>
    <row r="175" spans="3:8" x14ac:dyDescent="0.2">
      <c r="C175" s="3"/>
      <c r="D175" s="3"/>
      <c r="E175" s="3"/>
      <c r="F175" s="3"/>
      <c r="G175" s="3"/>
      <c r="H175" s="3"/>
    </row>
    <row r="176" spans="3:8" x14ac:dyDescent="0.2">
      <c r="C176" s="3"/>
      <c r="D176" s="3"/>
      <c r="E176" s="3"/>
      <c r="F176" s="3"/>
      <c r="G176" s="3"/>
      <c r="H176" s="3"/>
    </row>
    <row r="177" spans="3:8" x14ac:dyDescent="0.2">
      <c r="C177" s="3"/>
      <c r="D177" s="3"/>
      <c r="E177" s="3"/>
      <c r="F177" s="3"/>
      <c r="G177" s="3"/>
      <c r="H177" s="3"/>
    </row>
    <row r="178" spans="3:8" x14ac:dyDescent="0.2">
      <c r="C178" s="3"/>
      <c r="D178" s="3"/>
      <c r="E178" s="3"/>
      <c r="F178" s="3"/>
      <c r="G178" s="3"/>
      <c r="H178" s="3"/>
    </row>
    <row r="179" spans="3:8" x14ac:dyDescent="0.2">
      <c r="C179" s="3"/>
      <c r="D179" s="3"/>
      <c r="E179" s="3"/>
      <c r="F179" s="3"/>
      <c r="G179" s="3"/>
      <c r="H179" s="3"/>
    </row>
    <row r="180" spans="3:8" x14ac:dyDescent="0.2">
      <c r="C180" s="3"/>
      <c r="D180" s="3"/>
      <c r="E180" s="3"/>
      <c r="F180" s="3"/>
      <c r="G180" s="3"/>
      <c r="H180" s="3"/>
    </row>
    <row r="181" spans="3:8" x14ac:dyDescent="0.2">
      <c r="C181" s="3"/>
      <c r="D181" s="3"/>
      <c r="E181" s="3"/>
      <c r="F181" s="3"/>
      <c r="G181" s="3"/>
      <c r="H181" s="3"/>
    </row>
    <row r="182" spans="3:8" x14ac:dyDescent="0.2">
      <c r="C182" s="3"/>
      <c r="D182" s="3"/>
      <c r="E182" s="3"/>
      <c r="F182" s="3"/>
      <c r="G182" s="3"/>
      <c r="H182" s="3"/>
    </row>
    <row r="183" spans="3:8" x14ac:dyDescent="0.2">
      <c r="C183" s="3"/>
      <c r="D183" s="3"/>
      <c r="E183" s="3"/>
      <c r="F183" s="3"/>
      <c r="G183" s="3"/>
      <c r="H183" s="3"/>
    </row>
    <row r="184" spans="3:8" x14ac:dyDescent="0.2">
      <c r="C184" s="3"/>
      <c r="D184" s="3"/>
      <c r="E184" s="3"/>
      <c r="F184" s="3"/>
      <c r="G184" s="3"/>
      <c r="H184" s="3"/>
    </row>
    <row r="185" spans="3:8" x14ac:dyDescent="0.2">
      <c r="C185" s="3"/>
      <c r="D185" s="3"/>
      <c r="E185" s="3"/>
      <c r="F185" s="3"/>
      <c r="G185" s="3"/>
      <c r="H185" s="3"/>
    </row>
    <row r="186" spans="3:8" x14ac:dyDescent="0.2">
      <c r="C186" s="3"/>
      <c r="D186" s="3"/>
      <c r="E186" s="3"/>
      <c r="F186" s="3"/>
      <c r="G186" s="3"/>
      <c r="H186" s="3"/>
    </row>
    <row r="187" spans="3:8" x14ac:dyDescent="0.2">
      <c r="C187" s="3"/>
      <c r="D187" s="3"/>
      <c r="E187" s="3"/>
      <c r="F187" s="3"/>
      <c r="G187" s="3"/>
      <c r="H187" s="3"/>
    </row>
    <row r="188" spans="3:8" x14ac:dyDescent="0.2">
      <c r="C188" s="3"/>
      <c r="D188" s="3"/>
      <c r="E188" s="3"/>
      <c r="F188" s="3"/>
      <c r="G188" s="3"/>
      <c r="H188" s="3"/>
    </row>
    <row r="189" spans="3:8" x14ac:dyDescent="0.2">
      <c r="C189" s="3"/>
      <c r="D189" s="3"/>
      <c r="E189" s="3"/>
      <c r="F189" s="3"/>
      <c r="G189" s="3"/>
      <c r="H189" s="3"/>
    </row>
    <row r="190" spans="3:8" x14ac:dyDescent="0.2">
      <c r="C190" s="3"/>
      <c r="D190" s="3"/>
      <c r="E190" s="3"/>
      <c r="F190" s="3"/>
      <c r="G190" s="3"/>
      <c r="H190" s="3"/>
    </row>
    <row r="191" spans="3:8" x14ac:dyDescent="0.2">
      <c r="C191" s="3"/>
      <c r="D191" s="3"/>
      <c r="E191" s="3"/>
      <c r="F191" s="3"/>
      <c r="G191" s="3"/>
      <c r="H191" s="3"/>
    </row>
    <row r="192" spans="3:8" x14ac:dyDescent="0.2">
      <c r="C192" s="3"/>
      <c r="D192" s="3"/>
      <c r="E192" s="3"/>
      <c r="F192" s="3"/>
      <c r="G192" s="3"/>
      <c r="H192" s="3"/>
    </row>
    <row r="193" spans="3:8" x14ac:dyDescent="0.2">
      <c r="C193" s="3"/>
      <c r="D193" s="3"/>
      <c r="E193" s="3"/>
      <c r="F193" s="3"/>
      <c r="G193" s="3"/>
      <c r="H193" s="3"/>
    </row>
    <row r="194" spans="3:8" x14ac:dyDescent="0.2">
      <c r="C194" s="3"/>
      <c r="D194" s="3"/>
      <c r="E194" s="3"/>
      <c r="F194" s="3"/>
      <c r="G194" s="3"/>
      <c r="H194" s="3"/>
    </row>
    <row r="195" spans="3:8" x14ac:dyDescent="0.2">
      <c r="C195" s="3"/>
      <c r="D195" s="3"/>
      <c r="E195" s="3"/>
      <c r="F195" s="3"/>
      <c r="G195" s="3"/>
      <c r="H195" s="3"/>
    </row>
    <row r="196" spans="3:8" x14ac:dyDescent="0.2">
      <c r="C196" s="3"/>
      <c r="D196" s="3"/>
      <c r="E196" s="3"/>
      <c r="F196" s="3"/>
      <c r="G196" s="3"/>
      <c r="H196" s="3"/>
    </row>
    <row r="197" spans="3:8" x14ac:dyDescent="0.2">
      <c r="C197" s="3"/>
      <c r="D197" s="3"/>
      <c r="E197" s="3"/>
      <c r="F197" s="3"/>
      <c r="G197" s="3"/>
      <c r="H197" s="3"/>
    </row>
    <row r="198" spans="3:8" x14ac:dyDescent="0.2">
      <c r="C198" s="3"/>
      <c r="D198" s="3"/>
      <c r="E198" s="3"/>
      <c r="F198" s="3"/>
      <c r="G198" s="3"/>
      <c r="H198" s="3"/>
    </row>
    <row r="199" spans="3:8" x14ac:dyDescent="0.2">
      <c r="C199" s="3"/>
      <c r="D199" s="3"/>
      <c r="E199" s="3"/>
      <c r="F199" s="3"/>
      <c r="G199" s="3"/>
      <c r="H199" s="3"/>
    </row>
    <row r="200" spans="3:8" x14ac:dyDescent="0.2">
      <c r="C200" s="3"/>
      <c r="D200" s="3"/>
      <c r="E200" s="3"/>
      <c r="F200" s="3"/>
      <c r="G200" s="3"/>
      <c r="H200" s="3"/>
    </row>
    <row r="201" spans="3:8" x14ac:dyDescent="0.2">
      <c r="C201" s="3"/>
      <c r="D201" s="3"/>
      <c r="E201" s="3"/>
      <c r="F201" s="3"/>
      <c r="G201" s="3"/>
      <c r="H201" s="3"/>
    </row>
    <row r="202" spans="3:8" x14ac:dyDescent="0.2">
      <c r="C202" s="3"/>
      <c r="D202" s="3"/>
      <c r="E202" s="3"/>
      <c r="F202" s="3"/>
      <c r="G202" s="3"/>
      <c r="H202" s="3"/>
    </row>
    <row r="203" spans="3:8" x14ac:dyDescent="0.2">
      <c r="C203" s="3"/>
      <c r="D203" s="3"/>
      <c r="E203" s="3"/>
      <c r="F203" s="3"/>
      <c r="G203" s="3"/>
      <c r="H203" s="3"/>
    </row>
    <row r="204" spans="3:8" x14ac:dyDescent="0.2">
      <c r="C204" s="3"/>
      <c r="D204" s="3"/>
      <c r="E204" s="3"/>
      <c r="F204" s="3"/>
      <c r="G204" s="3"/>
      <c r="H204" s="3"/>
    </row>
    <row r="205" spans="3:8" x14ac:dyDescent="0.2">
      <c r="C205" s="3"/>
      <c r="D205" s="3"/>
      <c r="E205" s="3"/>
      <c r="F205" s="3"/>
      <c r="G205" s="3"/>
      <c r="H205" s="3"/>
    </row>
    <row r="206" spans="3:8" x14ac:dyDescent="0.2">
      <c r="C206" s="3"/>
      <c r="D206" s="3"/>
      <c r="E206" s="3"/>
      <c r="F206" s="3"/>
      <c r="G206" s="3"/>
      <c r="H206" s="3"/>
    </row>
    <row r="207" spans="3:8" x14ac:dyDescent="0.2">
      <c r="C207" s="3"/>
      <c r="D207" s="3"/>
      <c r="E207" s="3"/>
      <c r="F207" s="3"/>
      <c r="G207" s="3"/>
      <c r="H207" s="3"/>
    </row>
    <row r="208" spans="3:8" x14ac:dyDescent="0.2">
      <c r="C208" s="3"/>
      <c r="D208" s="3"/>
      <c r="E208" s="3"/>
      <c r="F208" s="3"/>
      <c r="G208" s="3"/>
      <c r="H208" s="3"/>
    </row>
    <row r="209" spans="3:8" x14ac:dyDescent="0.2">
      <c r="C209" s="3"/>
      <c r="D209" s="3"/>
      <c r="E209" s="3"/>
      <c r="F209" s="3"/>
      <c r="G209" s="3"/>
      <c r="H209" s="3"/>
    </row>
    <row r="210" spans="3:8" x14ac:dyDescent="0.2">
      <c r="C210" s="3"/>
      <c r="D210" s="3"/>
      <c r="E210" s="3"/>
      <c r="F210" s="3"/>
      <c r="G210" s="3"/>
      <c r="H210" s="3"/>
    </row>
    <row r="211" spans="3:8" x14ac:dyDescent="0.2">
      <c r="C211" s="3"/>
      <c r="D211" s="3"/>
      <c r="E211" s="3"/>
      <c r="F211" s="3"/>
      <c r="G211" s="3"/>
      <c r="H211" s="3"/>
    </row>
    <row r="212" spans="3:8" x14ac:dyDescent="0.2">
      <c r="C212" s="3"/>
      <c r="D212" s="3"/>
      <c r="E212" s="3"/>
      <c r="F212" s="3"/>
      <c r="G212" s="3"/>
      <c r="H212" s="3"/>
    </row>
    <row r="213" spans="3:8" x14ac:dyDescent="0.2">
      <c r="C213" s="3"/>
      <c r="D213" s="3"/>
      <c r="E213" s="3"/>
      <c r="F213" s="3"/>
      <c r="G213" s="3"/>
      <c r="H213" s="3"/>
    </row>
    <row r="214" spans="3:8" x14ac:dyDescent="0.2">
      <c r="C214" s="3"/>
      <c r="D214" s="3"/>
      <c r="E214" s="3"/>
      <c r="F214" s="3"/>
      <c r="G214" s="3"/>
      <c r="H214" s="3"/>
    </row>
    <row r="215" spans="3:8" x14ac:dyDescent="0.2">
      <c r="C215" s="3"/>
      <c r="D215" s="3"/>
      <c r="E215" s="3"/>
      <c r="F215" s="3"/>
      <c r="G215" s="3"/>
      <c r="H215" s="3"/>
    </row>
    <row r="216" spans="3:8" x14ac:dyDescent="0.2">
      <c r="C216" s="3"/>
      <c r="D216" s="3"/>
      <c r="E216" s="3"/>
      <c r="F216" s="3"/>
      <c r="G216" s="3"/>
      <c r="H216" s="3"/>
    </row>
    <row r="217" spans="3:8" x14ac:dyDescent="0.2">
      <c r="C217" s="3"/>
      <c r="D217" s="3"/>
      <c r="E217" s="3"/>
      <c r="F217" s="3"/>
      <c r="G217" s="3"/>
      <c r="H217" s="3"/>
    </row>
    <row r="218" spans="3:8" x14ac:dyDescent="0.2">
      <c r="C218" s="3"/>
      <c r="D218" s="3"/>
      <c r="E218" s="3"/>
      <c r="F218" s="3"/>
      <c r="G218" s="3"/>
      <c r="H218" s="3"/>
    </row>
    <row r="219" spans="3:8" x14ac:dyDescent="0.2">
      <c r="C219" s="3"/>
      <c r="D219" s="3"/>
      <c r="E219" s="3"/>
      <c r="F219" s="3"/>
      <c r="G219" s="3"/>
      <c r="H219" s="3"/>
    </row>
    <row r="220" spans="3:8" x14ac:dyDescent="0.2">
      <c r="C220" s="3"/>
      <c r="D220" s="3"/>
      <c r="E220" s="3"/>
      <c r="F220" s="3"/>
      <c r="G220" s="3"/>
      <c r="H220" s="3"/>
    </row>
    <row r="221" spans="3:8" x14ac:dyDescent="0.2">
      <c r="C221" s="3"/>
      <c r="D221" s="3"/>
      <c r="E221" s="3"/>
      <c r="F221" s="3"/>
      <c r="G221" s="3"/>
      <c r="H221" s="3"/>
    </row>
    <row r="222" spans="3:8" x14ac:dyDescent="0.2">
      <c r="C222" s="3"/>
      <c r="D222" s="3"/>
      <c r="E222" s="3"/>
      <c r="F222" s="3"/>
      <c r="G222" s="3"/>
      <c r="H222" s="3"/>
    </row>
    <row r="223" spans="3:8" x14ac:dyDescent="0.2">
      <c r="C223" s="3"/>
      <c r="D223" s="3"/>
      <c r="E223" s="3"/>
      <c r="F223" s="3"/>
      <c r="G223" s="3"/>
      <c r="H223" s="3"/>
    </row>
    <row r="224" spans="3:8" x14ac:dyDescent="0.2">
      <c r="C224" s="3"/>
      <c r="D224" s="3"/>
      <c r="E224" s="3"/>
      <c r="F224" s="3"/>
      <c r="G224" s="3"/>
      <c r="H224" s="3"/>
    </row>
    <row r="225" spans="3:8" x14ac:dyDescent="0.2">
      <c r="C225" s="3"/>
      <c r="D225" s="3"/>
      <c r="E225" s="3"/>
      <c r="F225" s="3"/>
      <c r="G225" s="3"/>
      <c r="H225" s="3"/>
    </row>
    <row r="226" spans="3:8" x14ac:dyDescent="0.2">
      <c r="C226" s="3"/>
      <c r="D226" s="3"/>
      <c r="E226" s="3"/>
      <c r="F226" s="3"/>
      <c r="G226" s="3"/>
      <c r="H226" s="3"/>
    </row>
    <row r="227" spans="3:8" x14ac:dyDescent="0.2">
      <c r="C227" s="3"/>
      <c r="D227" s="3"/>
      <c r="E227" s="3"/>
      <c r="F227" s="3"/>
      <c r="G227" s="3"/>
      <c r="H227" s="3"/>
    </row>
    <row r="228" spans="3:8" x14ac:dyDescent="0.2">
      <c r="C228" s="3"/>
      <c r="D228" s="3"/>
      <c r="E228" s="3"/>
      <c r="F228" s="3"/>
      <c r="G228" s="3"/>
      <c r="H228" s="3"/>
    </row>
    <row r="229" spans="3:8" x14ac:dyDescent="0.2">
      <c r="C229" s="3"/>
      <c r="D229" s="3"/>
      <c r="E229" s="3"/>
      <c r="F229" s="3"/>
      <c r="G229" s="3"/>
      <c r="H229" s="3"/>
    </row>
    <row r="230" spans="3:8" x14ac:dyDescent="0.2">
      <c r="C230" s="3"/>
      <c r="D230" s="3"/>
      <c r="E230" s="3"/>
      <c r="F230" s="3"/>
      <c r="G230" s="3"/>
      <c r="H230" s="3"/>
    </row>
    <row r="231" spans="3:8" x14ac:dyDescent="0.2">
      <c r="C231" s="3"/>
      <c r="D231" s="3"/>
      <c r="E231" s="3"/>
      <c r="F231" s="3"/>
      <c r="G231" s="3"/>
      <c r="H231" s="3"/>
    </row>
    <row r="232" spans="3:8" x14ac:dyDescent="0.2">
      <c r="C232" s="3"/>
      <c r="D232" s="3"/>
      <c r="E232" s="3"/>
      <c r="F232" s="3"/>
      <c r="G232" s="3"/>
      <c r="H232" s="3"/>
    </row>
    <row r="233" spans="3:8" x14ac:dyDescent="0.2">
      <c r="C233" s="3"/>
      <c r="D233" s="3"/>
      <c r="E233" s="3"/>
      <c r="F233" s="3"/>
      <c r="G233" s="3"/>
      <c r="H233" s="3"/>
    </row>
    <row r="234" spans="3:8" x14ac:dyDescent="0.2">
      <c r="C234" s="3"/>
      <c r="D234" s="3"/>
      <c r="E234" s="3"/>
      <c r="F234" s="3"/>
      <c r="G234" s="3"/>
      <c r="H234" s="3"/>
    </row>
    <row r="235" spans="3:8" x14ac:dyDescent="0.2">
      <c r="C235" s="3"/>
      <c r="D235" s="3"/>
      <c r="E235" s="3"/>
      <c r="F235" s="3"/>
      <c r="G235" s="3"/>
      <c r="H235" s="3"/>
    </row>
    <row r="236" spans="3:8" x14ac:dyDescent="0.2">
      <c r="C236" s="3"/>
      <c r="D236" s="3"/>
      <c r="E236" s="3"/>
      <c r="F236" s="3"/>
      <c r="G236" s="3"/>
      <c r="H236" s="3"/>
    </row>
    <row r="237" spans="3:8" x14ac:dyDescent="0.2">
      <c r="C237" s="3"/>
      <c r="D237" s="3"/>
      <c r="E237" s="3"/>
      <c r="F237" s="3"/>
      <c r="G237" s="3"/>
      <c r="H237" s="3"/>
    </row>
    <row r="238" spans="3:8" x14ac:dyDescent="0.2">
      <c r="C238" s="3"/>
      <c r="D238" s="3"/>
      <c r="E238" s="3"/>
      <c r="F238" s="3"/>
      <c r="G238" s="3"/>
      <c r="H238" s="3"/>
    </row>
    <row r="239" spans="3:8" x14ac:dyDescent="0.2">
      <c r="C239" s="3"/>
      <c r="D239" s="3"/>
      <c r="E239" s="3"/>
      <c r="F239" s="3"/>
      <c r="G239" s="3"/>
      <c r="H239" s="3"/>
    </row>
    <row r="240" spans="3:8" x14ac:dyDescent="0.2">
      <c r="C240" s="3"/>
      <c r="D240" s="3"/>
      <c r="E240" s="3"/>
      <c r="F240" s="3"/>
      <c r="G240" s="3"/>
      <c r="H240" s="3"/>
    </row>
    <row r="241" spans="3:8" x14ac:dyDescent="0.2">
      <c r="C241" s="3"/>
      <c r="D241" s="3"/>
      <c r="E241" s="3"/>
      <c r="F241" s="3"/>
      <c r="G241" s="3"/>
      <c r="H241" s="3"/>
    </row>
    <row r="242" spans="3:8" x14ac:dyDescent="0.2">
      <c r="C242" s="3"/>
      <c r="D242" s="3"/>
      <c r="E242" s="3"/>
      <c r="F242" s="3"/>
      <c r="G242" s="3"/>
      <c r="H242" s="3"/>
    </row>
    <row r="243" spans="3:8" x14ac:dyDescent="0.2">
      <c r="C243" s="3"/>
      <c r="D243" s="3"/>
      <c r="E243" s="3"/>
      <c r="F243" s="3"/>
      <c r="G243" s="3"/>
      <c r="H243" s="3"/>
    </row>
    <row r="244" spans="3:8" x14ac:dyDescent="0.2">
      <c r="C244" s="3"/>
      <c r="D244" s="3"/>
      <c r="E244" s="3"/>
      <c r="F244" s="3"/>
      <c r="G244" s="3"/>
      <c r="H244" s="3"/>
    </row>
    <row r="245" spans="3:8" x14ac:dyDescent="0.2">
      <c r="C245" s="3"/>
      <c r="D245" s="3"/>
      <c r="E245" s="3"/>
      <c r="F245" s="3"/>
      <c r="G245" s="3"/>
      <c r="H245" s="3"/>
    </row>
    <row r="246" spans="3:8" x14ac:dyDescent="0.2">
      <c r="C246" s="3"/>
      <c r="D246" s="3"/>
      <c r="E246" s="3"/>
      <c r="F246" s="3"/>
      <c r="G246" s="3"/>
      <c r="H246" s="3"/>
    </row>
    <row r="247" spans="3:8" x14ac:dyDescent="0.2">
      <c r="C247" s="3"/>
      <c r="D247" s="3"/>
      <c r="E247" s="3"/>
      <c r="F247" s="3"/>
      <c r="G247" s="3"/>
      <c r="H247" s="3"/>
    </row>
    <row r="248" spans="3:8" x14ac:dyDescent="0.2">
      <c r="C248" s="3"/>
      <c r="D248" s="3"/>
      <c r="E248" s="3"/>
      <c r="F248" s="3"/>
      <c r="G248" s="3"/>
      <c r="H248" s="3"/>
    </row>
    <row r="249" spans="3:8" x14ac:dyDescent="0.2">
      <c r="C249" s="3"/>
      <c r="D249" s="3"/>
      <c r="E249" s="3"/>
      <c r="F249" s="3"/>
      <c r="G249" s="3"/>
      <c r="H249" s="3"/>
    </row>
    <row r="250" spans="3:8" x14ac:dyDescent="0.2">
      <c r="C250" s="3"/>
      <c r="D250" s="3"/>
      <c r="E250" s="3"/>
      <c r="F250" s="3"/>
      <c r="G250" s="3"/>
      <c r="H250" s="3"/>
    </row>
    <row r="251" spans="3:8" x14ac:dyDescent="0.2">
      <c r="C251" s="3"/>
      <c r="D251" s="3"/>
      <c r="E251" s="3"/>
      <c r="F251" s="3"/>
      <c r="G251" s="3"/>
      <c r="H251" s="3"/>
    </row>
    <row r="252" spans="3:8" x14ac:dyDescent="0.2">
      <c r="C252" s="3"/>
      <c r="D252" s="3"/>
      <c r="E252" s="3"/>
      <c r="F252" s="3"/>
      <c r="G252" s="3"/>
      <c r="H252" s="3"/>
    </row>
    <row r="253" spans="3:8" x14ac:dyDescent="0.2">
      <c r="C253" s="3"/>
      <c r="D253" s="3"/>
      <c r="E253" s="3"/>
      <c r="F253" s="3"/>
      <c r="G253" s="3"/>
      <c r="H253" s="3"/>
    </row>
    <row r="254" spans="3:8" x14ac:dyDescent="0.2">
      <c r="C254" s="3"/>
      <c r="D254" s="3"/>
      <c r="E254" s="3"/>
      <c r="F254" s="3"/>
      <c r="G254" s="3"/>
      <c r="H254" s="3"/>
    </row>
    <row r="255" spans="3:8" x14ac:dyDescent="0.2">
      <c r="C255" s="3"/>
      <c r="D255" s="3"/>
      <c r="E255" s="3"/>
      <c r="F255" s="3"/>
      <c r="G255" s="3"/>
      <c r="H255" s="3"/>
    </row>
    <row r="256" spans="3:8" x14ac:dyDescent="0.2">
      <c r="C256" s="3"/>
      <c r="D256" s="3"/>
      <c r="E256" s="3"/>
      <c r="F256" s="3"/>
      <c r="G256" s="3"/>
      <c r="H256" s="3"/>
    </row>
    <row r="257" spans="3:8" x14ac:dyDescent="0.2">
      <c r="C257" s="3"/>
      <c r="D257" s="3"/>
      <c r="E257" s="3"/>
      <c r="F257" s="3"/>
      <c r="G257" s="3"/>
      <c r="H257" s="3"/>
    </row>
    <row r="258" spans="3:8" x14ac:dyDescent="0.2">
      <c r="C258" s="3"/>
      <c r="D258" s="3"/>
      <c r="E258" s="3"/>
      <c r="F258" s="3"/>
      <c r="G258" s="3"/>
      <c r="H258" s="3"/>
    </row>
    <row r="259" spans="3:8" x14ac:dyDescent="0.2">
      <c r="C259" s="3"/>
      <c r="D259" s="3"/>
      <c r="E259" s="3"/>
      <c r="F259" s="3"/>
      <c r="G259" s="3"/>
      <c r="H259" s="3"/>
    </row>
    <row r="260" spans="3:8" x14ac:dyDescent="0.2">
      <c r="C260" s="3"/>
      <c r="D260" s="3"/>
      <c r="E260" s="3"/>
      <c r="F260" s="3"/>
      <c r="G260" s="3"/>
      <c r="H260" s="3"/>
    </row>
    <row r="261" spans="3:8" x14ac:dyDescent="0.2">
      <c r="C261" s="3"/>
      <c r="D261" s="3"/>
      <c r="E261" s="3"/>
      <c r="F261" s="3"/>
      <c r="G261" s="3"/>
      <c r="H261" s="3"/>
    </row>
    <row r="262" spans="3:8" x14ac:dyDescent="0.2">
      <c r="C262" s="3"/>
      <c r="D262" s="3"/>
      <c r="E262" s="3"/>
      <c r="F262" s="3"/>
      <c r="G262" s="3"/>
      <c r="H262" s="3"/>
    </row>
    <row r="263" spans="3:8" x14ac:dyDescent="0.2">
      <c r="C263" s="3"/>
      <c r="D263" s="3"/>
      <c r="E263" s="3"/>
      <c r="F263" s="3"/>
      <c r="G263" s="3"/>
      <c r="H263" s="3"/>
    </row>
    <row r="264" spans="3:8" x14ac:dyDescent="0.2">
      <c r="C264" s="3"/>
      <c r="D264" s="3"/>
      <c r="E264" s="3"/>
      <c r="F264" s="3"/>
      <c r="G264" s="3"/>
      <c r="H264" s="3"/>
    </row>
    <row r="265" spans="3:8" x14ac:dyDescent="0.2">
      <c r="C265" s="3"/>
      <c r="D265" s="3"/>
      <c r="E265" s="3"/>
      <c r="F265" s="3"/>
      <c r="G265" s="3"/>
      <c r="H265" s="3"/>
    </row>
    <row r="266" spans="3:8" x14ac:dyDescent="0.2">
      <c r="C266" s="3"/>
      <c r="D266" s="3"/>
      <c r="E266" s="3"/>
      <c r="F266" s="3"/>
      <c r="G266" s="3"/>
      <c r="H266" s="3"/>
    </row>
    <row r="267" spans="3:8" x14ac:dyDescent="0.2">
      <c r="C267" s="3"/>
      <c r="D267" s="3"/>
      <c r="E267" s="3"/>
      <c r="F267" s="3"/>
      <c r="G267" s="3"/>
      <c r="H267" s="3"/>
    </row>
    <row r="268" spans="3:8" x14ac:dyDescent="0.2">
      <c r="C268" s="3"/>
      <c r="D268" s="3"/>
      <c r="E268" s="3"/>
      <c r="F268" s="3"/>
      <c r="G268" s="3"/>
      <c r="H268" s="3"/>
    </row>
    <row r="269" spans="3:8" x14ac:dyDescent="0.2">
      <c r="C269" s="3"/>
      <c r="D269" s="3"/>
      <c r="E269" s="3"/>
      <c r="F269" s="3"/>
      <c r="G269" s="3"/>
      <c r="H269" s="3"/>
    </row>
    <row r="270" spans="3:8" x14ac:dyDescent="0.2">
      <c r="C270" s="3"/>
      <c r="D270" s="3"/>
      <c r="E270" s="3"/>
      <c r="F270" s="3"/>
      <c r="G270" s="3"/>
      <c r="H270" s="3"/>
    </row>
    <row r="271" spans="3:8" x14ac:dyDescent="0.2">
      <c r="C271" s="3"/>
      <c r="D271" s="3"/>
      <c r="E271" s="3"/>
      <c r="F271" s="3"/>
      <c r="G271" s="3"/>
      <c r="H271" s="3"/>
    </row>
    <row r="272" spans="3:8" x14ac:dyDescent="0.2">
      <c r="C272" s="3"/>
      <c r="D272" s="3"/>
      <c r="E272" s="3"/>
      <c r="F272" s="3"/>
      <c r="G272" s="3"/>
      <c r="H272" s="3"/>
    </row>
    <row r="273" spans="3:8" x14ac:dyDescent="0.2">
      <c r="C273" s="3"/>
      <c r="D273" s="3"/>
      <c r="E273" s="3"/>
      <c r="F273" s="3"/>
      <c r="G273" s="3"/>
      <c r="H273" s="3"/>
    </row>
    <row r="274" spans="3:8" x14ac:dyDescent="0.2">
      <c r="C274" s="3"/>
      <c r="D274" s="3"/>
      <c r="E274" s="3"/>
      <c r="F274" s="3"/>
      <c r="G274" s="3"/>
      <c r="H274" s="3"/>
    </row>
    <row r="275" spans="3:8" x14ac:dyDescent="0.2">
      <c r="C275" s="3"/>
      <c r="D275" s="3"/>
      <c r="E275" s="3"/>
      <c r="F275" s="3"/>
      <c r="G275" s="3"/>
      <c r="H275" s="3"/>
    </row>
    <row r="276" spans="3:8" x14ac:dyDescent="0.2">
      <c r="C276" s="3"/>
      <c r="D276" s="3"/>
      <c r="E276" s="3"/>
      <c r="F276" s="3"/>
      <c r="G276" s="3"/>
      <c r="H276" s="3"/>
    </row>
    <row r="277" spans="3:8" x14ac:dyDescent="0.2">
      <c r="C277" s="3"/>
      <c r="D277" s="3"/>
      <c r="E277" s="3"/>
      <c r="F277" s="3"/>
      <c r="G277" s="3"/>
      <c r="H277" s="3"/>
    </row>
    <row r="278" spans="3:8" x14ac:dyDescent="0.2">
      <c r="C278" s="3"/>
      <c r="D278" s="3"/>
      <c r="E278" s="3"/>
      <c r="F278" s="3"/>
      <c r="G278" s="3"/>
      <c r="H278" s="3"/>
    </row>
    <row r="279" spans="3:8" x14ac:dyDescent="0.2">
      <c r="C279" s="3"/>
      <c r="D279" s="3"/>
      <c r="E279" s="3"/>
      <c r="F279" s="3"/>
      <c r="G279" s="3"/>
      <c r="H279" s="3"/>
    </row>
    <row r="280" spans="3:8" x14ac:dyDescent="0.2">
      <c r="C280" s="3"/>
      <c r="D280" s="3"/>
      <c r="E280" s="3"/>
      <c r="F280" s="3"/>
      <c r="G280" s="3"/>
      <c r="H280" s="3"/>
    </row>
    <row r="281" spans="3:8" x14ac:dyDescent="0.2">
      <c r="C281" s="3"/>
      <c r="D281" s="3"/>
      <c r="E281" s="3"/>
      <c r="F281" s="3"/>
      <c r="G281" s="3"/>
      <c r="H281" s="3"/>
    </row>
    <row r="282" spans="3:8" x14ac:dyDescent="0.2">
      <c r="C282" s="3"/>
      <c r="D282" s="3"/>
      <c r="E282" s="3"/>
      <c r="F282" s="3"/>
      <c r="G282" s="3"/>
      <c r="H282" s="3"/>
    </row>
    <row r="283" spans="3:8" x14ac:dyDescent="0.2">
      <c r="C283" s="3"/>
      <c r="D283" s="3"/>
      <c r="E283" s="3"/>
      <c r="F283" s="3"/>
      <c r="G283" s="3"/>
      <c r="H283" s="3"/>
    </row>
    <row r="284" spans="3:8" x14ac:dyDescent="0.2">
      <c r="C284" s="3"/>
      <c r="D284" s="3"/>
      <c r="E284" s="3"/>
      <c r="F284" s="3"/>
      <c r="G284" s="3"/>
      <c r="H284" s="3"/>
    </row>
    <row r="285" spans="3:8" x14ac:dyDescent="0.2">
      <c r="C285" s="3"/>
      <c r="D285" s="3"/>
      <c r="E285" s="3"/>
      <c r="F285" s="3"/>
      <c r="G285" s="3"/>
      <c r="H285" s="3"/>
    </row>
    <row r="286" spans="3:8" x14ac:dyDescent="0.2">
      <c r="C286" s="3"/>
      <c r="D286" s="3"/>
      <c r="E286" s="3"/>
      <c r="F286" s="3"/>
      <c r="G286" s="3"/>
      <c r="H286" s="3"/>
    </row>
    <row r="287" spans="3:8" x14ac:dyDescent="0.2">
      <c r="C287" s="3"/>
      <c r="D287" s="3"/>
      <c r="E287" s="3"/>
      <c r="F287" s="3"/>
      <c r="G287" s="3"/>
      <c r="H287" s="3"/>
    </row>
    <row r="288" spans="3:8" x14ac:dyDescent="0.2">
      <c r="C288" s="3"/>
      <c r="D288" s="3"/>
      <c r="E288" s="3"/>
      <c r="F288" s="3"/>
      <c r="G288" s="3"/>
      <c r="H288" s="3"/>
    </row>
    <row r="289" spans="3:8" x14ac:dyDescent="0.2">
      <c r="C289" s="3"/>
      <c r="D289" s="3"/>
      <c r="E289" s="3"/>
      <c r="F289" s="3"/>
      <c r="G289" s="3"/>
      <c r="H289" s="3"/>
    </row>
    <row r="290" spans="3:8" x14ac:dyDescent="0.2">
      <c r="C290" s="3"/>
      <c r="D290" s="3"/>
      <c r="E290" s="3"/>
      <c r="F290" s="3"/>
      <c r="G290" s="3"/>
      <c r="H290" s="3"/>
    </row>
    <row r="291" spans="3:8" x14ac:dyDescent="0.2">
      <c r="C291" s="3"/>
      <c r="D291" s="3"/>
      <c r="E291" s="3"/>
      <c r="F291" s="3"/>
      <c r="G291" s="3"/>
      <c r="H291" s="3"/>
    </row>
    <row r="292" spans="3:8" x14ac:dyDescent="0.2">
      <c r="C292" s="3"/>
      <c r="D292" s="3"/>
      <c r="E292" s="3"/>
      <c r="F292" s="3"/>
      <c r="G292" s="3"/>
      <c r="H292" s="3"/>
    </row>
    <row r="293" spans="3:8" x14ac:dyDescent="0.2">
      <c r="C293" s="3"/>
      <c r="D293" s="3"/>
      <c r="E293" s="3"/>
      <c r="F293" s="3"/>
      <c r="G293" s="3"/>
      <c r="H293" s="3"/>
    </row>
    <row r="294" spans="3:8" x14ac:dyDescent="0.2">
      <c r="C294" s="3"/>
      <c r="D294" s="3"/>
      <c r="E294" s="3"/>
      <c r="F294" s="3"/>
      <c r="G294" s="3"/>
      <c r="H294" s="3"/>
    </row>
    <row r="295" spans="3:8" x14ac:dyDescent="0.2">
      <c r="C295" s="3"/>
      <c r="D295" s="3"/>
      <c r="E295" s="3"/>
      <c r="F295" s="3"/>
      <c r="G295" s="3"/>
      <c r="H295" s="3"/>
    </row>
    <row r="296" spans="3:8" x14ac:dyDescent="0.2">
      <c r="C296" s="3"/>
      <c r="D296" s="3"/>
      <c r="E296" s="3"/>
      <c r="F296" s="3"/>
      <c r="G296" s="3"/>
      <c r="H296" s="3"/>
    </row>
    <row r="297" spans="3:8" x14ac:dyDescent="0.2">
      <c r="C297" s="3"/>
      <c r="D297" s="3"/>
      <c r="E297" s="3"/>
      <c r="F297" s="3"/>
      <c r="G297" s="3"/>
      <c r="H297" s="3"/>
    </row>
    <row r="298" spans="3:8" x14ac:dyDescent="0.2">
      <c r="C298" s="3"/>
      <c r="D298" s="3"/>
      <c r="E298" s="3"/>
      <c r="F298" s="3"/>
      <c r="G298" s="3"/>
      <c r="H298" s="3"/>
    </row>
    <row r="299" spans="3:8" x14ac:dyDescent="0.2">
      <c r="C299" s="3"/>
      <c r="D299" s="3"/>
      <c r="E299" s="3"/>
      <c r="F299" s="3"/>
      <c r="G299" s="3"/>
      <c r="H299" s="3"/>
    </row>
    <row r="300" spans="3:8" x14ac:dyDescent="0.2">
      <c r="C300" s="3"/>
      <c r="D300" s="3"/>
      <c r="E300" s="3"/>
      <c r="F300" s="3"/>
      <c r="G300" s="3"/>
      <c r="H300" s="3"/>
    </row>
    <row r="301" spans="3:8" x14ac:dyDescent="0.2">
      <c r="C301" s="3"/>
      <c r="D301" s="3"/>
      <c r="E301" s="3"/>
      <c r="F301" s="3"/>
      <c r="G301" s="3"/>
      <c r="H301" s="3"/>
    </row>
    <row r="302" spans="3:8" x14ac:dyDescent="0.2">
      <c r="C302" s="3"/>
      <c r="D302" s="3"/>
      <c r="E302" s="3"/>
      <c r="F302" s="3"/>
      <c r="G302" s="3"/>
      <c r="H302" s="3"/>
    </row>
    <row r="303" spans="3:8" x14ac:dyDescent="0.2">
      <c r="C303" s="3"/>
      <c r="D303" s="3"/>
      <c r="E303" s="3"/>
      <c r="F303" s="3"/>
      <c r="G303" s="3"/>
      <c r="H303" s="3"/>
    </row>
    <row r="304" spans="3:8" x14ac:dyDescent="0.2">
      <c r="C304" s="3"/>
      <c r="D304" s="3"/>
      <c r="E304" s="3"/>
      <c r="F304" s="3"/>
      <c r="G304" s="3"/>
      <c r="H304" s="3"/>
    </row>
    <row r="305" spans="3:8" x14ac:dyDescent="0.2">
      <c r="C305" s="3"/>
      <c r="D305" s="3"/>
      <c r="E305" s="3"/>
      <c r="F305" s="3"/>
      <c r="G305" s="3"/>
      <c r="H305" s="3"/>
    </row>
    <row r="306" spans="3:8" x14ac:dyDescent="0.2">
      <c r="C306" s="3"/>
      <c r="D306" s="3"/>
      <c r="E306" s="3"/>
      <c r="F306" s="3"/>
      <c r="G306" s="3"/>
      <c r="H306" s="3"/>
    </row>
    <row r="307" spans="3:8" x14ac:dyDescent="0.2">
      <c r="C307" s="3"/>
      <c r="D307" s="3"/>
      <c r="E307" s="3"/>
      <c r="F307" s="3"/>
      <c r="G307" s="3"/>
      <c r="H307" s="3"/>
    </row>
    <row r="308" spans="3:8" x14ac:dyDescent="0.2">
      <c r="C308" s="3"/>
      <c r="D308" s="3"/>
      <c r="E308" s="3"/>
      <c r="F308" s="3"/>
      <c r="G308" s="3"/>
      <c r="H308" s="3"/>
    </row>
    <row r="309" spans="3:8" x14ac:dyDescent="0.2">
      <c r="C309" s="3"/>
      <c r="D309" s="3"/>
      <c r="E309" s="3"/>
      <c r="F309" s="3"/>
      <c r="G309" s="3"/>
      <c r="H309" s="3"/>
    </row>
    <row r="310" spans="3:8" x14ac:dyDescent="0.2">
      <c r="C310" s="3"/>
      <c r="D310" s="3"/>
      <c r="E310" s="3"/>
      <c r="F310" s="3"/>
      <c r="G310" s="3"/>
      <c r="H310" s="3"/>
    </row>
    <row r="311" spans="3:8" x14ac:dyDescent="0.2">
      <c r="C311" s="3"/>
      <c r="D311" s="3"/>
      <c r="E311" s="3"/>
      <c r="F311" s="3"/>
      <c r="G311" s="3"/>
      <c r="H311" s="3"/>
    </row>
    <row r="312" spans="3:8" x14ac:dyDescent="0.2">
      <c r="C312" s="3"/>
      <c r="D312" s="3"/>
      <c r="E312" s="3"/>
      <c r="F312" s="3"/>
      <c r="G312" s="3"/>
      <c r="H312" s="3"/>
    </row>
    <row r="313" spans="3:8" x14ac:dyDescent="0.2">
      <c r="C313" s="3"/>
      <c r="D313" s="3"/>
      <c r="E313" s="3"/>
      <c r="F313" s="3"/>
      <c r="G313" s="3"/>
      <c r="H313" s="3"/>
    </row>
    <row r="314" spans="3:8" x14ac:dyDescent="0.2">
      <c r="C314" s="3"/>
      <c r="D314" s="3"/>
      <c r="E314" s="3"/>
      <c r="F314" s="3"/>
      <c r="G314" s="3"/>
      <c r="H314" s="3"/>
    </row>
    <row r="315" spans="3:8" x14ac:dyDescent="0.2">
      <c r="C315" s="3"/>
      <c r="D315" s="3"/>
      <c r="E315" s="3"/>
      <c r="F315" s="3"/>
      <c r="G315" s="3"/>
      <c r="H315" s="3"/>
    </row>
    <row r="316" spans="3:8" x14ac:dyDescent="0.2">
      <c r="C316" s="3"/>
      <c r="D316" s="3"/>
      <c r="E316" s="3"/>
      <c r="F316" s="3"/>
      <c r="G316" s="3"/>
      <c r="H316" s="3"/>
    </row>
    <row r="317" spans="3:8" x14ac:dyDescent="0.2">
      <c r="C317" s="3"/>
      <c r="D317" s="3"/>
      <c r="E317" s="3"/>
      <c r="F317" s="3"/>
      <c r="G317" s="3"/>
      <c r="H317" s="3"/>
    </row>
    <row r="318" spans="3:8" x14ac:dyDescent="0.2">
      <c r="C318" s="3"/>
      <c r="D318" s="3"/>
      <c r="E318" s="3"/>
      <c r="F318" s="3"/>
      <c r="G318" s="3"/>
      <c r="H318" s="3"/>
    </row>
    <row r="319" spans="3:8" x14ac:dyDescent="0.2">
      <c r="C319" s="3"/>
      <c r="D319" s="3"/>
      <c r="E319" s="3"/>
      <c r="F319" s="3"/>
      <c r="G319" s="3"/>
      <c r="H319" s="3"/>
    </row>
    <row r="320" spans="3:8" x14ac:dyDescent="0.2">
      <c r="C320" s="3"/>
      <c r="D320" s="3"/>
      <c r="E320" s="3"/>
      <c r="F320" s="3"/>
      <c r="G320" s="3"/>
      <c r="H320" s="3"/>
    </row>
    <row r="321" spans="3:8" x14ac:dyDescent="0.2">
      <c r="C321" s="3"/>
      <c r="D321" s="3"/>
      <c r="E321" s="3"/>
      <c r="F321" s="3"/>
      <c r="G321" s="3"/>
      <c r="H321" s="3"/>
    </row>
    <row r="322" spans="3:8" x14ac:dyDescent="0.2">
      <c r="C322" s="3"/>
      <c r="D322" s="3"/>
      <c r="E322" s="3"/>
      <c r="F322" s="3"/>
      <c r="G322" s="3"/>
      <c r="H322" s="3"/>
    </row>
    <row r="323" spans="3:8" x14ac:dyDescent="0.2">
      <c r="C323" s="3"/>
      <c r="D323" s="3"/>
      <c r="E323" s="3"/>
      <c r="F323" s="3"/>
      <c r="G323" s="3"/>
      <c r="H323" s="3"/>
    </row>
    <row r="324" spans="3:8" x14ac:dyDescent="0.2">
      <c r="C324" s="3"/>
      <c r="D324" s="3"/>
      <c r="E324" s="3"/>
      <c r="F324" s="3"/>
      <c r="G324" s="3"/>
      <c r="H324" s="3"/>
    </row>
    <row r="325" spans="3:8" x14ac:dyDescent="0.2">
      <c r="C325" s="3"/>
      <c r="D325" s="3"/>
      <c r="E325" s="3"/>
      <c r="F325" s="3"/>
      <c r="G325" s="3"/>
      <c r="H325" s="3"/>
    </row>
    <row r="326" spans="3:8" x14ac:dyDescent="0.2">
      <c r="C326" s="3"/>
      <c r="D326" s="3"/>
      <c r="E326" s="3"/>
      <c r="F326" s="3"/>
      <c r="G326" s="3"/>
      <c r="H326" s="3"/>
    </row>
    <row r="327" spans="3:8" x14ac:dyDescent="0.2">
      <c r="C327" s="3"/>
      <c r="D327" s="3"/>
      <c r="E327" s="3"/>
      <c r="F327" s="3"/>
      <c r="G327" s="3"/>
      <c r="H327" s="3"/>
    </row>
    <row r="328" spans="3:8" x14ac:dyDescent="0.2">
      <c r="C328" s="3"/>
      <c r="D328" s="3"/>
      <c r="E328" s="3"/>
      <c r="F328" s="3"/>
      <c r="G328" s="3"/>
      <c r="H328" s="3"/>
    </row>
    <row r="329" spans="3:8" x14ac:dyDescent="0.2">
      <c r="C329" s="3"/>
      <c r="D329" s="3"/>
      <c r="E329" s="3"/>
      <c r="F329" s="3"/>
      <c r="G329" s="3"/>
      <c r="H329" s="3"/>
    </row>
    <row r="330" spans="3:8" x14ac:dyDescent="0.2">
      <c r="C330" s="3"/>
      <c r="D330" s="3"/>
      <c r="E330" s="3"/>
      <c r="F330" s="3"/>
      <c r="G330" s="3"/>
      <c r="H330" s="3"/>
    </row>
    <row r="331" spans="3:8" x14ac:dyDescent="0.2">
      <c r="C331" s="3"/>
      <c r="D331" s="3"/>
      <c r="E331" s="3"/>
      <c r="F331" s="3"/>
      <c r="G331" s="3"/>
      <c r="H331" s="3"/>
    </row>
    <row r="332" spans="3:8" x14ac:dyDescent="0.2">
      <c r="C332" s="3"/>
      <c r="D332" s="3"/>
      <c r="E332" s="3"/>
      <c r="F332" s="3"/>
      <c r="G332" s="3"/>
      <c r="H332" s="3"/>
    </row>
    <row r="333" spans="3:8" x14ac:dyDescent="0.2">
      <c r="C333" s="3"/>
      <c r="D333" s="3"/>
      <c r="E333" s="3"/>
      <c r="F333" s="3"/>
      <c r="G333" s="3"/>
      <c r="H333" s="3"/>
    </row>
    <row r="334" spans="3:8" x14ac:dyDescent="0.2">
      <c r="C334" s="3"/>
      <c r="D334" s="3"/>
      <c r="E334" s="3"/>
      <c r="F334" s="3"/>
      <c r="G334" s="3"/>
      <c r="H334" s="3"/>
    </row>
    <row r="335" spans="3:8" x14ac:dyDescent="0.2">
      <c r="C335" s="3"/>
      <c r="D335" s="3"/>
      <c r="E335" s="3"/>
      <c r="F335" s="3"/>
      <c r="G335" s="3"/>
      <c r="H335" s="3"/>
    </row>
    <row r="336" spans="3:8" x14ac:dyDescent="0.2">
      <c r="C336" s="3"/>
      <c r="D336" s="3"/>
      <c r="E336" s="3"/>
      <c r="F336" s="3"/>
      <c r="G336" s="3"/>
      <c r="H336" s="3"/>
    </row>
    <row r="337" spans="3:8" x14ac:dyDescent="0.2">
      <c r="C337" s="3"/>
      <c r="D337" s="3"/>
      <c r="E337" s="3"/>
      <c r="F337" s="3"/>
      <c r="G337" s="3"/>
      <c r="H337" s="3"/>
    </row>
    <row r="338" spans="3:8" x14ac:dyDescent="0.2">
      <c r="C338" s="3"/>
      <c r="D338" s="3"/>
      <c r="E338" s="3"/>
      <c r="F338" s="3"/>
      <c r="G338" s="3"/>
      <c r="H338" s="3"/>
    </row>
    <row r="339" spans="3:8" x14ac:dyDescent="0.2">
      <c r="C339" s="3"/>
      <c r="D339" s="3"/>
      <c r="E339" s="3"/>
      <c r="F339" s="3"/>
      <c r="G339" s="3"/>
      <c r="H339" s="3"/>
    </row>
    <row r="340" spans="3:8" x14ac:dyDescent="0.2">
      <c r="C340" s="3"/>
      <c r="D340" s="3"/>
      <c r="E340" s="3"/>
      <c r="F340" s="3"/>
      <c r="G340" s="3"/>
      <c r="H340" s="3"/>
    </row>
    <row r="341" spans="3:8" x14ac:dyDescent="0.2">
      <c r="C341" s="3"/>
      <c r="D341" s="3"/>
      <c r="E341" s="3"/>
      <c r="F341" s="3"/>
      <c r="G341" s="3"/>
      <c r="H341" s="3"/>
    </row>
    <row r="342" spans="3:8" x14ac:dyDescent="0.2">
      <c r="C342" s="3"/>
      <c r="D342" s="3"/>
      <c r="E342" s="3"/>
      <c r="F342" s="3"/>
      <c r="G342" s="3"/>
      <c r="H342" s="3"/>
    </row>
    <row r="343" spans="3:8" x14ac:dyDescent="0.2">
      <c r="C343" s="3"/>
      <c r="D343" s="3"/>
      <c r="E343" s="3"/>
      <c r="F343" s="3"/>
      <c r="G343" s="3"/>
      <c r="H343" s="3"/>
    </row>
    <row r="344" spans="3:8" x14ac:dyDescent="0.2">
      <c r="C344" s="3"/>
      <c r="D344" s="3"/>
      <c r="E344" s="3"/>
      <c r="F344" s="3"/>
      <c r="G344" s="3"/>
      <c r="H344" s="3"/>
    </row>
    <row r="345" spans="3:8" x14ac:dyDescent="0.2">
      <c r="C345" s="3"/>
      <c r="D345" s="3"/>
      <c r="E345" s="3"/>
      <c r="F345" s="3"/>
      <c r="G345" s="3"/>
      <c r="H345" s="3"/>
    </row>
    <row r="346" spans="3:8" x14ac:dyDescent="0.2">
      <c r="C346" s="3"/>
      <c r="D346" s="3"/>
      <c r="E346" s="3"/>
      <c r="F346" s="3"/>
      <c r="G346" s="3"/>
      <c r="H346" s="3"/>
    </row>
    <row r="347" spans="3:8" x14ac:dyDescent="0.2">
      <c r="C347" s="3"/>
      <c r="D347" s="3"/>
      <c r="E347" s="3"/>
      <c r="F347" s="3"/>
      <c r="G347" s="3"/>
      <c r="H347" s="3"/>
    </row>
    <row r="348" spans="3:8" x14ac:dyDescent="0.2">
      <c r="C348" s="3"/>
      <c r="D348" s="3"/>
      <c r="E348" s="3"/>
      <c r="F348" s="3"/>
      <c r="G348" s="3"/>
      <c r="H348" s="3"/>
    </row>
    <row r="349" spans="3:8" x14ac:dyDescent="0.2">
      <c r="C349" s="3"/>
      <c r="D349" s="3"/>
      <c r="E349" s="3"/>
      <c r="F349" s="3"/>
      <c r="G349" s="3"/>
      <c r="H349" s="3"/>
    </row>
    <row r="350" spans="3:8" x14ac:dyDescent="0.2">
      <c r="C350" s="3"/>
      <c r="D350" s="3"/>
      <c r="E350" s="3"/>
      <c r="F350" s="3"/>
      <c r="G350" s="3"/>
      <c r="H350" s="3"/>
    </row>
    <row r="351" spans="3:8" x14ac:dyDescent="0.2">
      <c r="C351" s="3"/>
      <c r="D351" s="3"/>
      <c r="E351" s="3"/>
      <c r="F351" s="3"/>
      <c r="G351" s="3"/>
      <c r="H351" s="3"/>
    </row>
    <row r="352" spans="3:8" x14ac:dyDescent="0.2">
      <c r="C352" s="3"/>
      <c r="D352" s="3"/>
      <c r="E352" s="3"/>
      <c r="F352" s="3"/>
      <c r="G352" s="3"/>
      <c r="H352" s="3"/>
    </row>
    <row r="353" spans="3:8" x14ac:dyDescent="0.2">
      <c r="C353" s="3"/>
      <c r="D353" s="3"/>
      <c r="E353" s="3"/>
      <c r="F353" s="3"/>
      <c r="G353" s="3"/>
      <c r="H353" s="3"/>
    </row>
    <row r="354" spans="3:8" x14ac:dyDescent="0.2">
      <c r="C354" s="3"/>
      <c r="D354" s="3"/>
      <c r="E354" s="3"/>
      <c r="F354" s="3"/>
      <c r="G354" s="3"/>
      <c r="H354" s="3"/>
    </row>
    <row r="355" spans="3:8" x14ac:dyDescent="0.2">
      <c r="C355" s="3"/>
      <c r="D355" s="3"/>
      <c r="E355" s="3"/>
      <c r="F355" s="3"/>
      <c r="G355" s="3"/>
      <c r="H355" s="3"/>
    </row>
    <row r="356" spans="3:8" x14ac:dyDescent="0.2">
      <c r="C356" s="3"/>
      <c r="D356" s="3"/>
      <c r="E356" s="3"/>
      <c r="F356" s="3"/>
      <c r="G356" s="3"/>
      <c r="H356" s="3"/>
    </row>
    <row r="357" spans="3:8" x14ac:dyDescent="0.2">
      <c r="C357" s="3"/>
      <c r="D357" s="3"/>
      <c r="E357" s="3"/>
      <c r="F357" s="3"/>
      <c r="G357" s="3"/>
      <c r="H357" s="3"/>
    </row>
    <row r="358" spans="3:8" x14ac:dyDescent="0.2">
      <c r="C358" s="3"/>
      <c r="D358" s="3"/>
      <c r="E358" s="3"/>
      <c r="F358" s="3"/>
      <c r="G358" s="3"/>
      <c r="H358" s="3"/>
    </row>
    <row r="359" spans="3:8" x14ac:dyDescent="0.2">
      <c r="C359" s="3"/>
      <c r="D359" s="3"/>
      <c r="E359" s="3"/>
      <c r="F359" s="3"/>
      <c r="G359" s="3"/>
      <c r="H359" s="3"/>
    </row>
    <row r="360" spans="3:8" x14ac:dyDescent="0.2">
      <c r="C360" s="3"/>
      <c r="D360" s="3"/>
      <c r="E360" s="3"/>
      <c r="F360" s="3"/>
      <c r="G360" s="3"/>
      <c r="H360" s="3"/>
    </row>
    <row r="361" spans="3:8" x14ac:dyDescent="0.2">
      <c r="C361" s="3"/>
      <c r="D361" s="3"/>
      <c r="E361" s="3"/>
      <c r="F361" s="3"/>
      <c r="G361" s="3"/>
      <c r="H361" s="3"/>
    </row>
    <row r="362" spans="3:8" x14ac:dyDescent="0.2">
      <c r="C362" s="3"/>
      <c r="D362" s="3"/>
      <c r="E362" s="3"/>
      <c r="F362" s="3"/>
      <c r="G362" s="3"/>
      <c r="H362" s="3"/>
    </row>
    <row r="363" spans="3:8" x14ac:dyDescent="0.2">
      <c r="C363" s="3"/>
      <c r="D363" s="3"/>
      <c r="E363" s="3"/>
      <c r="F363" s="3"/>
      <c r="G363" s="3"/>
      <c r="H363" s="3"/>
    </row>
    <row r="364" spans="3:8" x14ac:dyDescent="0.2">
      <c r="C364" s="3"/>
      <c r="D364" s="3"/>
      <c r="E364" s="3"/>
      <c r="F364" s="3"/>
      <c r="G364" s="3"/>
      <c r="H364" s="3"/>
    </row>
    <row r="365" spans="3:8" x14ac:dyDescent="0.2">
      <c r="C365" s="3"/>
      <c r="D365" s="3"/>
      <c r="E365" s="3"/>
      <c r="F365" s="3"/>
      <c r="G365" s="3"/>
      <c r="H365" s="3"/>
    </row>
    <row r="366" spans="3:8" x14ac:dyDescent="0.2">
      <c r="C366" s="3"/>
      <c r="D366" s="3"/>
      <c r="E366" s="3"/>
      <c r="F366" s="3"/>
      <c r="G366" s="3"/>
      <c r="H366" s="3"/>
    </row>
    <row r="367" spans="3:8" x14ac:dyDescent="0.2">
      <c r="C367" s="3"/>
      <c r="D367" s="3"/>
      <c r="E367" s="3"/>
      <c r="F367" s="3"/>
      <c r="G367" s="3"/>
      <c r="H367" s="3"/>
    </row>
    <row r="368" spans="3:8" x14ac:dyDescent="0.2">
      <c r="C368" s="3"/>
      <c r="D368" s="3"/>
      <c r="E368" s="3"/>
      <c r="F368" s="3"/>
      <c r="G368" s="3"/>
      <c r="H368" s="3"/>
    </row>
    <row r="369" spans="3:8" x14ac:dyDescent="0.2">
      <c r="C369" s="3"/>
      <c r="D369" s="3"/>
      <c r="E369" s="3"/>
      <c r="F369" s="3"/>
      <c r="G369" s="3"/>
      <c r="H369" s="3"/>
    </row>
    <row r="370" spans="3:8" x14ac:dyDescent="0.2">
      <c r="C370" s="3"/>
      <c r="D370" s="3"/>
      <c r="E370" s="3"/>
      <c r="F370" s="3"/>
      <c r="G370" s="3"/>
      <c r="H370" s="3"/>
    </row>
    <row r="371" spans="3:8" x14ac:dyDescent="0.2">
      <c r="C371" s="3"/>
      <c r="D371" s="3"/>
      <c r="E371" s="3"/>
      <c r="F371" s="3"/>
      <c r="G371" s="3"/>
      <c r="H371" s="3"/>
    </row>
    <row r="372" spans="3:8" x14ac:dyDescent="0.2">
      <c r="C372" s="3"/>
      <c r="D372" s="3"/>
      <c r="E372" s="3"/>
      <c r="F372" s="3"/>
      <c r="G372" s="3"/>
      <c r="H372" s="3"/>
    </row>
    <row r="373" spans="3:8" x14ac:dyDescent="0.2">
      <c r="C373" s="3"/>
      <c r="D373" s="3"/>
      <c r="E373" s="3"/>
      <c r="F373" s="3"/>
      <c r="G373" s="3"/>
      <c r="H373" s="3"/>
    </row>
    <row r="374" spans="3:8" x14ac:dyDescent="0.2">
      <c r="C374" s="3"/>
      <c r="D374" s="3"/>
      <c r="E374" s="3"/>
      <c r="F374" s="3"/>
      <c r="G374" s="3"/>
      <c r="H374" s="3"/>
    </row>
    <row r="375" spans="3:8" x14ac:dyDescent="0.2">
      <c r="C375" s="3"/>
      <c r="D375" s="3"/>
      <c r="E375" s="3"/>
      <c r="F375" s="3"/>
      <c r="G375" s="3"/>
      <c r="H375" s="3"/>
    </row>
    <row r="376" spans="3:8" x14ac:dyDescent="0.2">
      <c r="C376" s="3"/>
      <c r="D376" s="3"/>
      <c r="E376" s="3"/>
      <c r="F376" s="3"/>
      <c r="G376" s="3"/>
      <c r="H376" s="3"/>
    </row>
    <row r="377" spans="3:8" x14ac:dyDescent="0.2">
      <c r="C377" s="3"/>
      <c r="D377" s="3"/>
      <c r="E377" s="3"/>
      <c r="F377" s="3"/>
      <c r="G377" s="3"/>
      <c r="H377" s="3"/>
    </row>
    <row r="378" spans="3:8" x14ac:dyDescent="0.2">
      <c r="C378" s="3"/>
      <c r="D378" s="3"/>
      <c r="E378" s="3"/>
      <c r="F378" s="3"/>
      <c r="G378" s="3"/>
      <c r="H378" s="3"/>
    </row>
    <row r="379" spans="3:8" x14ac:dyDescent="0.2">
      <c r="C379" s="3"/>
      <c r="D379" s="3"/>
      <c r="E379" s="3"/>
      <c r="F379" s="3"/>
      <c r="G379" s="3"/>
      <c r="H379" s="3"/>
    </row>
    <row r="380" spans="3:8" x14ac:dyDescent="0.2">
      <c r="C380" s="3"/>
      <c r="D380" s="3"/>
      <c r="E380" s="3"/>
      <c r="F380" s="3"/>
      <c r="G380" s="3"/>
      <c r="H380" s="3"/>
    </row>
    <row r="381" spans="3:8" x14ac:dyDescent="0.2">
      <c r="C381" s="3"/>
      <c r="D381" s="3"/>
      <c r="E381" s="3"/>
      <c r="F381" s="3"/>
      <c r="G381" s="3"/>
      <c r="H381" s="3"/>
    </row>
    <row r="382" spans="3:8" x14ac:dyDescent="0.2">
      <c r="C382" s="3"/>
      <c r="D382" s="3"/>
      <c r="E382" s="3"/>
      <c r="F382" s="3"/>
      <c r="G382" s="3"/>
      <c r="H382" s="3"/>
    </row>
    <row r="383" spans="3:8" x14ac:dyDescent="0.2">
      <c r="C383" s="3"/>
      <c r="D383" s="3"/>
      <c r="E383" s="3"/>
      <c r="F383" s="3"/>
      <c r="G383" s="3"/>
      <c r="H383" s="3"/>
    </row>
    <row r="384" spans="3:8" x14ac:dyDescent="0.2">
      <c r="C384" s="3"/>
      <c r="D384" s="3"/>
      <c r="E384" s="3"/>
      <c r="F384" s="3"/>
      <c r="G384" s="3"/>
      <c r="H384" s="3"/>
    </row>
    <row r="385" spans="3:8" x14ac:dyDescent="0.2">
      <c r="C385" s="3"/>
      <c r="D385" s="3"/>
      <c r="E385" s="3"/>
      <c r="F385" s="3"/>
      <c r="G385" s="3"/>
      <c r="H385" s="3"/>
    </row>
    <row r="386" spans="3:8" x14ac:dyDescent="0.2">
      <c r="C386" s="3"/>
      <c r="D386" s="3"/>
      <c r="E386" s="3"/>
      <c r="F386" s="3"/>
      <c r="G386" s="3"/>
      <c r="H386" s="3"/>
    </row>
    <row r="387" spans="3:8" x14ac:dyDescent="0.2">
      <c r="C387" s="3"/>
      <c r="D387" s="3"/>
      <c r="E387" s="3"/>
      <c r="F387" s="3"/>
      <c r="G387" s="3"/>
      <c r="H387" s="3"/>
    </row>
    <row r="388" spans="3:8" x14ac:dyDescent="0.2">
      <c r="C388" s="3"/>
      <c r="D388" s="3"/>
      <c r="E388" s="3"/>
      <c r="F388" s="3"/>
      <c r="G388" s="3"/>
      <c r="H388" s="3"/>
    </row>
    <row r="389" spans="3:8" x14ac:dyDescent="0.2">
      <c r="C389" s="3"/>
      <c r="D389" s="3"/>
      <c r="E389" s="3"/>
      <c r="F389" s="3"/>
      <c r="G389" s="3"/>
      <c r="H389" s="3"/>
    </row>
    <row r="390" spans="3:8" x14ac:dyDescent="0.2">
      <c r="C390" s="3"/>
      <c r="D390" s="3"/>
      <c r="E390" s="3"/>
      <c r="F390" s="3"/>
      <c r="G390" s="3"/>
      <c r="H390" s="3"/>
    </row>
    <row r="391" spans="3:8" x14ac:dyDescent="0.2">
      <c r="C391" s="3"/>
      <c r="D391" s="3"/>
      <c r="E391" s="3"/>
      <c r="F391" s="3"/>
      <c r="G391" s="3"/>
      <c r="H391" s="3"/>
    </row>
    <row r="392" spans="3:8" x14ac:dyDescent="0.2">
      <c r="C392" s="3"/>
      <c r="D392" s="3"/>
      <c r="E392" s="3"/>
      <c r="F392" s="3"/>
      <c r="G392" s="3"/>
      <c r="H392" s="3"/>
    </row>
    <row r="393" spans="3:8" x14ac:dyDescent="0.2">
      <c r="C393" s="3"/>
      <c r="D393" s="3"/>
      <c r="E393" s="3"/>
      <c r="F393" s="3"/>
      <c r="G393" s="3"/>
      <c r="H393" s="3"/>
    </row>
    <row r="394" spans="3:8" x14ac:dyDescent="0.2">
      <c r="C394" s="3"/>
      <c r="D394" s="3"/>
      <c r="E394" s="3"/>
      <c r="F394" s="3"/>
      <c r="G394" s="3"/>
      <c r="H394" s="3"/>
    </row>
    <row r="395" spans="3:8" x14ac:dyDescent="0.2">
      <c r="C395" s="3"/>
      <c r="D395" s="3"/>
      <c r="E395" s="3"/>
      <c r="F395" s="3"/>
      <c r="G395" s="3"/>
      <c r="H395" s="3"/>
    </row>
    <row r="396" spans="3:8" x14ac:dyDescent="0.2">
      <c r="C396" s="3"/>
      <c r="D396" s="3"/>
      <c r="E396" s="3"/>
      <c r="F396" s="3"/>
      <c r="G396" s="3"/>
      <c r="H396" s="3"/>
    </row>
    <row r="397" spans="3:8" x14ac:dyDescent="0.2">
      <c r="C397" s="3"/>
      <c r="D397" s="3"/>
      <c r="E397" s="3"/>
      <c r="F397" s="3"/>
      <c r="G397" s="3"/>
      <c r="H397" s="3"/>
    </row>
    <row r="398" spans="3:8" x14ac:dyDescent="0.2">
      <c r="C398" s="3"/>
      <c r="D398" s="3"/>
      <c r="E398" s="3"/>
      <c r="F398" s="3"/>
      <c r="G398" s="3"/>
      <c r="H398" s="3"/>
    </row>
    <row r="399" spans="3:8" x14ac:dyDescent="0.2">
      <c r="C399" s="3"/>
      <c r="D399" s="3"/>
      <c r="E399" s="3"/>
      <c r="F399" s="3"/>
      <c r="G399" s="3"/>
      <c r="H399" s="3"/>
    </row>
    <row r="400" spans="3:8" x14ac:dyDescent="0.2">
      <c r="C400" s="3"/>
      <c r="D400" s="3"/>
      <c r="E400" s="3"/>
      <c r="F400" s="3"/>
      <c r="G400" s="3"/>
      <c r="H400" s="3"/>
    </row>
    <row r="401" spans="3:8" x14ac:dyDescent="0.2">
      <c r="C401" s="3"/>
      <c r="D401" s="3"/>
      <c r="E401" s="3"/>
      <c r="F401" s="3"/>
      <c r="G401" s="3"/>
      <c r="H401" s="3"/>
    </row>
    <row r="402" spans="3:8" x14ac:dyDescent="0.2">
      <c r="C402" s="3"/>
      <c r="D402" s="3"/>
      <c r="E402" s="3"/>
      <c r="F402" s="3"/>
      <c r="G402" s="3"/>
      <c r="H402" s="3"/>
    </row>
    <row r="403" spans="3:8" x14ac:dyDescent="0.2">
      <c r="C403" s="3"/>
      <c r="D403" s="3"/>
      <c r="E403" s="3"/>
      <c r="F403" s="3"/>
      <c r="G403" s="3"/>
      <c r="H403" s="3"/>
    </row>
    <row r="404" spans="3:8" x14ac:dyDescent="0.2">
      <c r="C404" s="3"/>
      <c r="D404" s="3"/>
      <c r="E404" s="3"/>
      <c r="F404" s="3"/>
      <c r="G404" s="3"/>
      <c r="H404" s="3"/>
    </row>
    <row r="405" spans="3:8" x14ac:dyDescent="0.2">
      <c r="C405" s="3"/>
      <c r="D405" s="3"/>
      <c r="E405" s="3"/>
      <c r="F405" s="3"/>
      <c r="G405" s="3"/>
      <c r="H405" s="3"/>
    </row>
    <row r="406" spans="3:8" x14ac:dyDescent="0.2">
      <c r="C406" s="3"/>
      <c r="D406" s="3"/>
      <c r="E406" s="3"/>
      <c r="F406" s="3"/>
      <c r="G406" s="3"/>
      <c r="H406" s="3"/>
    </row>
    <row r="407" spans="3:8" x14ac:dyDescent="0.2">
      <c r="C407" s="3"/>
      <c r="D407" s="3"/>
      <c r="E407" s="3"/>
      <c r="F407" s="3"/>
      <c r="G407" s="3"/>
      <c r="H407" s="3"/>
    </row>
    <row r="408" spans="3:8" x14ac:dyDescent="0.2">
      <c r="C408" s="3"/>
      <c r="D408" s="3"/>
      <c r="E408" s="3"/>
      <c r="F408" s="3"/>
      <c r="G408" s="3"/>
      <c r="H408" s="3"/>
    </row>
    <row r="409" spans="3:8" x14ac:dyDescent="0.2">
      <c r="C409" s="3"/>
      <c r="D409" s="3"/>
      <c r="E409" s="3"/>
      <c r="F409" s="3"/>
      <c r="G409" s="3"/>
      <c r="H409" s="3"/>
    </row>
    <row r="410" spans="3:8" x14ac:dyDescent="0.2">
      <c r="C410" s="3"/>
      <c r="D410" s="3"/>
      <c r="E410" s="3"/>
      <c r="F410" s="3"/>
      <c r="G410" s="3"/>
      <c r="H410" s="3"/>
    </row>
    <row r="411" spans="3:8" x14ac:dyDescent="0.2">
      <c r="C411" s="3"/>
      <c r="D411" s="3"/>
      <c r="E411" s="3"/>
      <c r="F411" s="3"/>
      <c r="G411" s="3"/>
      <c r="H411" s="3"/>
    </row>
    <row r="412" spans="3:8" x14ac:dyDescent="0.2">
      <c r="C412" s="3"/>
      <c r="D412" s="3"/>
      <c r="E412" s="3"/>
      <c r="F412" s="3"/>
      <c r="G412" s="3"/>
      <c r="H412" s="3"/>
    </row>
    <row r="413" spans="3:8" x14ac:dyDescent="0.2">
      <c r="C413" s="3"/>
      <c r="D413" s="3"/>
      <c r="E413" s="3"/>
      <c r="F413" s="3"/>
      <c r="G413" s="3"/>
      <c r="H413" s="3"/>
    </row>
    <row r="414" spans="3:8" x14ac:dyDescent="0.2">
      <c r="C414" s="3"/>
      <c r="D414" s="3"/>
      <c r="E414" s="3"/>
      <c r="F414" s="3"/>
      <c r="G414" s="3"/>
      <c r="H414" s="3"/>
    </row>
    <row r="415" spans="3:8" x14ac:dyDescent="0.2">
      <c r="C415" s="3"/>
      <c r="D415" s="3"/>
      <c r="E415" s="3"/>
      <c r="F415" s="3"/>
      <c r="G415" s="3"/>
      <c r="H415" s="3"/>
    </row>
    <row r="416" spans="3:8" x14ac:dyDescent="0.2">
      <c r="C416" s="3"/>
      <c r="D416" s="3"/>
      <c r="E416" s="3"/>
      <c r="F416" s="3"/>
      <c r="G416" s="3"/>
      <c r="H416" s="3"/>
    </row>
    <row r="417" spans="3:8" x14ac:dyDescent="0.2">
      <c r="C417" s="3"/>
      <c r="D417" s="3"/>
      <c r="E417" s="3"/>
      <c r="F417" s="3"/>
      <c r="G417" s="3"/>
      <c r="H417" s="3"/>
    </row>
    <row r="418" spans="3:8" x14ac:dyDescent="0.2">
      <c r="C418" s="3"/>
      <c r="D418" s="3"/>
      <c r="E418" s="3"/>
      <c r="F418" s="3"/>
      <c r="G418" s="3"/>
      <c r="H418" s="3"/>
    </row>
    <row r="419" spans="3:8" x14ac:dyDescent="0.2">
      <c r="C419" s="3"/>
      <c r="D419" s="3"/>
      <c r="E419" s="3"/>
      <c r="F419" s="3"/>
      <c r="G419" s="3"/>
      <c r="H419" s="3"/>
    </row>
    <row r="420" spans="3:8" x14ac:dyDescent="0.2">
      <c r="C420" s="3"/>
      <c r="D420" s="3"/>
      <c r="E420" s="3"/>
      <c r="F420" s="3"/>
      <c r="G420" s="3"/>
      <c r="H420" s="3"/>
    </row>
    <row r="421" spans="3:8" x14ac:dyDescent="0.2">
      <c r="C421" s="3"/>
      <c r="D421" s="3"/>
      <c r="E421" s="3"/>
      <c r="F421" s="3"/>
      <c r="G421" s="3"/>
      <c r="H421" s="3"/>
    </row>
    <row r="422" spans="3:8" x14ac:dyDescent="0.2">
      <c r="C422" s="3"/>
      <c r="D422" s="3"/>
      <c r="E422" s="3"/>
      <c r="F422" s="3"/>
      <c r="G422" s="3"/>
      <c r="H422" s="3"/>
    </row>
    <row r="423" spans="3:8" x14ac:dyDescent="0.2">
      <c r="C423" s="3"/>
      <c r="D423" s="3"/>
      <c r="E423" s="3"/>
      <c r="F423" s="3"/>
      <c r="G423" s="3"/>
      <c r="H423" s="3"/>
    </row>
    <row r="424" spans="3:8" x14ac:dyDescent="0.2">
      <c r="C424" s="3"/>
      <c r="D424" s="3"/>
      <c r="E424" s="3"/>
      <c r="F424" s="3"/>
      <c r="G424" s="3"/>
      <c r="H424" s="3"/>
    </row>
    <row r="425" spans="3:8" x14ac:dyDescent="0.2">
      <c r="C425" s="3"/>
      <c r="D425" s="3"/>
      <c r="E425" s="3"/>
      <c r="F425" s="3"/>
      <c r="G425" s="3"/>
      <c r="H425" s="3"/>
    </row>
    <row r="426" spans="3:8" x14ac:dyDescent="0.2">
      <c r="C426" s="3"/>
      <c r="D426" s="3"/>
      <c r="E426" s="3"/>
      <c r="F426" s="3"/>
      <c r="G426" s="3"/>
      <c r="H426" s="3"/>
    </row>
    <row r="427" spans="3:8" x14ac:dyDescent="0.2">
      <c r="C427" s="3"/>
      <c r="D427" s="3"/>
      <c r="E427" s="3"/>
      <c r="F427" s="3"/>
      <c r="G427" s="3"/>
      <c r="H427" s="3"/>
    </row>
    <row r="428" spans="3:8" x14ac:dyDescent="0.2">
      <c r="C428" s="3"/>
      <c r="D428" s="3"/>
      <c r="E428" s="3"/>
      <c r="F428" s="3"/>
      <c r="G428" s="3"/>
      <c r="H428" s="3"/>
    </row>
    <row r="429" spans="3:8" x14ac:dyDescent="0.2">
      <c r="C429" s="3"/>
      <c r="D429" s="3"/>
      <c r="E429" s="3"/>
      <c r="F429" s="3"/>
      <c r="G429" s="3"/>
      <c r="H429" s="3"/>
    </row>
    <row r="430" spans="3:8" x14ac:dyDescent="0.2">
      <c r="C430" s="3"/>
      <c r="D430" s="3"/>
      <c r="E430" s="3"/>
      <c r="F430" s="3"/>
      <c r="G430" s="3"/>
      <c r="H430" s="3"/>
    </row>
    <row r="431" spans="3:8" x14ac:dyDescent="0.2">
      <c r="C431" s="3"/>
      <c r="D431" s="3"/>
      <c r="E431" s="3"/>
      <c r="F431" s="3"/>
      <c r="G431" s="3"/>
      <c r="H431" s="3"/>
    </row>
    <row r="432" spans="3:8" x14ac:dyDescent="0.2">
      <c r="C432" s="3"/>
      <c r="D432" s="3"/>
      <c r="E432" s="3"/>
      <c r="F432" s="3"/>
      <c r="G432" s="3"/>
      <c r="H432" s="3"/>
    </row>
    <row r="433" spans="3:8" x14ac:dyDescent="0.2">
      <c r="C433" s="3"/>
      <c r="D433" s="3"/>
      <c r="E433" s="3"/>
      <c r="F433" s="3"/>
      <c r="G433" s="3"/>
      <c r="H433" s="3"/>
    </row>
    <row r="434" spans="3:8" x14ac:dyDescent="0.2">
      <c r="C434" s="3"/>
      <c r="D434" s="3"/>
      <c r="E434" s="3"/>
      <c r="F434" s="3"/>
      <c r="G434" s="3"/>
      <c r="H434" s="3"/>
    </row>
    <row r="435" spans="3:8" x14ac:dyDescent="0.2">
      <c r="C435" s="3"/>
      <c r="D435" s="3"/>
      <c r="E435" s="3"/>
      <c r="F435" s="3"/>
      <c r="G435" s="3"/>
      <c r="H435" s="3"/>
    </row>
    <row r="436" spans="3:8" x14ac:dyDescent="0.2">
      <c r="C436" s="3"/>
      <c r="D436" s="3"/>
      <c r="E436" s="3"/>
      <c r="F436" s="3"/>
      <c r="G436" s="3"/>
      <c r="H436" s="3"/>
    </row>
    <row r="437" spans="3:8" x14ac:dyDescent="0.2">
      <c r="C437" s="3"/>
      <c r="D437" s="3"/>
      <c r="E437" s="3"/>
      <c r="F437" s="3"/>
      <c r="G437" s="3"/>
      <c r="H437" s="3"/>
    </row>
    <row r="438" spans="3:8" x14ac:dyDescent="0.2">
      <c r="C438" s="3"/>
      <c r="D438" s="3"/>
      <c r="E438" s="3"/>
      <c r="F438" s="3"/>
      <c r="G438" s="3"/>
      <c r="H438" s="3"/>
    </row>
    <row r="439" spans="3:8" x14ac:dyDescent="0.2">
      <c r="C439" s="3"/>
      <c r="D439" s="3"/>
      <c r="E439" s="3"/>
      <c r="F439" s="3"/>
      <c r="G439" s="3"/>
      <c r="H439" s="3"/>
    </row>
    <row r="440" spans="3:8" x14ac:dyDescent="0.2">
      <c r="C440" s="3"/>
      <c r="D440" s="3"/>
      <c r="E440" s="3"/>
      <c r="F440" s="3"/>
      <c r="G440" s="3"/>
      <c r="H440" s="3"/>
    </row>
    <row r="441" spans="3:8" x14ac:dyDescent="0.2">
      <c r="C441" s="3"/>
      <c r="D441" s="3"/>
      <c r="E441" s="3"/>
      <c r="F441" s="3"/>
      <c r="G441" s="3"/>
      <c r="H441" s="3"/>
    </row>
    <row r="442" spans="3:8" x14ac:dyDescent="0.2">
      <c r="C442" s="3"/>
      <c r="D442" s="3"/>
      <c r="E442" s="3"/>
      <c r="F442" s="3"/>
      <c r="G442" s="3"/>
      <c r="H442" s="3"/>
    </row>
    <row r="443" spans="3:8" x14ac:dyDescent="0.2">
      <c r="C443" s="3"/>
      <c r="D443" s="3"/>
      <c r="E443" s="3"/>
      <c r="F443" s="3"/>
      <c r="G443" s="3"/>
      <c r="H443" s="3"/>
    </row>
    <row r="444" spans="3:8" x14ac:dyDescent="0.2">
      <c r="C444" s="3"/>
      <c r="D444" s="3"/>
      <c r="E444" s="3"/>
      <c r="F444" s="3"/>
      <c r="G444" s="3"/>
      <c r="H444" s="3"/>
    </row>
    <row r="445" spans="3:8" x14ac:dyDescent="0.2">
      <c r="C445" s="3"/>
      <c r="D445" s="3"/>
      <c r="E445" s="3"/>
      <c r="F445" s="3"/>
      <c r="G445" s="3"/>
      <c r="H445" s="3"/>
    </row>
    <row r="446" spans="3:8" x14ac:dyDescent="0.2">
      <c r="C446" s="3"/>
      <c r="D446" s="3"/>
      <c r="E446" s="3"/>
      <c r="F446" s="3"/>
      <c r="G446" s="3"/>
      <c r="H446" s="3"/>
    </row>
    <row r="447" spans="3:8" x14ac:dyDescent="0.2">
      <c r="C447" s="3"/>
      <c r="D447" s="3"/>
      <c r="E447" s="3"/>
      <c r="F447" s="3"/>
      <c r="G447" s="3"/>
      <c r="H447" s="3"/>
    </row>
    <row r="448" spans="3:8" x14ac:dyDescent="0.2">
      <c r="C448" s="3"/>
      <c r="D448" s="3"/>
      <c r="E448" s="3"/>
      <c r="F448" s="3"/>
      <c r="G448" s="3"/>
      <c r="H448" s="3"/>
    </row>
    <row r="449" spans="3:8" x14ac:dyDescent="0.2">
      <c r="C449" s="3"/>
      <c r="D449" s="3"/>
      <c r="E449" s="3"/>
      <c r="F449" s="3"/>
      <c r="G449" s="3"/>
      <c r="H449" s="3"/>
    </row>
    <row r="450" spans="3:8" x14ac:dyDescent="0.2">
      <c r="C450" s="3"/>
      <c r="D450" s="3"/>
      <c r="E450" s="3"/>
      <c r="F450" s="3"/>
      <c r="G450" s="3"/>
      <c r="H450" s="3"/>
    </row>
    <row r="451" spans="3:8" x14ac:dyDescent="0.2">
      <c r="C451" s="3"/>
      <c r="D451" s="3"/>
      <c r="E451" s="3"/>
      <c r="F451" s="3"/>
      <c r="G451" s="3"/>
      <c r="H451" s="3"/>
    </row>
    <row r="452" spans="3:8" x14ac:dyDescent="0.2">
      <c r="C452" s="3"/>
      <c r="D452" s="3"/>
      <c r="E452" s="3"/>
      <c r="F452" s="3"/>
      <c r="G452" s="3"/>
      <c r="H452" s="3"/>
    </row>
    <row r="453" spans="3:8" x14ac:dyDescent="0.2">
      <c r="C453" s="3"/>
      <c r="D453" s="3"/>
      <c r="E453" s="3"/>
      <c r="F453" s="3"/>
      <c r="G453" s="3"/>
      <c r="H453" s="3"/>
    </row>
    <row r="454" spans="3:8" x14ac:dyDescent="0.2">
      <c r="C454" s="3"/>
      <c r="D454" s="3"/>
      <c r="E454" s="3"/>
      <c r="F454" s="3"/>
      <c r="G454" s="3"/>
      <c r="H454" s="3"/>
    </row>
    <row r="455" spans="3:8" x14ac:dyDescent="0.2">
      <c r="C455" s="3"/>
      <c r="D455" s="3"/>
      <c r="E455" s="3"/>
      <c r="F455" s="3"/>
      <c r="G455" s="3"/>
      <c r="H455" s="3"/>
    </row>
    <row r="456" spans="3:8" x14ac:dyDescent="0.2">
      <c r="C456" s="3"/>
      <c r="D456" s="3"/>
      <c r="E456" s="3"/>
      <c r="F456" s="3"/>
      <c r="G456" s="3"/>
      <c r="H456" s="3"/>
    </row>
    <row r="457" spans="3:8" x14ac:dyDescent="0.2">
      <c r="C457" s="3"/>
      <c r="D457" s="3"/>
      <c r="E457" s="3"/>
      <c r="F457" s="3"/>
      <c r="G457" s="3"/>
      <c r="H457" s="3"/>
    </row>
    <row r="458" spans="3:8" x14ac:dyDescent="0.2">
      <c r="C458" s="3"/>
      <c r="D458" s="3"/>
      <c r="E458" s="3"/>
      <c r="F458" s="3"/>
      <c r="G458" s="3"/>
      <c r="H458" s="3"/>
    </row>
    <row r="459" spans="3:8" x14ac:dyDescent="0.2">
      <c r="C459" s="3"/>
      <c r="D459" s="3"/>
      <c r="E459" s="3"/>
      <c r="F459" s="3"/>
      <c r="G459" s="3"/>
      <c r="H459" s="3"/>
    </row>
    <row r="460" spans="3:8" x14ac:dyDescent="0.2">
      <c r="C460" s="3"/>
      <c r="D460" s="3"/>
      <c r="E460" s="3"/>
      <c r="F460" s="3"/>
      <c r="G460" s="3"/>
      <c r="H460" s="3"/>
    </row>
    <row r="461" spans="3:8" x14ac:dyDescent="0.2">
      <c r="C461" s="3"/>
      <c r="D461" s="3"/>
      <c r="E461" s="3"/>
      <c r="F461" s="3"/>
      <c r="G461" s="3"/>
      <c r="H461" s="3"/>
    </row>
    <row r="462" spans="3:8" x14ac:dyDescent="0.2">
      <c r="C462" s="3"/>
      <c r="D462" s="3"/>
      <c r="E462" s="3"/>
      <c r="F462" s="3"/>
      <c r="G462" s="3"/>
      <c r="H462" s="3"/>
    </row>
    <row r="463" spans="3:8" x14ac:dyDescent="0.2">
      <c r="C463" s="3"/>
      <c r="D463" s="3"/>
      <c r="E463" s="3"/>
      <c r="F463" s="3"/>
      <c r="G463" s="3"/>
      <c r="H463" s="3"/>
    </row>
    <row r="464" spans="3:8" x14ac:dyDescent="0.2">
      <c r="C464" s="3"/>
      <c r="D464" s="3"/>
      <c r="E464" s="3"/>
      <c r="F464" s="3"/>
      <c r="G464" s="3"/>
      <c r="H464" s="3"/>
    </row>
    <row r="465" spans="3:8" x14ac:dyDescent="0.2">
      <c r="C465" s="3"/>
      <c r="D465" s="3"/>
      <c r="E465" s="3"/>
      <c r="F465" s="3"/>
      <c r="G465" s="3"/>
      <c r="H465" s="3"/>
    </row>
    <row r="466" spans="3:8" x14ac:dyDescent="0.2">
      <c r="C466" s="3"/>
      <c r="D466" s="3"/>
      <c r="E466" s="3"/>
      <c r="F466" s="3"/>
      <c r="G466" s="3"/>
      <c r="H466" s="3"/>
    </row>
    <row r="467" spans="3:8" x14ac:dyDescent="0.2">
      <c r="C467" s="3"/>
      <c r="D467" s="3"/>
      <c r="E467" s="3"/>
      <c r="F467" s="3"/>
      <c r="G467" s="3"/>
      <c r="H467" s="3"/>
    </row>
    <row r="468" spans="3:8" x14ac:dyDescent="0.2">
      <c r="C468" s="3"/>
      <c r="D468" s="3"/>
      <c r="E468" s="3"/>
      <c r="F468" s="3"/>
      <c r="G468" s="3"/>
      <c r="H468" s="3"/>
    </row>
    <row r="469" spans="3:8" x14ac:dyDescent="0.2">
      <c r="C469" s="3"/>
      <c r="D469" s="3"/>
      <c r="E469" s="3"/>
      <c r="F469" s="3"/>
      <c r="G469" s="3"/>
      <c r="H469" s="3"/>
    </row>
    <row r="470" spans="3:8" x14ac:dyDescent="0.2">
      <c r="C470" s="3"/>
      <c r="D470" s="3"/>
      <c r="E470" s="3"/>
      <c r="F470" s="3"/>
      <c r="G470" s="3"/>
      <c r="H470" s="3"/>
    </row>
    <row r="471" spans="3:8" x14ac:dyDescent="0.2">
      <c r="C471" s="3"/>
      <c r="D471" s="3"/>
      <c r="E471" s="3"/>
      <c r="F471" s="3"/>
      <c r="G471" s="3"/>
      <c r="H471" s="3"/>
    </row>
    <row r="472" spans="3:8" x14ac:dyDescent="0.2">
      <c r="C472" s="3"/>
      <c r="D472" s="3"/>
      <c r="E472" s="3"/>
      <c r="F472" s="3"/>
      <c r="G472" s="3"/>
      <c r="H472" s="3"/>
    </row>
    <row r="473" spans="3:8" x14ac:dyDescent="0.2">
      <c r="C473" s="3"/>
      <c r="D473" s="3"/>
      <c r="E473" s="3"/>
      <c r="F473" s="3"/>
      <c r="G473" s="3"/>
      <c r="H473" s="3"/>
    </row>
    <row r="474" spans="3:8" x14ac:dyDescent="0.2">
      <c r="C474" s="3"/>
      <c r="D474" s="3"/>
      <c r="E474" s="3"/>
      <c r="F474" s="3"/>
      <c r="G474" s="3"/>
      <c r="H474" s="3"/>
    </row>
    <row r="475" spans="3:8" x14ac:dyDescent="0.2">
      <c r="C475" s="3"/>
      <c r="D475" s="3"/>
      <c r="E475" s="3"/>
      <c r="F475" s="3"/>
      <c r="G475" s="3"/>
      <c r="H475" s="3"/>
    </row>
    <row r="476" spans="3:8" x14ac:dyDescent="0.2">
      <c r="C476" s="3"/>
      <c r="D476" s="3"/>
      <c r="E476" s="3"/>
      <c r="F476" s="3"/>
      <c r="G476" s="3"/>
      <c r="H476" s="3"/>
    </row>
    <row r="477" spans="3:8" x14ac:dyDescent="0.2">
      <c r="C477" s="3"/>
      <c r="D477" s="3"/>
      <c r="E477" s="3"/>
      <c r="F477" s="3"/>
      <c r="G477" s="3"/>
      <c r="H477" s="3"/>
    </row>
    <row r="478" spans="3:8" x14ac:dyDescent="0.2">
      <c r="C478" s="3"/>
      <c r="D478" s="3"/>
      <c r="E478" s="3"/>
      <c r="F478" s="3"/>
      <c r="G478" s="3"/>
      <c r="H478" s="3"/>
    </row>
    <row r="479" spans="3:8" x14ac:dyDescent="0.2">
      <c r="C479" s="3"/>
      <c r="D479" s="3"/>
      <c r="E479" s="3"/>
      <c r="F479" s="3"/>
      <c r="G479" s="3"/>
      <c r="H479" s="3"/>
    </row>
    <row r="480" spans="3:8" x14ac:dyDescent="0.2">
      <c r="C480" s="3"/>
      <c r="D480" s="3"/>
      <c r="E480" s="3"/>
      <c r="F480" s="3"/>
      <c r="G480" s="3"/>
      <c r="H480" s="3"/>
    </row>
    <row r="481" spans="3:8" x14ac:dyDescent="0.2">
      <c r="C481" s="3"/>
      <c r="D481" s="3"/>
      <c r="E481" s="3"/>
      <c r="F481" s="3"/>
      <c r="G481" s="3"/>
      <c r="H481" s="3"/>
    </row>
    <row r="482" spans="3:8" x14ac:dyDescent="0.2">
      <c r="C482" s="3"/>
      <c r="D482" s="3"/>
      <c r="E482" s="3"/>
      <c r="F482" s="3"/>
      <c r="G482" s="3"/>
      <c r="H482" s="3"/>
    </row>
    <row r="483" spans="3:8" x14ac:dyDescent="0.2">
      <c r="C483" s="3"/>
      <c r="D483" s="3"/>
      <c r="E483" s="3"/>
      <c r="F483" s="3"/>
      <c r="G483" s="3"/>
      <c r="H483" s="3"/>
    </row>
    <row r="484" spans="3:8" x14ac:dyDescent="0.2">
      <c r="C484" s="3"/>
      <c r="D484" s="3"/>
      <c r="E484" s="3"/>
      <c r="F484" s="3"/>
      <c r="G484" s="3"/>
      <c r="H484" s="3"/>
    </row>
    <row r="485" spans="3:8" x14ac:dyDescent="0.2">
      <c r="C485" s="3"/>
      <c r="D485" s="3"/>
      <c r="E485" s="3"/>
      <c r="F485" s="3"/>
      <c r="G485" s="3"/>
      <c r="H485" s="3"/>
    </row>
    <row r="486" spans="3:8" x14ac:dyDescent="0.2">
      <c r="C486" s="3"/>
      <c r="D486" s="3"/>
      <c r="E486" s="3"/>
      <c r="F486" s="3"/>
      <c r="G486" s="3"/>
      <c r="H486" s="3"/>
    </row>
    <row r="487" spans="3:8" x14ac:dyDescent="0.2">
      <c r="C487" s="3"/>
      <c r="D487" s="3"/>
      <c r="E487" s="3"/>
      <c r="F487" s="3"/>
      <c r="G487" s="3"/>
      <c r="H487" s="3"/>
    </row>
    <row r="488" spans="3:8" x14ac:dyDescent="0.2">
      <c r="C488" s="3"/>
      <c r="D488" s="3"/>
      <c r="E488" s="3"/>
      <c r="F488" s="3"/>
      <c r="G488" s="3"/>
      <c r="H488" s="3"/>
    </row>
    <row r="489" spans="3:8" x14ac:dyDescent="0.2">
      <c r="C489" s="3"/>
      <c r="D489" s="3"/>
      <c r="E489" s="3"/>
      <c r="F489" s="3"/>
      <c r="G489" s="3"/>
      <c r="H489" s="3"/>
    </row>
    <row r="490" spans="3:8" x14ac:dyDescent="0.2">
      <c r="C490" s="3"/>
      <c r="D490" s="3"/>
      <c r="E490" s="3"/>
      <c r="F490" s="3"/>
      <c r="G490" s="3"/>
      <c r="H490" s="3"/>
    </row>
    <row r="491" spans="3:8" x14ac:dyDescent="0.2">
      <c r="C491" s="3"/>
      <c r="D491" s="3"/>
      <c r="E491" s="3"/>
      <c r="F491" s="3"/>
      <c r="G491" s="3"/>
      <c r="H491" s="3"/>
    </row>
    <row r="492" spans="3:8" x14ac:dyDescent="0.2">
      <c r="C492" s="3"/>
      <c r="D492" s="3"/>
      <c r="E492" s="3"/>
      <c r="F492" s="3"/>
      <c r="G492" s="3"/>
      <c r="H492" s="3"/>
    </row>
    <row r="493" spans="3:8" x14ac:dyDescent="0.2">
      <c r="C493" s="3"/>
      <c r="D493" s="3"/>
      <c r="E493" s="3"/>
      <c r="F493" s="3"/>
      <c r="G493" s="3"/>
      <c r="H493" s="3"/>
    </row>
    <row r="494" spans="3:8" x14ac:dyDescent="0.2">
      <c r="C494" s="3"/>
      <c r="D494" s="3"/>
      <c r="E494" s="3"/>
      <c r="F494" s="3"/>
      <c r="G494" s="3"/>
      <c r="H494" s="3"/>
    </row>
  </sheetData>
  <printOptions horizontalCentered="1"/>
  <pageMargins left="0" right="0" top="0.25" bottom="0.25" header="0" footer="0"/>
  <pageSetup scale="80" orientation="portrait" horizontalDpi="0" r:id="rId1"/>
  <headerFooter alignWithMargins="0"/>
  <rowBreaks count="1" manualBreakCount="1">
    <brk id="5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>
      <selection activeCell="A6" sqref="A6"/>
    </sheetView>
  </sheetViews>
  <sheetFormatPr defaultRowHeight="12.75" x14ac:dyDescent="0.2"/>
  <cols>
    <col min="2" max="2" width="28.140625" bestFit="1" customWidth="1"/>
  </cols>
  <sheetData>
    <row r="1" spans="1:8" x14ac:dyDescent="0.2">
      <c r="A1" s="6" t="s">
        <v>98</v>
      </c>
    </row>
    <row r="2" spans="1:8" x14ac:dyDescent="0.2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  <c r="C4" s="3"/>
      <c r="D4" s="3"/>
      <c r="E4" s="3"/>
      <c r="F4" s="3"/>
      <c r="G4" s="3"/>
      <c r="H4" s="3"/>
    </row>
    <row r="5" spans="1:8" x14ac:dyDescent="0.2">
      <c r="A5" s="10" t="s">
        <v>48</v>
      </c>
      <c r="B5" s="7"/>
      <c r="D5" s="3"/>
      <c r="E5" s="3"/>
      <c r="F5" s="3"/>
      <c r="G5" s="3"/>
      <c r="H5" s="3"/>
    </row>
    <row r="6" spans="1:8" x14ac:dyDescent="0.2">
      <c r="A6" s="7"/>
      <c r="B6" s="7" t="s">
        <v>32</v>
      </c>
      <c r="C6" s="3"/>
      <c r="D6" s="3"/>
      <c r="E6" s="3"/>
      <c r="F6" s="3"/>
      <c r="G6" s="3"/>
      <c r="H6" s="3"/>
    </row>
    <row r="7" spans="1:8" x14ac:dyDescent="0.2">
      <c r="A7" s="7"/>
      <c r="B7" s="7" t="s">
        <v>41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">
      <c r="A8" s="7"/>
      <c r="B8" s="7" t="s">
        <v>42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">
      <c r="A9" s="7"/>
      <c r="B9" s="7" t="s">
        <v>33</v>
      </c>
      <c r="C9" s="3"/>
      <c r="D9" s="3"/>
      <c r="E9" s="3"/>
      <c r="F9" s="3"/>
      <c r="G9" s="3"/>
      <c r="H9" s="3"/>
    </row>
    <row r="10" spans="1:8" x14ac:dyDescent="0.2">
      <c r="A10" s="7"/>
      <c r="B10" s="7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">
      <c r="A11" s="7"/>
      <c r="B11" s="7" t="s">
        <v>42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7"/>
      <c r="B12" s="7" t="s">
        <v>72</v>
      </c>
      <c r="C12" s="3"/>
      <c r="D12" s="3"/>
      <c r="E12" s="3"/>
      <c r="F12" s="3"/>
      <c r="G12" s="3"/>
      <c r="H12" s="3"/>
    </row>
    <row r="13" spans="1:8" x14ac:dyDescent="0.2">
      <c r="A13" s="7"/>
      <c r="B13" s="7" t="s">
        <v>41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">
      <c r="A14" s="7"/>
      <c r="B14" s="7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">
      <c r="A15" s="7"/>
      <c r="B15" s="7" t="s">
        <v>73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">
      <c r="A16" s="7"/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A17" s="7"/>
      <c r="B17" s="7" t="s">
        <v>35</v>
      </c>
      <c r="C17" s="3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2">
      <c r="A18" s="6"/>
      <c r="B18" s="10" t="s">
        <v>25</v>
      </c>
      <c r="C18" s="3"/>
      <c r="D18" s="3">
        <f>SUM(D5:D17)</f>
        <v>0</v>
      </c>
      <c r="E18" s="3">
        <f>SUM(E5:E17)</f>
        <v>0</v>
      </c>
      <c r="F18" s="3">
        <f>SUM(F5:F17)</f>
        <v>0</v>
      </c>
      <c r="G18" s="3">
        <f>SUM(G5:G17)</f>
        <v>0</v>
      </c>
      <c r="H18" s="3">
        <f>SUM(H5:H17)</f>
        <v>0</v>
      </c>
    </row>
    <row r="19" spans="1:8" x14ac:dyDescent="0.2">
      <c r="A19" s="6" t="s">
        <v>8</v>
      </c>
      <c r="C19" s="3"/>
      <c r="D19" s="3"/>
      <c r="E19" s="3"/>
      <c r="F19" s="3"/>
      <c r="G19" s="3"/>
      <c r="H19" s="3"/>
    </row>
    <row r="20" spans="1:8" x14ac:dyDescent="0.2">
      <c r="B20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"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"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">
      <c r="B23" t="s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15" x14ac:dyDescent="0.35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35">
      <c r="B25" s="6" t="s">
        <v>19</v>
      </c>
      <c r="C25" s="5">
        <f t="shared" ref="C25:H25" si="0">SUM(C20:C24)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</row>
    <row r="26" spans="1:8" x14ac:dyDescent="0.2">
      <c r="A26" s="6" t="s">
        <v>18</v>
      </c>
      <c r="C26" s="3">
        <f t="shared" ref="C26:H26" si="1">+C18+C25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</row>
    <row r="27" spans="1:8" x14ac:dyDescent="0.2">
      <c r="A27" s="6" t="s">
        <v>20</v>
      </c>
      <c r="C27" s="3"/>
      <c r="D27" s="3"/>
      <c r="E27" s="3"/>
      <c r="F27" s="3"/>
      <c r="G27" s="3"/>
      <c r="H27" s="3"/>
    </row>
    <row r="28" spans="1:8" x14ac:dyDescent="0.2">
      <c r="B28" t="s">
        <v>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">
      <c r="B29" t="s">
        <v>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5" x14ac:dyDescent="0.35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ht="15" x14ac:dyDescent="0.35">
      <c r="B31" s="6" t="s">
        <v>24</v>
      </c>
      <c r="C31" s="5">
        <f t="shared" ref="C31:H31" si="2">SUM(C28:C30)</f>
        <v>0</v>
      </c>
      <c r="D31" s="5">
        <f t="shared" si="2"/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f t="shared" si="2"/>
        <v>0</v>
      </c>
    </row>
    <row r="32" spans="1:8" ht="15" x14ac:dyDescent="0.35">
      <c r="A32" s="6" t="s">
        <v>49</v>
      </c>
      <c r="C32" s="5">
        <f t="shared" ref="C32:H32" si="3">+C26+C31</f>
        <v>0</v>
      </c>
      <c r="D32" s="5">
        <f t="shared" si="3"/>
        <v>0</v>
      </c>
      <c r="E32" s="5">
        <f t="shared" si="3"/>
        <v>0</v>
      </c>
      <c r="F32" s="5">
        <f t="shared" si="3"/>
        <v>0</v>
      </c>
      <c r="G32" s="5">
        <f t="shared" si="3"/>
        <v>0</v>
      </c>
      <c r="H32" s="5">
        <f t="shared" si="3"/>
        <v>0</v>
      </c>
    </row>
    <row r="33" spans="1:8" x14ac:dyDescent="0.2">
      <c r="C33" s="3"/>
    </row>
    <row r="34" spans="1:8" x14ac:dyDescent="0.2">
      <c r="A34" s="9" t="s">
        <v>43</v>
      </c>
      <c r="C34" s="3"/>
      <c r="D34" s="3"/>
      <c r="E34" s="3"/>
      <c r="F34" s="3"/>
      <c r="G34" s="3"/>
      <c r="H34" s="3"/>
    </row>
    <row r="35" spans="1:8" x14ac:dyDescent="0.2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A36" s="6" t="s">
        <v>8</v>
      </c>
      <c r="C36" s="3"/>
      <c r="D36" s="3"/>
      <c r="E36" s="3"/>
      <c r="F36" s="3"/>
      <c r="G36" s="3"/>
      <c r="H36" s="3"/>
    </row>
    <row r="37" spans="1:8" x14ac:dyDescent="0.2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B38" t="s">
        <v>44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15" x14ac:dyDescent="0.35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35">
      <c r="B40" s="6" t="s">
        <v>19</v>
      </c>
      <c r="C40" s="5">
        <f t="shared" ref="C40:H40" si="4">SUM(C37:C39)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</row>
    <row r="41" spans="1:8" ht="15" x14ac:dyDescent="0.35">
      <c r="A41" s="6" t="s">
        <v>50</v>
      </c>
      <c r="C41" s="5">
        <f t="shared" ref="C41:H41" si="5">+C35+C40</f>
        <v>0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0</v>
      </c>
      <c r="H41" s="5">
        <f t="shared" si="5"/>
        <v>0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ht="15" x14ac:dyDescent="0.35">
      <c r="A43" s="6" t="s">
        <v>51</v>
      </c>
      <c r="C43" s="5">
        <f t="shared" ref="C43:H43" si="6">+C32+C41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x14ac:dyDescent="0.2">
      <c r="A45" s="9" t="s">
        <v>37</v>
      </c>
      <c r="C45" s="3"/>
      <c r="D45" s="3"/>
      <c r="E45" s="3"/>
      <c r="F45" s="3"/>
      <c r="G45" s="3"/>
      <c r="H45" s="3"/>
    </row>
    <row r="46" spans="1:8" x14ac:dyDescent="0.2">
      <c r="A46" s="6" t="s">
        <v>70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</row>
    <row r="47" spans="1:8" x14ac:dyDescent="0.2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6" t="s">
        <v>8</v>
      </c>
      <c r="C48" s="3"/>
      <c r="D48" s="3"/>
      <c r="E48" s="3"/>
      <c r="F48" s="3"/>
      <c r="G48" s="3"/>
      <c r="H48" s="3"/>
    </row>
    <row r="49" spans="1:8" x14ac:dyDescent="0.2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35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35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35">
      <c r="A56" s="6" t="s">
        <v>53</v>
      </c>
      <c r="C56" s="5">
        <f t="shared" ref="C56:H56" si="8">+C47+C55+C46</f>
        <v>0</v>
      </c>
      <c r="D56" s="5">
        <f t="shared" si="8"/>
        <v>0</v>
      </c>
      <c r="E56" s="5">
        <f t="shared" si="8"/>
        <v>0</v>
      </c>
      <c r="F56" s="5">
        <f t="shared" si="8"/>
        <v>0</v>
      </c>
      <c r="G56" s="5">
        <f t="shared" si="8"/>
        <v>0</v>
      </c>
      <c r="H56" s="5">
        <f t="shared" si="8"/>
        <v>0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A61" s="6"/>
      <c r="B61" t="s">
        <v>91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">
      <c r="A62" s="6"/>
      <c r="B62" t="s">
        <v>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">
      <c r="A63" s="6"/>
      <c r="B63" t="s">
        <v>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">
      <c r="A64" s="6"/>
      <c r="B64" t="s">
        <v>94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ht="15" x14ac:dyDescent="0.35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">
      <c r="A66" s="6"/>
      <c r="B66" t="s">
        <v>95</v>
      </c>
      <c r="C66" s="3">
        <f t="shared" ref="C66:H66" si="9">SUM(C61:C65)</f>
        <v>0</v>
      </c>
      <c r="D66" s="3">
        <f t="shared" si="9"/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</row>
    <row r="67" spans="1:8" x14ac:dyDescent="0.2">
      <c r="A67" s="6" t="s">
        <v>8</v>
      </c>
      <c r="C67" s="3"/>
      <c r="D67" s="3"/>
      <c r="E67" s="3"/>
      <c r="F67" s="3"/>
      <c r="G67" s="3"/>
      <c r="H67" s="3"/>
    </row>
    <row r="68" spans="1:8" x14ac:dyDescent="0.2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35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35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35">
      <c r="A73" s="6" t="s">
        <v>62</v>
      </c>
      <c r="C73" s="5">
        <f>+C60+C72+C59</f>
        <v>0</v>
      </c>
      <c r="D73" s="5">
        <f>+D66+D72+D59</f>
        <v>0</v>
      </c>
      <c r="E73" s="5">
        <f>+E66+E72+E59</f>
        <v>0</v>
      </c>
      <c r="F73" s="5">
        <f>+F66+F72+F59</f>
        <v>0</v>
      </c>
      <c r="G73" s="5">
        <f>+G66+G72+G59</f>
        <v>0</v>
      </c>
      <c r="H73" s="5">
        <f>+H66+H72+H59</f>
        <v>0</v>
      </c>
    </row>
    <row r="74" spans="1:8" x14ac:dyDescent="0.2">
      <c r="C74" s="3"/>
      <c r="D74" s="3"/>
      <c r="E74" s="3"/>
      <c r="F74" s="3"/>
      <c r="G74" s="3"/>
      <c r="H74" s="3"/>
    </row>
    <row r="75" spans="1:8" x14ac:dyDescent="0.2">
      <c r="A75" s="9" t="s">
        <v>54</v>
      </c>
      <c r="C75" s="3"/>
      <c r="D75" s="3"/>
      <c r="E75" s="3"/>
      <c r="F75" s="3"/>
      <c r="G75" s="3"/>
      <c r="H75" s="3"/>
    </row>
    <row r="76" spans="1:8" x14ac:dyDescent="0.2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A77" s="6" t="s">
        <v>8</v>
      </c>
      <c r="C77" s="3"/>
      <c r="D77" s="3"/>
      <c r="E77" s="3"/>
      <c r="F77" s="3"/>
      <c r="G77" s="3"/>
      <c r="H77" s="3"/>
    </row>
    <row r="78" spans="1:8" x14ac:dyDescent="0.2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35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35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35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">
      <c r="C84" s="3"/>
      <c r="D84" s="3"/>
      <c r="E84" s="3"/>
      <c r="F84" s="3"/>
      <c r="G84" s="3"/>
      <c r="H84" s="3"/>
    </row>
    <row r="85" spans="1:8" x14ac:dyDescent="0.2">
      <c r="A85" s="9" t="s">
        <v>56</v>
      </c>
      <c r="C85" s="3"/>
      <c r="D85" s="3"/>
      <c r="E85" s="3"/>
      <c r="F85" s="3"/>
      <c r="G85" s="3"/>
      <c r="H85" s="3"/>
    </row>
    <row r="86" spans="1:8" x14ac:dyDescent="0.2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A87" s="6" t="s">
        <v>8</v>
      </c>
      <c r="C87" s="3"/>
      <c r="D87" s="3"/>
      <c r="E87" s="3"/>
      <c r="F87" s="3"/>
      <c r="G87" s="3"/>
      <c r="H87" s="3"/>
    </row>
    <row r="88" spans="1:8" x14ac:dyDescent="0.2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35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35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35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">
      <c r="C94" s="3"/>
      <c r="D94" s="3"/>
      <c r="E94" s="3"/>
      <c r="F94" s="3"/>
      <c r="G94" s="3"/>
      <c r="H94" s="3"/>
    </row>
    <row r="95" spans="1:8" x14ac:dyDescent="0.2">
      <c r="A95" s="9" t="s">
        <v>60</v>
      </c>
      <c r="C95" s="3"/>
      <c r="D95" s="3"/>
      <c r="E95" s="3"/>
      <c r="F95" s="3"/>
      <c r="G95" s="3"/>
      <c r="H95" s="3"/>
    </row>
    <row r="96" spans="1:8" x14ac:dyDescent="0.2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6" t="s">
        <v>8</v>
      </c>
      <c r="C97" s="3"/>
      <c r="D97" s="3"/>
      <c r="E97" s="3"/>
      <c r="F97" s="3"/>
      <c r="G97" s="3"/>
      <c r="H97" s="3"/>
    </row>
    <row r="98" spans="1:8" x14ac:dyDescent="0.2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35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35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35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">
      <c r="C104" s="3"/>
      <c r="D104" s="3"/>
      <c r="E104" s="3"/>
      <c r="F104" s="3"/>
      <c r="G104" s="3"/>
      <c r="H104" s="3"/>
    </row>
    <row r="105" spans="1:8" x14ac:dyDescent="0.2">
      <c r="A105" s="9" t="s">
        <v>63</v>
      </c>
      <c r="C105" s="3"/>
      <c r="D105" s="3"/>
      <c r="E105" s="3"/>
      <c r="F105" s="3"/>
      <c r="G105" s="3"/>
      <c r="H105" s="3"/>
    </row>
    <row r="106" spans="1:8" x14ac:dyDescent="0.2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">
      <c r="A107" s="6" t="s">
        <v>8</v>
      </c>
      <c r="C107" s="3"/>
      <c r="D107" s="3"/>
      <c r="E107" s="3"/>
      <c r="F107" s="3"/>
      <c r="G107" s="3"/>
      <c r="H107" s="3"/>
    </row>
    <row r="108" spans="1:8" x14ac:dyDescent="0.2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35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35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35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">
      <c r="C114" s="3"/>
      <c r="D114" s="3"/>
      <c r="E114" s="3"/>
      <c r="F114" s="3"/>
      <c r="G114" s="3"/>
      <c r="H114" s="3"/>
    </row>
    <row r="115" spans="1:8" ht="15" x14ac:dyDescent="0.35">
      <c r="A115" s="6" t="s">
        <v>65</v>
      </c>
      <c r="C115" s="5">
        <f t="shared" ref="C115:H115" si="19">+C43+C56+C73+C83+C93+C103+C113</f>
        <v>0</v>
      </c>
      <c r="D115" s="5">
        <f t="shared" si="19"/>
        <v>0</v>
      </c>
      <c r="E115" s="5">
        <f t="shared" si="19"/>
        <v>0</v>
      </c>
      <c r="F115" s="5">
        <f t="shared" si="19"/>
        <v>0</v>
      </c>
      <c r="G115" s="5">
        <f t="shared" si="19"/>
        <v>0</v>
      </c>
      <c r="H115" s="5">
        <f t="shared" si="19"/>
        <v>0</v>
      </c>
    </row>
    <row r="116" spans="1:8" x14ac:dyDescent="0.2">
      <c r="C116" s="3"/>
      <c r="D116" s="3"/>
      <c r="E116" s="3"/>
      <c r="F116" s="3"/>
      <c r="G116" s="3"/>
      <c r="H116" s="3"/>
    </row>
    <row r="117" spans="1:8" x14ac:dyDescent="0.2">
      <c r="A117" s="6" t="s">
        <v>66</v>
      </c>
      <c r="C117" s="3"/>
      <c r="D117" s="3"/>
      <c r="E117" s="3"/>
      <c r="F117" s="3"/>
      <c r="G117" s="3"/>
      <c r="H117" s="3"/>
    </row>
    <row r="118" spans="1:8" x14ac:dyDescent="0.2">
      <c r="B118" t="s">
        <v>67</v>
      </c>
      <c r="C118" s="3"/>
      <c r="D118" s="3"/>
      <c r="E118" s="3"/>
      <c r="F118" s="3"/>
      <c r="G118" s="3"/>
      <c r="H118" s="3"/>
    </row>
    <row r="119" spans="1:8" x14ac:dyDescent="0.2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35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B123" t="s">
        <v>76</v>
      </c>
      <c r="C123" s="3"/>
      <c r="D123" s="3"/>
      <c r="E123" s="3"/>
      <c r="F123" s="3"/>
      <c r="G123" s="3"/>
      <c r="H123" s="3"/>
    </row>
    <row r="124" spans="1:8" x14ac:dyDescent="0.2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35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35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35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">
      <c r="B128" s="6"/>
      <c r="C128" s="3"/>
      <c r="D128" s="3"/>
      <c r="E128" s="3"/>
      <c r="F128" s="3"/>
      <c r="G128" s="3"/>
      <c r="H128" s="3"/>
    </row>
    <row r="129" spans="1:8" x14ac:dyDescent="0.2">
      <c r="A129" s="6" t="s">
        <v>81</v>
      </c>
      <c r="C129" s="3"/>
      <c r="D129" s="3"/>
      <c r="E129" s="3"/>
      <c r="F129" s="3"/>
      <c r="G129" s="3"/>
      <c r="H129" s="3"/>
    </row>
    <row r="130" spans="1:8" x14ac:dyDescent="0.2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35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35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">
      <c r="C136" s="3"/>
      <c r="D136" s="3"/>
      <c r="E136" s="3"/>
      <c r="F136" s="3"/>
      <c r="G136" s="3"/>
      <c r="H136" s="3"/>
    </row>
    <row r="137" spans="1:8" ht="15" x14ac:dyDescent="0.35">
      <c r="A137" s="6" t="s">
        <v>87</v>
      </c>
      <c r="C137" s="5">
        <f t="shared" ref="C137:H137" si="24">+C115+C127+C135</f>
        <v>0</v>
      </c>
      <c r="D137" s="5">
        <f t="shared" si="24"/>
        <v>0</v>
      </c>
      <c r="E137" s="5">
        <f t="shared" si="24"/>
        <v>0</v>
      </c>
      <c r="F137" s="5">
        <f t="shared" si="24"/>
        <v>0</v>
      </c>
      <c r="G137" s="5">
        <f t="shared" si="24"/>
        <v>0</v>
      </c>
      <c r="H137" s="5">
        <f t="shared" si="24"/>
        <v>0</v>
      </c>
    </row>
    <row r="138" spans="1:8" x14ac:dyDescent="0.2">
      <c r="C138" s="3"/>
    </row>
    <row r="139" spans="1:8" x14ac:dyDescent="0.2">
      <c r="C139" s="3"/>
    </row>
    <row r="140" spans="1:8" x14ac:dyDescent="0.2">
      <c r="C140" s="3"/>
    </row>
    <row r="141" spans="1:8" x14ac:dyDescent="0.2">
      <c r="C141" s="3"/>
    </row>
    <row r="142" spans="1:8" x14ac:dyDescent="0.2">
      <c r="C142" s="3"/>
    </row>
    <row r="143" spans="1:8" x14ac:dyDescent="0.2">
      <c r="C143" s="3"/>
    </row>
    <row r="144" spans="1:8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" workbookViewId="0">
      <selection activeCell="B6" sqref="B6"/>
    </sheetView>
  </sheetViews>
  <sheetFormatPr defaultRowHeight="12.75" x14ac:dyDescent="0.2"/>
  <cols>
    <col min="2" max="2" width="28.140625" bestFit="1" customWidth="1"/>
  </cols>
  <sheetData>
    <row r="1" spans="1:8" x14ac:dyDescent="0.2">
      <c r="A1" s="6" t="s">
        <v>28</v>
      </c>
    </row>
    <row r="2" spans="1:8" x14ac:dyDescent="0.2">
      <c r="A2" s="6" t="s">
        <v>97</v>
      </c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">
      <c r="A4" s="9" t="s">
        <v>47</v>
      </c>
      <c r="C4" s="3"/>
      <c r="D4" s="3"/>
      <c r="E4" s="3"/>
      <c r="F4" s="3"/>
      <c r="G4" s="3"/>
      <c r="H4" s="3"/>
    </row>
    <row r="5" spans="1:8" x14ac:dyDescent="0.2">
      <c r="A5" s="10" t="s">
        <v>48</v>
      </c>
      <c r="B5" s="7"/>
      <c r="D5" s="3"/>
      <c r="E5" s="3"/>
      <c r="F5" s="3"/>
      <c r="G5" s="3"/>
      <c r="H5" s="3"/>
    </row>
    <row r="6" spans="1:8" x14ac:dyDescent="0.2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">
      <c r="A7" s="7"/>
      <c r="B7" s="7" t="s">
        <v>41</v>
      </c>
      <c r="D7" s="3"/>
      <c r="E7" s="3"/>
      <c r="F7" s="3"/>
      <c r="G7" s="3"/>
      <c r="H7" s="3"/>
    </row>
    <row r="8" spans="1:8" x14ac:dyDescent="0.2">
      <c r="A8" s="7"/>
      <c r="B8" s="7" t="s">
        <v>42</v>
      </c>
      <c r="D8" s="3"/>
      <c r="E8" s="3"/>
      <c r="F8" s="3"/>
      <c r="G8" s="3"/>
      <c r="H8" s="3"/>
    </row>
    <row r="9" spans="1:8" x14ac:dyDescent="0.2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">
      <c r="A10" s="7"/>
      <c r="B10" s="7" t="s">
        <v>41</v>
      </c>
      <c r="D10" s="3"/>
      <c r="E10" s="3"/>
      <c r="F10" s="3"/>
      <c r="G10" s="3"/>
      <c r="H10" s="3"/>
    </row>
    <row r="11" spans="1:8" x14ac:dyDescent="0.2">
      <c r="A11" s="7"/>
      <c r="B11" s="7" t="s">
        <v>42</v>
      </c>
      <c r="D11" s="3"/>
      <c r="E11" s="3"/>
      <c r="F11" s="3"/>
      <c r="G11" s="3"/>
      <c r="H11" s="3"/>
    </row>
    <row r="12" spans="1:8" x14ac:dyDescent="0.2">
      <c r="A12" s="7"/>
      <c r="B12" s="7" t="s">
        <v>72</v>
      </c>
      <c r="D12" s="3"/>
      <c r="E12" s="3"/>
      <c r="F12" s="3"/>
      <c r="G12" s="3"/>
      <c r="H12" s="3"/>
    </row>
    <row r="13" spans="1:8" x14ac:dyDescent="0.2">
      <c r="A13" s="7"/>
      <c r="B13" s="7" t="s">
        <v>41</v>
      </c>
      <c r="D13" s="3"/>
      <c r="E13" s="3"/>
      <c r="F13" s="3"/>
      <c r="G13" s="3"/>
      <c r="H13" s="3"/>
    </row>
    <row r="14" spans="1:8" x14ac:dyDescent="0.2">
      <c r="A14" s="7"/>
      <c r="B14" s="7" t="s">
        <v>42</v>
      </c>
      <c r="D14" s="3"/>
      <c r="E14" s="3"/>
      <c r="F14" s="3"/>
      <c r="G14" s="3"/>
      <c r="H14" s="3"/>
    </row>
    <row r="15" spans="1:8" x14ac:dyDescent="0.2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8" x14ac:dyDescent="0.2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8" x14ac:dyDescent="0.2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</row>
    <row r="19" spans="1:8" x14ac:dyDescent="0.2">
      <c r="A19" s="6" t="s">
        <v>8</v>
      </c>
      <c r="C19" s="3"/>
      <c r="D19" s="3"/>
      <c r="E19" s="3"/>
      <c r="F19" s="3"/>
      <c r="G19" s="3"/>
      <c r="H19" s="3"/>
    </row>
    <row r="20" spans="1:8" x14ac:dyDescent="0.2">
      <c r="B20" t="s">
        <v>74</v>
      </c>
      <c r="C20" s="3">
        <v>0</v>
      </c>
      <c r="D20" s="3"/>
      <c r="E20" s="3"/>
      <c r="F20" s="3"/>
      <c r="G20" s="3"/>
      <c r="H20" s="3"/>
    </row>
    <row r="21" spans="1:8" x14ac:dyDescent="0.2">
      <c r="B21" t="s">
        <v>10</v>
      </c>
      <c r="C21" s="3">
        <v>0</v>
      </c>
      <c r="D21" s="3"/>
      <c r="E21" s="3"/>
      <c r="F21" s="3"/>
      <c r="G21" s="3"/>
      <c r="H21" s="3"/>
    </row>
    <row r="22" spans="1:8" x14ac:dyDescent="0.2">
      <c r="B22" t="s">
        <v>11</v>
      </c>
      <c r="C22" s="3">
        <v>0</v>
      </c>
      <c r="D22" s="3"/>
      <c r="E22" s="3"/>
      <c r="F22" s="3"/>
      <c r="G22" s="3"/>
      <c r="H22" s="3"/>
    </row>
    <row r="23" spans="1:8" x14ac:dyDescent="0.2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8" ht="15" x14ac:dyDescent="0.35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35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8" x14ac:dyDescent="0.2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8" x14ac:dyDescent="0.2">
      <c r="A27" s="6" t="s">
        <v>20</v>
      </c>
      <c r="C27" s="3"/>
      <c r="D27" s="3"/>
      <c r="E27" s="3"/>
      <c r="F27" s="3"/>
      <c r="G27" s="3"/>
      <c r="H27" s="3"/>
    </row>
    <row r="28" spans="1:8" x14ac:dyDescent="0.2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8" x14ac:dyDescent="0.2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8" ht="15" x14ac:dyDescent="0.35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8" ht="15" x14ac:dyDescent="0.35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8" ht="15" x14ac:dyDescent="0.35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">
      <c r="A34" s="9" t="s">
        <v>43</v>
      </c>
      <c r="C34" s="3"/>
      <c r="D34" s="3"/>
      <c r="E34" s="3"/>
      <c r="F34" s="3"/>
      <c r="G34" s="3"/>
      <c r="H34" s="3"/>
    </row>
    <row r="35" spans="1:8" x14ac:dyDescent="0.2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A36" s="6" t="s">
        <v>8</v>
      </c>
      <c r="C36" s="3"/>
      <c r="D36" s="3"/>
      <c r="E36" s="3"/>
      <c r="F36" s="3"/>
      <c r="G36" s="3"/>
      <c r="H36" s="3"/>
    </row>
    <row r="37" spans="1:8" x14ac:dyDescent="0.2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35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35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35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35">
      <c r="A42" s="6"/>
      <c r="C42" s="5"/>
      <c r="D42" s="5"/>
      <c r="E42" s="5"/>
      <c r="F42" s="5"/>
      <c r="G42" s="5"/>
      <c r="H42" s="5"/>
    </row>
    <row r="43" spans="1:8" ht="15" x14ac:dyDescent="0.35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35">
      <c r="A44" s="6"/>
      <c r="C44" s="5"/>
      <c r="D44" s="5"/>
      <c r="E44" s="5"/>
      <c r="F44" s="5"/>
      <c r="G44" s="5"/>
      <c r="H44" s="5"/>
    </row>
    <row r="45" spans="1:8" x14ac:dyDescent="0.2">
      <c r="A45" s="9" t="s">
        <v>37</v>
      </c>
      <c r="C45" s="3"/>
      <c r="D45" s="3"/>
      <c r="E45" s="3"/>
      <c r="F45" s="3"/>
      <c r="G45" s="3"/>
      <c r="H45" s="3"/>
    </row>
    <row r="46" spans="1:8" x14ac:dyDescent="0.2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6" t="s">
        <v>8</v>
      </c>
      <c r="C48" s="3"/>
      <c r="D48" s="3"/>
      <c r="E48" s="3"/>
      <c r="F48" s="3"/>
      <c r="G48" s="3"/>
      <c r="H48" s="3"/>
    </row>
    <row r="49" spans="1:8" x14ac:dyDescent="0.2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35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35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35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">
      <c r="C57" s="3"/>
      <c r="D57" s="3"/>
      <c r="E57" s="3"/>
      <c r="F57" s="3"/>
      <c r="G57" s="3"/>
      <c r="H57" s="3"/>
    </row>
    <row r="58" spans="1:8" x14ac:dyDescent="0.2">
      <c r="A58" s="9" t="s">
        <v>52</v>
      </c>
      <c r="C58" s="3"/>
      <c r="D58" s="3"/>
      <c r="E58" s="3"/>
      <c r="F58" s="3"/>
      <c r="G58" s="3"/>
      <c r="H58" s="3"/>
    </row>
    <row r="59" spans="1:8" x14ac:dyDescent="0.2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35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">
      <c r="A67" s="6" t="s">
        <v>8</v>
      </c>
      <c r="C67" s="3"/>
      <c r="D67" s="3"/>
      <c r="E67" s="3"/>
      <c r="F67" s="3"/>
      <c r="G67" s="3"/>
      <c r="H67" s="3"/>
    </row>
    <row r="68" spans="1:8" x14ac:dyDescent="0.2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35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35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35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">
      <c r="C74" s="3"/>
      <c r="D74" s="3"/>
      <c r="E74" s="3"/>
      <c r="F74" s="3"/>
      <c r="G74" s="3"/>
      <c r="H74" s="3"/>
    </row>
    <row r="75" spans="1:8" x14ac:dyDescent="0.2">
      <c r="A75" s="9" t="s">
        <v>54</v>
      </c>
      <c r="C75" s="3"/>
      <c r="D75" s="3"/>
      <c r="E75" s="3"/>
      <c r="F75" s="3"/>
      <c r="G75" s="3"/>
      <c r="H75" s="3"/>
    </row>
    <row r="76" spans="1:8" x14ac:dyDescent="0.2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A77" s="6" t="s">
        <v>8</v>
      </c>
      <c r="C77" s="3"/>
      <c r="D77" s="3"/>
      <c r="E77" s="3"/>
      <c r="F77" s="3"/>
      <c r="G77" s="3"/>
      <c r="H77" s="3"/>
    </row>
    <row r="78" spans="1:8" x14ac:dyDescent="0.2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35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35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35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">
      <c r="C84" s="3"/>
      <c r="D84" s="3"/>
      <c r="E84" s="3"/>
      <c r="F84" s="3"/>
      <c r="G84" s="3"/>
      <c r="H84" s="3"/>
    </row>
    <row r="85" spans="1:8" x14ac:dyDescent="0.2">
      <c r="A85" s="9" t="s">
        <v>56</v>
      </c>
      <c r="C85" s="3"/>
      <c r="D85" s="3"/>
      <c r="E85" s="3"/>
      <c r="F85" s="3"/>
      <c r="G85" s="3"/>
      <c r="H85" s="3"/>
    </row>
    <row r="86" spans="1:8" x14ac:dyDescent="0.2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A87" s="6" t="s">
        <v>8</v>
      </c>
      <c r="C87" s="3"/>
      <c r="D87" s="3"/>
      <c r="E87" s="3"/>
      <c r="F87" s="3"/>
      <c r="G87" s="3"/>
      <c r="H87" s="3"/>
    </row>
    <row r="88" spans="1:8" x14ac:dyDescent="0.2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35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35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35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">
      <c r="C94" s="3"/>
      <c r="D94" s="3"/>
      <c r="E94" s="3"/>
      <c r="F94" s="3"/>
      <c r="G94" s="3"/>
      <c r="H94" s="3"/>
    </row>
    <row r="95" spans="1:8" x14ac:dyDescent="0.2">
      <c r="A95" s="9" t="s">
        <v>60</v>
      </c>
      <c r="C95" s="3"/>
      <c r="D95" s="3"/>
      <c r="E95" s="3"/>
      <c r="F95" s="3"/>
      <c r="G95" s="3"/>
      <c r="H95" s="3"/>
    </row>
    <row r="96" spans="1:8" x14ac:dyDescent="0.2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6" t="s">
        <v>8</v>
      </c>
      <c r="C97" s="3"/>
      <c r="D97" s="3"/>
      <c r="E97" s="3"/>
      <c r="F97" s="3"/>
      <c r="G97" s="3"/>
      <c r="H97" s="3"/>
    </row>
    <row r="98" spans="1:8" x14ac:dyDescent="0.2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35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35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35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">
      <c r="C104" s="3"/>
      <c r="D104" s="3"/>
      <c r="E104" s="3"/>
      <c r="F104" s="3"/>
      <c r="G104" s="3"/>
      <c r="H104" s="3"/>
    </row>
    <row r="105" spans="1:8" x14ac:dyDescent="0.2">
      <c r="A105" s="9" t="s">
        <v>63</v>
      </c>
      <c r="C105" s="3"/>
      <c r="D105" s="3"/>
      <c r="E105" s="3"/>
      <c r="F105" s="3"/>
      <c r="G105" s="3"/>
      <c r="H105" s="3"/>
    </row>
    <row r="106" spans="1:8" x14ac:dyDescent="0.2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">
      <c r="A107" s="6" t="s">
        <v>8</v>
      </c>
      <c r="C107" s="3"/>
      <c r="D107" s="3"/>
      <c r="E107" s="3"/>
      <c r="F107" s="3"/>
      <c r="G107" s="3"/>
      <c r="H107" s="3"/>
    </row>
    <row r="108" spans="1:8" x14ac:dyDescent="0.2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35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35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35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">
      <c r="C114" s="3"/>
      <c r="D114" s="3"/>
      <c r="E114" s="3"/>
      <c r="F114" s="3"/>
      <c r="G114" s="3"/>
      <c r="H114" s="3"/>
    </row>
    <row r="115" spans="1:8" ht="15" x14ac:dyDescent="0.35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">
      <c r="C116" s="3"/>
      <c r="D116" s="3"/>
      <c r="E116" s="3"/>
      <c r="F116" s="3"/>
      <c r="G116" s="3"/>
      <c r="H116" s="3"/>
    </row>
    <row r="117" spans="1:8" x14ac:dyDescent="0.2">
      <c r="A117" s="6" t="s">
        <v>66</v>
      </c>
      <c r="C117" s="3"/>
      <c r="D117" s="3"/>
      <c r="E117" s="3"/>
      <c r="F117" s="3"/>
      <c r="G117" s="3"/>
      <c r="H117" s="3"/>
    </row>
    <row r="118" spans="1:8" x14ac:dyDescent="0.2">
      <c r="B118" t="s">
        <v>67</v>
      </c>
      <c r="C118" s="3"/>
      <c r="D118" s="3"/>
      <c r="E118" s="3"/>
      <c r="F118" s="3"/>
      <c r="G118" s="3"/>
      <c r="H118" s="3"/>
    </row>
    <row r="119" spans="1:8" x14ac:dyDescent="0.2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35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B123" t="s">
        <v>76</v>
      </c>
      <c r="C123" s="3"/>
      <c r="D123" s="3"/>
      <c r="E123" s="3"/>
      <c r="F123" s="3"/>
      <c r="G123" s="3"/>
      <c r="H123" s="3"/>
    </row>
    <row r="124" spans="1:8" x14ac:dyDescent="0.2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35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35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35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">
      <c r="B128" s="6"/>
      <c r="C128" s="3"/>
      <c r="D128" s="3"/>
      <c r="E128" s="3"/>
      <c r="F128" s="3"/>
      <c r="G128" s="3"/>
      <c r="H128" s="3"/>
    </row>
    <row r="129" spans="1:8" x14ac:dyDescent="0.2">
      <c r="A129" s="6" t="s">
        <v>81</v>
      </c>
      <c r="C129" s="3"/>
      <c r="D129" s="3"/>
      <c r="E129" s="3"/>
      <c r="F129" s="3"/>
      <c r="G129" s="3"/>
      <c r="H129" s="3"/>
    </row>
    <row r="130" spans="1:8" x14ac:dyDescent="0.2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35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35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">
      <c r="C136" s="3"/>
      <c r="D136" s="3"/>
      <c r="E136" s="3"/>
      <c r="F136" s="3"/>
      <c r="G136" s="3"/>
      <c r="H136" s="3"/>
    </row>
    <row r="137" spans="1:8" ht="15" x14ac:dyDescent="0.35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NNG</vt:lpstr>
      <vt:lpstr>TW</vt:lpstr>
      <vt:lpstr>Citrus</vt:lpstr>
      <vt:lpstr>ETS CORP</vt:lpstr>
      <vt:lpstr>SUMMARY 3 PIPE</vt:lpstr>
      <vt:lpstr>NB</vt:lpstr>
      <vt:lpstr>CF</vt:lpstr>
      <vt:lpstr>TW!Print_Area</vt:lpstr>
      <vt:lpstr>NNG!Print_Titles</vt:lpstr>
      <vt:lpstr>'SUMMARY 3 PIPE'!Print_Titles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Jan Havlíček</cp:lastModifiedBy>
  <cp:lastPrinted>2000-10-06T20:28:10Z</cp:lastPrinted>
  <dcterms:created xsi:type="dcterms:W3CDTF">2000-09-26T12:56:26Z</dcterms:created>
  <dcterms:modified xsi:type="dcterms:W3CDTF">2023-09-14T18:16:53Z</dcterms:modified>
</cp:coreProperties>
</file>