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E179B6-21E1-44DC-84B5-2E59CA5380CE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SPEC'!$A$40:$AB$58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C2" i="16"/>
  <c r="F2" i="16"/>
  <c r="C69" i="16"/>
  <c r="C80" i="16"/>
  <c r="G101" i="16"/>
  <c r="G102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A43" i="7"/>
  <c r="AA44" i="7"/>
  <c r="AA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2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 7060
</t>
        </r>
      </text>
    </comment>
  </commentList>
</comments>
</file>

<file path=xl/sharedStrings.xml><?xml version="1.0" encoding="utf-8"?>
<sst xmlns="http://schemas.openxmlformats.org/spreadsheetml/2006/main" count="1817" uniqueCount="297">
  <si>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</si>
  <si>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</si>
  <si>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</si>
  <si>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</si>
  <si>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</si>
  <si>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</si>
  <si>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</si>
  <si>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</si>
  <si>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</si>
  <si>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</si>
  <si>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</si>
  <si>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</si>
  <si>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</si>
  <si>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</si>
  <si>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</si>
  <si>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</si>
  <si>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</si>
  <si>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</si>
  <si>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</si>
  <si>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</si>
  <si>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</si>
  <si>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</si>
  <si>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</si>
  <si>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</si>
  <si>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</si>
  <si>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</si>
  <si>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</si>
  <si>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</si>
  <si>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</si>
  <si>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</si>
  <si>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</si>
  <si>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</si>
  <si>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</si>
  <si>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</si>
  <si>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</si>
  <si>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</si>
  <si>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</si>
  <si>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</si>
  <si>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</si>
  <si>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</si>
  <si>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</si>
  <si>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</si>
  <si>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</si>
  <si>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</si>
  <si>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</si>
  <si>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</si>
  <si>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</si>
  <si>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</si>
  <si>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</si>
  <si>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</si>
  <si>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</si>
  <si>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</si>
  <si>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</si>
  <si>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</si>
  <si>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</si>
  <si>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</si>
  <si>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</si>
  <si>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</si>
  <si>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</si>
  <si>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</si>
  <si>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</si>
  <si>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</si>
  <si>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</si>
  <si>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</si>
  <si>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</si>
  <si>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</si>
  <si>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</si>
  <si>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</si>
  <si>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</si>
  <si>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</si>
  <si>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</si>
  <si>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</si>
  <si>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</si>
  <si>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</si>
  <si>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</si>
  <si>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</si>
  <si>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</si>
  <si>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</si>
  <si>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</si>
  <si>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</si>
  <si>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</si>
  <si>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</si>
  <si>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</si>
  <si>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</si>
  <si>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</si>
  <si>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</si>
  <si>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</si>
  <si>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</si>
  <si>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</si>
  <si>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</si>
  <si>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</si>
  <si>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</si>
  <si>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</si>
  <si>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</si>
  <si>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</si>
  <si>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</si>
  <si>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</si>
  <si>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</si>
  <si>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</si>
  <si>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</si>
  <si>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</si>
  <si>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</si>
  <si>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</si>
  <si>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</si>
  <si>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</si>
  <si>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</si>
  <si>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</si>
  <si>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</si>
  <si>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</si>
  <si>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</si>
  <si>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</si>
  <si>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</si>
  <si>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</si>
  <si>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</si>
  <si>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</si>
  <si>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</si>
  <si>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</si>
  <si>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</si>
  <si>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</si>
  <si>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</si>
  <si>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</si>
  <si>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</si>
  <si>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</si>
  <si>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</si>
  <si>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</si>
  <si>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</si>
  <si>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</si>
  <si>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</si>
  <si>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</si>
  <si>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</si>
  <si>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</si>
  <si>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</si>
  <si>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</si>
  <si>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</si>
  <si>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</si>
  <si>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</si>
  <si>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</si>
  <si>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</si>
  <si>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</si>
  <si>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</si>
  <si>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</si>
  <si>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</si>
  <si>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</si>
  <si>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</si>
  <si>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</si>
  <si>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</si>
  <si>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</si>
  <si>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</si>
  <si>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</si>
  <si>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</si>
  <si>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</si>
  <si>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</si>
  <si>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</si>
  <si>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</si>
  <si>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</si>
  <si>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</si>
  <si>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</si>
  <si>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</si>
  <si>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</si>
  <si>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</si>
  <si>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</si>
  <si>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</si>
  <si>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</si>
  <si>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</si>
  <si>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</si>
  <si>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</si>
  <si>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</si>
  <si>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</si>
  <si>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</si>
  <si>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</si>
  <si>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</si>
  <si>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</si>
  <si>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</si>
  <si>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</si>
  <si>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</si>
  <si>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</si>
  <si>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</si>
  <si>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</si>
  <si>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</si>
  <si>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</si>
  <si>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</si>
  <si>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</si>
  <si>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</si>
  <si>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</si>
  <si>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</si>
  <si>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</si>
  <si>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</si>
  <si>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</si>
  <si>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</si>
  <si>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</si>
  <si>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</si>
  <si>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</si>
  <si>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</si>
  <si>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</si>
  <si>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</si>
  <si>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</si>
  <si>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</si>
  <si>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</si>
  <si>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</si>
  <si>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</si>
  <si>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P7025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</si>
  <si>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</si>
  <si>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</si>
  <si>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</si>
  <si>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</si>
  <si>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</si>
  <si>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</si>
  <si>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</si>
  <si>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</si>
  <si>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</si>
  <si>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</si>
  <si>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</si>
  <si>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</si>
  <si>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</si>
  <si>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</si>
  <si>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</si>
  <si>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</si>
  <si>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</si>
  <si>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</si>
  <si>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</si>
  <si>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</si>
  <si>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</si>
  <si>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</si>
  <si>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</si>
  <si>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</si>
  <si>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</si>
  <si>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Option Underlying</t>
  </si>
  <si>
    <t>Dec-01</t>
  </si>
  <si>
    <t>As of November 20, 2001</t>
  </si>
  <si>
    <t>Valuation Date:  11/20/2001</t>
  </si>
  <si>
    <t>As of:                11/20/2001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</si>
  <si>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</si>
  <si>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</si>
  <si>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</si>
  <si>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</si>
  <si>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</si>
  <si>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</si>
  <si>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</si>
  <si>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</si>
  <si>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</si>
  <si>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</si>
  <si>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</si>
  <si>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</si>
  <si>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</si>
  <si>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</si>
  <si>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</si>
  <si>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</si>
  <si>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</si>
  <si>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</si>
  <si>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</si>
  <si>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</si>
  <si>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</si>
  <si>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</si>
  <si>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</si>
  <si>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</si>
  <si>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</si>
  <si>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</si>
  <si>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</si>
  <si>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</si>
  <si>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</si>
  <si>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11/19/2001</t>
  </si>
  <si>
    <t>As of:                  11/20/2001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</si>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</sst>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16" fontId="6" fillId="0" borderId="0" xfId="0" quotePrefix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REG!$N$7:$N$84</c:f>
              <c:numCache>
                <c:formatCode>0</c:formatCode>
                <c:ptCount val="7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</c:numCache>
            </c:numRef>
          </c:cat>
          <c:val>
            <c:numRef>
              <c:f>REG!$O$7:$O$84</c:f>
              <c:numCache>
                <c:formatCode>#,##0</c:formatCode>
                <c:ptCount val="78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4-4FD7-BBF9-5DCFFD2CF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3535"/>
        <c:axId val="1"/>
      </c:barChart>
      <c:catAx>
        <c:axId val="418035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803535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REG!$N$7:$N$84</c:f>
              <c:numCache>
                <c:formatCode>0</c:formatCode>
                <c:ptCount val="7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</c:numCache>
            </c:numRef>
          </c:cat>
          <c:val>
            <c:numRef>
              <c:f>REG!$P$7:$P$84</c:f>
              <c:numCache>
                <c:formatCode>#,##0</c:formatCode>
                <c:ptCount val="78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7-4828-A225-3CC6862F8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805855"/>
        <c:axId val="1"/>
      </c:barChart>
      <c:catAx>
        <c:axId val="418058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805855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REG!$N$8:$N$84</c:f>
              <c:numCache>
                <c:formatCode>0</c:formatCode>
                <c:ptCount val="7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</c:numCache>
            </c:numRef>
          </c:cat>
          <c:val>
            <c:numRef>
              <c:f>REG!$Q$8:$Q$84</c:f>
              <c:numCache>
                <c:formatCode>#,##0</c:formatCode>
                <c:ptCount val="77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91F-84BF-A58E8AA1D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12575"/>
        <c:axId val="1"/>
      </c:barChart>
      <c:catAx>
        <c:axId val="382125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12575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SPEC!$N$8:$N$85</c:f>
              <c:numCache>
                <c:formatCode>0</c:formatCode>
                <c:ptCount val="7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</c:numCache>
            </c:numRef>
          </c:cat>
          <c:val>
            <c:numRef>
              <c:f>SPEC!$O$8:$O$85</c:f>
              <c:numCache>
                <c:formatCode>#,##0</c:formatCode>
                <c:ptCount val="78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F-43BD-8249-B91F522281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15359"/>
        <c:axId val="1"/>
      </c:barChart>
      <c:catAx>
        <c:axId val="382153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15359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SPEC!$N$8:$N$85</c:f>
              <c:numCache>
                <c:formatCode>0</c:formatCode>
                <c:ptCount val="7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</c:numCache>
            </c:numRef>
          </c:cat>
          <c:val>
            <c:numRef>
              <c:f>SPEC!$P$8:$P$85</c:f>
              <c:numCache>
                <c:formatCode>#,##0</c:formatCode>
                <c:ptCount val="78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A-45F4-83AB-D21DFE1A5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11647"/>
        <c:axId val="1"/>
      </c:barChart>
      <c:catAx>
        <c:axId val="382116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11647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8796132219677E-2"/>
          <c:y val="0.22564900664117291"/>
          <c:w val="0.91890233866805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E-4C77-BC05-3BC0B52733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10255"/>
        <c:axId val="1"/>
      </c:barChart>
      <c:catAx>
        <c:axId val="382102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1025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SPEC!$N$49:$N$85</c:f>
              <c:numCache>
                <c:formatCode>0</c:formatCode>
                <c:ptCount val="3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</c:numCache>
            </c:numRef>
          </c:cat>
          <c:val>
            <c:numRef>
              <c:f>SPEC!$R$49:$R$85</c:f>
              <c:numCache>
                <c:formatCode>#,##0</c:formatCode>
                <c:ptCount val="37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A-4391-8A43-B007FEA08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16751"/>
        <c:axId val="1"/>
      </c:barChart>
      <c:catAx>
        <c:axId val="382167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1675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SPEC!$N$8:$N$85</c:f>
              <c:numCache>
                <c:formatCode>0</c:formatCode>
                <c:ptCount val="78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</c:numCache>
            </c:numRef>
          </c:cat>
          <c:val>
            <c:numRef>
              <c:f>SPEC!$S$8:$S$85</c:f>
              <c:numCache>
                <c:formatCode>#,##0</c:formatCode>
                <c:ptCount val="78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43D-94AE-FE4E7DE351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764319"/>
        <c:axId val="1"/>
      </c:barChart>
      <c:catAx>
        <c:axId val="7276431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764319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SPEC!$N$9:$N$85</c:f>
              <c:numCache>
                <c:formatCode>0</c:formatCode>
                <c:ptCount val="77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</c:numCache>
            </c:numRef>
          </c:cat>
          <c:val>
            <c:numRef>
              <c:f>SPEC!$T$9:$T$85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4BD0-9742-A39086EB4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764783"/>
        <c:axId val="1"/>
      </c:barChart>
      <c:catAx>
        <c:axId val="7276478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76478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8A1C94B-B729-B29C-00EA-7EB77F2E1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3AE9A614-D833-84F1-4092-B0EEB169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8FAB2174-95F8-F1D2-C7C5-5A544CDB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4F83453D-BBAD-877C-CD0D-910E5473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7C2363E-A242-4901-EA6C-51044C9F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FDF9396-826D-6D25-6E38-733BE6B75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6E8CE2E-E36E-C6D5-CD75-0090710D2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DDCB11E-8CCB-FBB1-91EB-004724E5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220B021-2FF3-3E08-A4CF-AEE1ADED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257D97A-4EE0-8A3E-AA85-4E260BA6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401.69592716207802</v>
          </cell>
          <cell r="G9">
            <v>315.70496643870331</v>
          </cell>
          <cell r="H9">
            <v>290.47711280513124</v>
          </cell>
        </row>
        <row r="10">
          <cell r="F10">
            <v>19.012555244044723</v>
          </cell>
          <cell r="G10">
            <v>72.550627046274457</v>
          </cell>
          <cell r="H10">
            <v>111.90775670918006</v>
          </cell>
        </row>
        <row r="12">
          <cell r="F12">
            <v>230.58609823017702</v>
          </cell>
          <cell r="G12">
            <v>228.05191448119345</v>
          </cell>
          <cell r="H12">
            <v>211.61530954369323</v>
          </cell>
        </row>
        <row r="13">
          <cell r="F13">
            <v>139.08802391268708</v>
          </cell>
          <cell r="G13">
            <v>163.77943592640386</v>
          </cell>
          <cell r="H13">
            <v>143.58802271950418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0.88091212096946936</v>
          </cell>
          <cell r="F59">
            <v>0.69233545271645458</v>
          </cell>
          <cell r="G59">
            <v>0.70848076293934448</v>
          </cell>
          <cell r="H59">
            <v>0.27582720992509691</v>
          </cell>
          <cell r="I59">
            <v>0.20914207537357787</v>
          </cell>
          <cell r="J59">
            <v>0.4610269794068691</v>
          </cell>
          <cell r="K59">
            <v>0.59877365032756491</v>
          </cell>
          <cell r="L59">
            <v>0.92138706274883897</v>
          </cell>
          <cell r="M59">
            <v>0.96751100962762648</v>
          </cell>
          <cell r="N59">
            <v>0.87103613270239444</v>
          </cell>
          <cell r="O59">
            <v>0.7357114139035551</v>
          </cell>
          <cell r="P59">
            <v>0.64665222961273094</v>
          </cell>
          <cell r="Q59">
            <v>0.66232770059683843</v>
          </cell>
          <cell r="R59">
            <v>0.67827367931071414</v>
          </cell>
          <cell r="S59">
            <v>0.62156183792813779</v>
          </cell>
          <cell r="T59">
            <v>0.5343782959799811</v>
          </cell>
          <cell r="U59">
            <v>0.58352327809127302</v>
          </cell>
          <cell r="V59">
            <v>0.49511227456333018</v>
          </cell>
          <cell r="W59">
            <v>0.54643149191854268</v>
          </cell>
          <cell r="X59">
            <v>0.82483712152030575</v>
          </cell>
          <cell r="Y59">
            <v>0.87069495957880627</v>
          </cell>
          <cell r="Z59">
            <v>0.80640836307949804</v>
          </cell>
          <cell r="AA59">
            <v>0.67645314925310618</v>
          </cell>
          <cell r="AB59">
            <v>0.62554428216504243</v>
          </cell>
          <cell r="AC59">
            <v>0.67714007880851013</v>
          </cell>
        </row>
        <row r="60">
          <cell r="E60">
            <v>4.1694200096589307E-2</v>
          </cell>
          <cell r="F60">
            <v>0.16266956736832838</v>
          </cell>
          <cell r="G60">
            <v>0.27294574807117089</v>
          </cell>
          <cell r="H60">
            <v>4.5492820584045128E-2</v>
          </cell>
          <cell r="I60">
            <v>2.499654932385531E-2</v>
          </cell>
          <cell r="J60">
            <v>0.13999748290922698</v>
          </cell>
          <cell r="K60">
            <v>0.25579893822767663</v>
          </cell>
          <cell r="L60">
            <v>0.4057283947284207</v>
          </cell>
          <cell r="M60">
            <v>0.54974576733345193</v>
          </cell>
          <cell r="N60">
            <v>0.43522272233016479</v>
          </cell>
          <cell r="O60">
            <v>0.27910826297534747</v>
          </cell>
          <cell r="P60">
            <v>0.15798359754352284</v>
          </cell>
          <cell r="Q60">
            <v>0.48928139211050781</v>
          </cell>
          <cell r="R60">
            <v>0.23644402975724824</v>
          </cell>
          <cell r="S60">
            <v>0.1611875093201135</v>
          </cell>
          <cell r="T60">
            <v>0.40878599436916879</v>
          </cell>
          <cell r="U60">
            <v>0.29617804217516241</v>
          </cell>
          <cell r="V60">
            <v>0.28159992993065835</v>
          </cell>
          <cell r="W60">
            <v>0.18955412829230045</v>
          </cell>
          <cell r="X60">
            <v>0.50572029424766829</v>
          </cell>
          <cell r="Y60">
            <v>0.53829625224053645</v>
          </cell>
          <cell r="Z60">
            <v>0.51323474984594197</v>
          </cell>
          <cell r="AA60">
            <v>0.40187692058794605</v>
          </cell>
          <cell r="AB60">
            <v>0.21953870441076781</v>
          </cell>
          <cell r="AC60">
            <v>0.255540632131109</v>
          </cell>
        </row>
        <row r="62">
          <cell r="E62">
            <v>0.99820821744665378</v>
          </cell>
          <cell r="F62">
            <v>0.97876358146434961</v>
          </cell>
          <cell r="G62">
            <v>0.92813732256005799</v>
          </cell>
          <cell r="H62">
            <v>0.91219597108405093</v>
          </cell>
          <cell r="I62">
            <v>0.78015724268019426</v>
          </cell>
          <cell r="J62">
            <v>0.77407184001717588</v>
          </cell>
          <cell r="K62">
            <v>0.74364592529490459</v>
          </cell>
          <cell r="L62">
            <v>0.97956286203002507</v>
          </cell>
          <cell r="M62">
            <v>0.99279595678838051</v>
          </cell>
          <cell r="N62">
            <v>0.95242604381015317</v>
          </cell>
          <cell r="O62">
            <v>0.86473334997457341</v>
          </cell>
          <cell r="P62">
            <v>0.87390077148152601</v>
          </cell>
          <cell r="Q62">
            <v>0.88499797269456659</v>
          </cell>
          <cell r="R62">
            <v>0.90677825805631729</v>
          </cell>
          <cell r="S62">
            <v>0.87179121775124924</v>
          </cell>
          <cell r="T62">
            <v>0.81376698016563509</v>
          </cell>
          <cell r="U62">
            <v>0.78071318481828789</v>
          </cell>
          <cell r="V62">
            <v>0.69784016157977791</v>
          </cell>
          <cell r="W62">
            <v>0.73997537280140069</v>
          </cell>
          <cell r="X62">
            <v>0.90695334202599176</v>
          </cell>
          <cell r="Y62">
            <v>0.94533342211318738</v>
          </cell>
          <cell r="Z62">
            <v>0.90497486865644972</v>
          </cell>
          <cell r="AA62">
            <v>0.83537832528272071</v>
          </cell>
          <cell r="AB62">
            <v>0.85250442842830554</v>
          </cell>
          <cell r="AC62">
            <v>0.87777440259248274</v>
          </cell>
        </row>
        <row r="63">
          <cell r="E63">
            <v>0.60211265763068</v>
          </cell>
          <cell r="F63">
            <v>0.70291603401890068</v>
          </cell>
          <cell r="G63">
            <v>0.62977202947150956</v>
          </cell>
          <cell r="H63">
            <v>0.51939340939867051</v>
          </cell>
          <cell r="I63">
            <v>0.31930532897483049</v>
          </cell>
          <cell r="J63">
            <v>0.31034072675983004</v>
          </cell>
          <cell r="K63">
            <v>0.39777026060463266</v>
          </cell>
          <cell r="L63">
            <v>0.65813772181057084</v>
          </cell>
          <cell r="M63">
            <v>0.77466886214487729</v>
          </cell>
          <cell r="N63">
            <v>0.6432197049836027</v>
          </cell>
          <cell r="O63">
            <v>0.49330766822739752</v>
          </cell>
          <cell r="P63">
            <v>0.48910655468890168</v>
          </cell>
          <cell r="Q63">
            <v>0.64752703891040042</v>
          </cell>
          <cell r="R63">
            <v>0.54230605940774779</v>
          </cell>
          <cell r="S63">
            <v>0.45107931024260028</v>
          </cell>
          <cell r="T63">
            <v>0.57442459260683298</v>
          </cell>
          <cell r="U63">
            <v>0.46409340038306351</v>
          </cell>
          <cell r="V63">
            <v>0.43751908588648847</v>
          </cell>
          <cell r="W63">
            <v>0.34234294301469004</v>
          </cell>
          <cell r="X63">
            <v>0.70334438793255227</v>
          </cell>
          <cell r="Y63">
            <v>0.77193267318751635</v>
          </cell>
          <cell r="Z63">
            <v>0.71709759205366252</v>
          </cell>
          <cell r="AA63">
            <v>0.56879313285559197</v>
          </cell>
          <cell r="AB63">
            <v>0.52937314687964809</v>
          </cell>
          <cell r="AC63">
            <v>0.58298298406027815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15.661204398151" createdVersion="1" recordCount="893">
  <cacheSource type="worksheet">
    <worksheetSource ref="A40:AB933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0T00:00:00" maxDate="2001-11-21T00:00:00" count="2">
        <d v="2001-11-20T00:00:00"/>
        <m/>
      </sharedItems>
    </cacheField>
    <cacheField name="MKT_PRICE" numFmtId="0">
      <sharedItems containsString="0" containsBlank="1" containsNumber="1" minValue="27" maxValue="33.75" count="13">
        <n v="28.25"/>
        <n v="29.35"/>
        <n v="31.75"/>
        <n v="27"/>
        <n v="27.75"/>
        <n v="32.5"/>
        <n v="30"/>
        <n v="31.5"/>
        <n v="33.75"/>
        <n v="32.450000000000003"/>
        <n v="31.05"/>
        <n v="30.35"/>
        <m/>
      </sharedItems>
    </cacheField>
    <cacheField name="NOMMTM" numFmtId="0">
      <sharedItems containsString="0" containsBlank="1" containsNumber="1" containsInteger="1" minValue="-91104" maxValue="72800" count="27">
        <n v="-91104"/>
        <n v="-79664"/>
        <n v="-52600"/>
        <n v="72800"/>
        <n v="62500"/>
        <n v="15496"/>
        <n v="41496"/>
        <n v="23904"/>
        <n v="6760"/>
        <n v="-6240"/>
        <n v="-21320"/>
        <n v="36296"/>
        <n v="27400"/>
        <n v="28496"/>
        <n v="19900"/>
        <n v="-2704"/>
        <n v="7104"/>
        <n v="23296"/>
        <n v="11336"/>
        <n v="7696"/>
        <n v="-8944"/>
        <n v="17056"/>
        <n v="1344"/>
        <n v="16016"/>
        <n v="12376"/>
        <n v="11424"/>
        <m/>
      </sharedItems>
    </cacheField>
    <cacheField name="PVMTM" numFmtId="0">
      <sharedItems containsString="0" containsBlank="1" containsNumber="1" containsInteger="1" minValue="-89877" maxValue="71819" count="30">
        <n v="-89877"/>
        <n v="-78339"/>
        <n v="-51556"/>
        <n v="71819"/>
        <n v="71589"/>
        <n v="61259"/>
        <n v="15429"/>
        <n v="41071"/>
        <n v="23725"/>
        <n v="6731"/>
        <n v="-6193"/>
        <n v="-21102"/>
        <n v="35807"/>
        <n v="35692"/>
        <n v="26856"/>
        <n v="28112"/>
        <n v="28022"/>
        <n v="19505"/>
        <n v="-2692"/>
        <n v="7051"/>
        <n v="23057"/>
        <n v="11287"/>
        <n v="7617"/>
        <n v="-8905"/>
        <n v="16881"/>
        <n v="1334"/>
        <n v="15947"/>
        <n v="12249"/>
        <n v="113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ott Gardner" refreshedDate="37215.661234490741" createdVersion="1" recordCount="380">
  <cacheSource type="worksheet">
    <worksheetSource ref="A40:AB420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0T00:00:00" maxDate="2001-11-21T00:00:00" count="2">
        <d v="2001-11-20T00:00:00"/>
        <m/>
      </sharedItems>
    </cacheField>
    <cacheField name="MKT_PRICE" numFmtId="0">
      <sharedItems containsString="0" containsBlank="1" containsNumber="1" minValue="27" maxValue="33.75" count="13">
        <n v="28.25"/>
        <n v="29.35"/>
        <n v="31.75"/>
        <n v="27"/>
        <n v="27.75"/>
        <n v="32.5"/>
        <n v="30"/>
        <n v="31.5"/>
        <n v="33.75"/>
        <n v="32.450000000000003"/>
        <n v="31.05"/>
        <n v="30.35"/>
        <m/>
      </sharedItems>
    </cacheField>
    <cacheField name="NOMMTM" numFmtId="0">
      <sharedItems containsString="0" containsBlank="1" containsNumber="1" containsInteger="1" minValue="-91104" maxValue="72800" count="27">
        <n v="-91104"/>
        <n v="-79664"/>
        <n v="-52600"/>
        <n v="72800"/>
        <n v="62500"/>
        <n v="15496"/>
        <n v="41496"/>
        <n v="23904"/>
        <n v="6760"/>
        <n v="-6240"/>
        <n v="-21320"/>
        <n v="36296"/>
        <n v="27400"/>
        <n v="28496"/>
        <n v="19900"/>
        <n v="-2704"/>
        <n v="7104"/>
        <n v="23296"/>
        <n v="11336"/>
        <n v="7696"/>
        <n v="-8944"/>
        <n v="17056"/>
        <n v="1344"/>
        <n v="16016"/>
        <n v="12376"/>
        <n v="11424"/>
        <m/>
      </sharedItems>
    </cacheField>
    <cacheField name="PVMTM" numFmtId="0">
      <sharedItems containsString="0" containsBlank="1" containsNumber="1" containsInteger="1" minValue="-89877" maxValue="71819" count="30">
        <n v="-89877"/>
        <n v="-78339"/>
        <n v="-51556"/>
        <n v="71819"/>
        <n v="71589"/>
        <n v="61259"/>
        <n v="15429"/>
        <n v="41071"/>
        <n v="23725"/>
        <n v="6731"/>
        <n v="-6193"/>
        <n v="-21102"/>
        <n v="35807"/>
        <n v="35692"/>
        <n v="26856"/>
        <n v="28112"/>
        <n v="28022"/>
        <n v="19505"/>
        <n v="-2692"/>
        <n v="7051"/>
        <n v="23057"/>
        <n v="11287"/>
        <n v="7617"/>
        <n v="-8905"/>
        <n v="16881"/>
        <n v="1334"/>
        <n v="15947"/>
        <n v="12249"/>
        <n v="113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x v="14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x v="1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3"/>
    <x v="13"/>
    <x v="16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4"/>
    <x v="14"/>
    <x v="17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x v="18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7"/>
    <x v="16"/>
    <x v="19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6"/>
    <x v="17"/>
    <x v="20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x v="21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6"/>
    <x v="19"/>
    <x v="22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6"/>
    <x v="16"/>
    <x v="19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0"/>
    <x v="2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1"/>
    <x v="24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2"/>
    <x v="25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3"/>
    <x v="26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6"/>
    <x v="24"/>
    <x v="27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6"/>
    <x v="25"/>
    <x v="2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x v="11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x v="1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x v="13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x v="14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x v="1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3"/>
    <x v="13"/>
    <x v="16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4"/>
    <x v="14"/>
    <x v="17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x v="18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7"/>
    <x v="16"/>
    <x v="19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6"/>
    <x v="17"/>
    <x v="20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x v="21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6"/>
    <x v="19"/>
    <x v="22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6"/>
    <x v="16"/>
    <x v="19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0"/>
    <x v="2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1"/>
    <x v="24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2"/>
    <x v="25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3"/>
    <x v="26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6"/>
    <x v="24"/>
    <x v="27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6"/>
    <x v="25"/>
    <x v="2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2"/>
    <x v="26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I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C1" sqref="C1"/>
    </sheetView>
  </sheetViews>
  <sheetFormatPr defaultRowHeight="10.5" x14ac:dyDescent="0.15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75" x14ac:dyDescent="0.2">
      <c r="A1" s="83" t="s">
        <v>11</v>
      </c>
    </row>
    <row r="2" spans="1:5" ht="12.75" x14ac:dyDescent="0.2">
      <c r="A2" s="83" t="s">
        <v>89</v>
      </c>
    </row>
    <row r="3" spans="1:5" ht="12.75" x14ac:dyDescent="0.2">
      <c r="A3" s="83" t="s">
        <v>228</v>
      </c>
      <c r="E3" s="159"/>
    </row>
    <row r="4" spans="1:5" ht="12.75" x14ac:dyDescent="0.2">
      <c r="A4" s="83" t="s">
        <v>13</v>
      </c>
    </row>
    <row r="7" spans="1:5" x14ac:dyDescent="0.15">
      <c r="A7" s="92" t="s">
        <v>91</v>
      </c>
      <c r="C7" s="116" t="s">
        <v>69</v>
      </c>
    </row>
    <row r="8" spans="1:5" x14ac:dyDescent="0.15">
      <c r="A8" s="84" t="s">
        <v>68</v>
      </c>
      <c r="C8" s="128">
        <v>3819585</v>
      </c>
    </row>
    <row r="9" spans="1:5" x14ac:dyDescent="0.15">
      <c r="A9" s="84" t="s">
        <v>64</v>
      </c>
      <c r="C9" s="85">
        <f>C16+C26</f>
        <v>-16323</v>
      </c>
    </row>
    <row r="10" spans="1:5" x14ac:dyDescent="0.15">
      <c r="A10" s="84" t="s">
        <v>65</v>
      </c>
      <c r="C10" s="85">
        <f>C17+C27</f>
        <v>4138142.6</v>
      </c>
    </row>
    <row r="14" spans="1:5" x14ac:dyDescent="0.15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15">
      <c r="A15" s="84" t="s">
        <v>68</v>
      </c>
      <c r="B15" s="98"/>
      <c r="C15" s="129">
        <v>3825623</v>
      </c>
      <c r="D15" s="58">
        <v>7500000</v>
      </c>
      <c r="E15" s="132">
        <f>IF(ABS(C15)&gt;D15,ABS(C15)-D15,0)</f>
        <v>0</v>
      </c>
    </row>
    <row r="16" spans="1:5" x14ac:dyDescent="0.15">
      <c r="A16" s="84" t="s">
        <v>104</v>
      </c>
      <c r="C16" s="85">
        <f>'PLR SUM'!AA48</f>
        <v>-688</v>
      </c>
      <c r="D16" s="85">
        <v>-7500000</v>
      </c>
      <c r="E16" s="56">
        <f>IF(C16&lt;D16,C16-D16,0)</f>
        <v>0</v>
      </c>
    </row>
    <row r="17" spans="1:5" x14ac:dyDescent="0.15">
      <c r="A17" s="84" t="s">
        <v>105</v>
      </c>
      <c r="C17" s="85">
        <f>'5-DAY'!C1</f>
        <v>3808081</v>
      </c>
      <c r="D17" s="85">
        <v>-16875000</v>
      </c>
      <c r="E17" s="56">
        <f>IF(C17&lt;D17,C17-D17,0)</f>
        <v>0</v>
      </c>
    </row>
    <row r="18" spans="1:5" x14ac:dyDescent="0.15">
      <c r="A18" s="84" t="s">
        <v>90</v>
      </c>
      <c r="C18" s="117">
        <f>MWH!AA41</f>
        <v>-4664726.0722000003</v>
      </c>
      <c r="D18" s="95">
        <v>6500000</v>
      </c>
      <c r="E18" s="57">
        <f>IF(ABS(C18)&gt;D18,ABS(C18)-D18,0)</f>
        <v>0</v>
      </c>
    </row>
    <row r="19" spans="1:5" x14ac:dyDescent="0.15">
      <c r="A19" s="84" t="s">
        <v>128</v>
      </c>
      <c r="C19" s="117">
        <f>'Gap Risk'!B8</f>
        <v>-4329940.4341999991</v>
      </c>
      <c r="D19" s="95">
        <v>6500000</v>
      </c>
      <c r="E19" s="57">
        <f>IF(ABS(C19)&gt;D19,ABS(C19)-D19,0)</f>
        <v>0</v>
      </c>
    </row>
    <row r="22" spans="1:5" x14ac:dyDescent="0.15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15">
      <c r="A23" s="84" t="s">
        <v>68</v>
      </c>
      <c r="B23" s="98"/>
      <c r="C23" s="129">
        <v>65780</v>
      </c>
      <c r="D23" s="58">
        <v>3000000</v>
      </c>
      <c r="E23" s="59">
        <f>'SPEC REPORT'!K8</f>
        <v>0</v>
      </c>
    </row>
    <row r="24" spans="1:5" x14ac:dyDescent="0.15">
      <c r="A24" s="84" t="s">
        <v>90</v>
      </c>
      <c r="C24" s="95">
        <f>'SPEC REPORT'!I11</f>
        <v>-61600</v>
      </c>
      <c r="D24" s="95">
        <f>'SPEC REPORT'!J11</f>
        <v>1500000</v>
      </c>
      <c r="E24" s="57">
        <f>'SPEC REPORT'!K11</f>
        <v>0</v>
      </c>
    </row>
    <row r="25" spans="1:5" x14ac:dyDescent="0.15">
      <c r="A25" s="84" t="s">
        <v>128</v>
      </c>
      <c r="C25" s="95">
        <f>'SPEC REPORT'!I12</f>
        <v>-61600</v>
      </c>
      <c r="D25" s="95">
        <f>'SPEC REPORT'!J12</f>
        <v>1500000</v>
      </c>
      <c r="E25" s="57">
        <f>'SPEC REPORT'!K12</f>
        <v>0</v>
      </c>
    </row>
    <row r="26" spans="1:5" x14ac:dyDescent="0.15">
      <c r="A26" s="84" t="s">
        <v>104</v>
      </c>
      <c r="C26" s="85">
        <f>'SPEC REPORT'!I9</f>
        <v>-15635</v>
      </c>
      <c r="D26" s="85">
        <v>-3000000</v>
      </c>
      <c r="E26" s="56">
        <f>'SPEC REPORT'!K9</f>
        <v>0</v>
      </c>
    </row>
    <row r="27" spans="1:5" x14ac:dyDescent="0.15">
      <c r="A27" s="84" t="s">
        <v>105</v>
      </c>
      <c r="C27" s="85">
        <f>'SPEC REPORT'!I10</f>
        <v>330061.59999999998</v>
      </c>
      <c r="D27" s="85">
        <v>-6750000</v>
      </c>
      <c r="E27" s="56">
        <f>'SPEC REPORT'!K10</f>
        <v>0</v>
      </c>
    </row>
    <row r="28" spans="1:5" x14ac:dyDescent="0.15">
      <c r="A28" s="84" t="s">
        <v>103</v>
      </c>
      <c r="C28" s="200">
        <f>'5-DAY'!F2</f>
        <v>778710.6</v>
      </c>
    </row>
    <row r="29" spans="1:5" x14ac:dyDescent="0.15">
      <c r="A29" s="84" t="s">
        <v>102</v>
      </c>
      <c r="C29" s="85">
        <f>SUM('5-DAY'!C81:C359)</f>
        <v>693710.01000000013</v>
      </c>
    </row>
    <row r="30" spans="1:5" x14ac:dyDescent="0.15">
      <c r="A30" s="84" t="s">
        <v>17</v>
      </c>
      <c r="C30" s="85">
        <f>'SPEC REPORT'!D12</f>
        <v>-13448567.597999997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topLeftCell="A5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296</v>
      </c>
    </row>
    <row r="2" spans="1:27" ht="12" customHeight="1" x14ac:dyDescent="0.2">
      <c r="A2" s="19" t="s">
        <v>229</v>
      </c>
    </row>
    <row r="3" spans="1:27" ht="12" customHeight="1" x14ac:dyDescent="0.2">
      <c r="A3" s="19" t="s">
        <v>260</v>
      </c>
    </row>
    <row r="4" spans="1:27" ht="12" customHeight="1" x14ac:dyDescent="0.2">
      <c r="A4" s="19" t="s">
        <v>261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227</v>
      </c>
      <c r="D6" s="34" t="s">
        <v>231</v>
      </c>
      <c r="E6" s="34" t="s">
        <v>232</v>
      </c>
      <c r="F6" s="34" t="s">
        <v>233</v>
      </c>
      <c r="G6" s="34" t="s">
        <v>234</v>
      </c>
      <c r="H6" s="34" t="s">
        <v>235</v>
      </c>
      <c r="I6" s="34" t="s">
        <v>236</v>
      </c>
      <c r="J6" s="34" t="s">
        <v>237</v>
      </c>
      <c r="K6" s="34" t="s">
        <v>238</v>
      </c>
      <c r="L6" s="34" t="s">
        <v>239</v>
      </c>
      <c r="M6" s="34" t="s">
        <v>240</v>
      </c>
      <c r="N6" s="34" t="s">
        <v>241</v>
      </c>
      <c r="O6" s="34" t="s">
        <v>242</v>
      </c>
      <c r="P6" s="34" t="s">
        <v>243</v>
      </c>
      <c r="Q6" s="34" t="s">
        <v>244</v>
      </c>
      <c r="R6" s="34" t="s">
        <v>245</v>
      </c>
      <c r="S6" s="34" t="s">
        <v>246</v>
      </c>
      <c r="T6" s="34" t="s">
        <v>247</v>
      </c>
      <c r="U6" s="34" t="s">
        <v>248</v>
      </c>
      <c r="V6" s="34" t="s">
        <v>249</v>
      </c>
      <c r="W6" s="34" t="s">
        <v>250</v>
      </c>
      <c r="X6" s="34" t="s">
        <v>251</v>
      </c>
      <c r="Y6" s="34" t="s">
        <v>252</v>
      </c>
      <c r="Z6" s="34" t="s">
        <v>253</v>
      </c>
      <c r="AA6" s="34" t="s">
        <v>74</v>
      </c>
    </row>
    <row r="7" spans="1:27" ht="11.25" customHeight="1" x14ac:dyDescent="0.2">
      <c r="A7" s="149" t="s">
        <v>279</v>
      </c>
      <c r="C7" s="35">
        <v>0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6.2397999999999998</v>
      </c>
    </row>
    <row r="8" spans="1:27" ht="11.25" customHeight="1" thickBot="1" x14ac:dyDescent="0.25">
      <c r="A8" s="149" t="s">
        <v>280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267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49" t="s">
        <v>281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282</v>
      </c>
      <c r="C12" s="15">
        <v>-13.440899999999999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-0.57070000000000043</v>
      </c>
    </row>
    <row r="14" spans="1:27" ht="11.25" customHeight="1" x14ac:dyDescent="0.2">
      <c r="A14" s="149" t="s">
        <v>283</v>
      </c>
      <c r="C14" s="35">
        <v>229438</v>
      </c>
      <c r="D14" s="35">
        <v>6731</v>
      </c>
      <c r="E14" s="35">
        <v>-6193</v>
      </c>
      <c r="F14" s="35">
        <v>-21102</v>
      </c>
      <c r="G14" s="35">
        <v>-89877</v>
      </c>
      <c r="H14" s="35">
        <v>-78339</v>
      </c>
      <c r="I14" s="35">
        <v>-51556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-10898</v>
      </c>
    </row>
    <row r="15" spans="1:27" ht="11.25" customHeight="1" thickBot="1" x14ac:dyDescent="0.25">
      <c r="A15" s="149" t="s">
        <v>284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276</v>
      </c>
      <c r="B16" s="13"/>
      <c r="C16" s="13">
        <v>229438</v>
      </c>
      <c r="D16" s="13">
        <v>6731</v>
      </c>
      <c r="E16" s="13">
        <v>-6193</v>
      </c>
      <c r="F16" s="13">
        <v>-21102</v>
      </c>
      <c r="G16" s="13">
        <v>-89877</v>
      </c>
      <c r="H16" s="13">
        <v>-78339</v>
      </c>
      <c r="I16" s="13">
        <v>-51556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-10898</v>
      </c>
    </row>
    <row r="18" spans="1:27" ht="12" customHeight="1" x14ac:dyDescent="0.2">
      <c r="A18" s="151" t="s">
        <v>285</v>
      </c>
    </row>
    <row r="19" spans="1:27" ht="11.25" customHeight="1" x14ac:dyDescent="0.2">
      <c r="A19" s="149" t="s">
        <v>286</v>
      </c>
      <c r="C19" s="35">
        <v>31.7</v>
      </c>
      <c r="D19" s="35">
        <v>33.75</v>
      </c>
      <c r="E19" s="35">
        <v>32.450000000000003</v>
      </c>
      <c r="F19" s="35">
        <v>31.05</v>
      </c>
      <c r="G19" s="35">
        <v>28.25</v>
      </c>
      <c r="H19" s="35">
        <v>29.35</v>
      </c>
      <c r="I19" s="35">
        <v>31.75</v>
      </c>
      <c r="J19" s="35">
        <v>46.5</v>
      </c>
      <c r="K19" s="35">
        <v>54.5</v>
      </c>
      <c r="L19" s="35">
        <v>43.5</v>
      </c>
      <c r="M19" s="35">
        <v>35.5</v>
      </c>
      <c r="N19" s="35">
        <v>38</v>
      </c>
      <c r="O19" s="35">
        <v>40.5</v>
      </c>
      <c r="P19" s="35">
        <v>42.25</v>
      </c>
      <c r="Q19" s="35">
        <v>39.75</v>
      </c>
      <c r="R19" s="35">
        <v>36.25</v>
      </c>
      <c r="S19" s="35">
        <v>34.35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287</v>
      </c>
      <c r="C20" s="35">
        <v>31.2</v>
      </c>
      <c r="D20" s="35">
        <v>33.1</v>
      </c>
      <c r="E20" s="35">
        <v>30.45</v>
      </c>
      <c r="F20" s="35">
        <v>30.55</v>
      </c>
      <c r="G20" s="35">
        <v>28.25</v>
      </c>
      <c r="H20" s="35">
        <v>29.35</v>
      </c>
      <c r="I20" s="35">
        <v>31.75</v>
      </c>
      <c r="J20" s="35">
        <v>46.5</v>
      </c>
      <c r="K20" s="35">
        <v>54</v>
      </c>
      <c r="L20" s="35">
        <v>43.5</v>
      </c>
      <c r="M20" s="35">
        <v>35.4</v>
      </c>
      <c r="N20" s="35">
        <v>37.9</v>
      </c>
      <c r="O20" s="35">
        <v>40.4</v>
      </c>
      <c r="P20" s="35">
        <v>42</v>
      </c>
      <c r="Q20" s="35">
        <v>39.5</v>
      </c>
      <c r="R20" s="35">
        <v>36</v>
      </c>
      <c r="S20" s="35">
        <v>34.1</v>
      </c>
      <c r="T20" s="35">
        <v>32.25</v>
      </c>
      <c r="U20" s="35">
        <v>36</v>
      </c>
      <c r="V20" s="35">
        <v>52</v>
      </c>
      <c r="W20" s="35">
        <v>56</v>
      </c>
      <c r="X20" s="35">
        <v>49</v>
      </c>
      <c r="Y20" s="35">
        <v>38.75</v>
      </c>
      <c r="Z20" s="35">
        <v>41.75</v>
      </c>
      <c r="AA20" s="35"/>
    </row>
    <row r="21" spans="1:27" ht="11.25" customHeight="1" x14ac:dyDescent="0.2">
      <c r="A21" s="149" t="s">
        <v>288</v>
      </c>
      <c r="C21" s="15">
        <v>0.5</v>
      </c>
      <c r="D21" s="15">
        <v>0.64999999999999858</v>
      </c>
      <c r="E21" s="15">
        <v>2</v>
      </c>
      <c r="F21" s="15">
        <v>0.5</v>
      </c>
      <c r="G21" s="15">
        <v>0</v>
      </c>
      <c r="H21" s="15">
        <v>0</v>
      </c>
      <c r="I21" s="15">
        <v>0</v>
      </c>
      <c r="J21" s="15">
        <v>0</v>
      </c>
      <c r="K21" s="15">
        <v>0.5</v>
      </c>
      <c r="L21" s="15">
        <v>0</v>
      </c>
      <c r="M21" s="15">
        <v>0.10000000000000142</v>
      </c>
      <c r="N21" s="15">
        <v>0.10000000000000142</v>
      </c>
      <c r="O21" s="15">
        <v>0.10000000000000142</v>
      </c>
      <c r="P21" s="15">
        <v>0.25</v>
      </c>
      <c r="Q21" s="15">
        <v>0.25</v>
      </c>
      <c r="R21" s="15">
        <v>0.25</v>
      </c>
      <c r="S21" s="15">
        <v>0.25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35"/>
    </row>
    <row r="23" spans="1:27" ht="11.25" customHeight="1" x14ac:dyDescent="0.2">
      <c r="A23" s="149" t="s">
        <v>289</v>
      </c>
      <c r="C23" s="35">
        <v>25</v>
      </c>
      <c r="D23" s="35">
        <v>27.5</v>
      </c>
      <c r="E23" s="35">
        <v>26.75</v>
      </c>
      <c r="F23" s="35">
        <v>24.15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290</v>
      </c>
      <c r="C24" s="35">
        <v>24.75</v>
      </c>
      <c r="D24" s="35">
        <v>27.5</v>
      </c>
      <c r="E24" s="35">
        <v>26.5</v>
      </c>
      <c r="F24" s="35">
        <v>24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291</v>
      </c>
      <c r="C25" s="15">
        <v>0.25</v>
      </c>
      <c r="D25" s="15">
        <v>0</v>
      </c>
      <c r="E25" s="15">
        <v>0.25</v>
      </c>
      <c r="F25" s="15">
        <v>0.14999999999999858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47.125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292</v>
      </c>
      <c r="C34" s="34" t="s">
        <v>227</v>
      </c>
      <c r="D34" s="34" t="s">
        <v>231</v>
      </c>
      <c r="E34" s="34" t="s">
        <v>232</v>
      </c>
      <c r="F34" s="34" t="s">
        <v>233</v>
      </c>
      <c r="G34" s="34" t="s">
        <v>234</v>
      </c>
      <c r="H34" s="34" t="s">
        <v>235</v>
      </c>
      <c r="I34" s="34" t="s">
        <v>236</v>
      </c>
      <c r="J34" s="34" t="s">
        <v>237</v>
      </c>
      <c r="K34" s="34" t="s">
        <v>238</v>
      </c>
      <c r="L34" s="34" t="s">
        <v>239</v>
      </c>
      <c r="M34" s="34" t="s">
        <v>240</v>
      </c>
      <c r="N34" s="34" t="s">
        <v>241</v>
      </c>
      <c r="O34" s="34" t="s">
        <v>242</v>
      </c>
      <c r="P34" s="34" t="s">
        <v>243</v>
      </c>
      <c r="Q34" s="34" t="s">
        <v>244</v>
      </c>
      <c r="R34" s="34" t="s">
        <v>245</v>
      </c>
      <c r="S34" s="34" t="s">
        <v>246</v>
      </c>
      <c r="T34" s="34" t="s">
        <v>247</v>
      </c>
      <c r="U34" s="34" t="s">
        <v>248</v>
      </c>
      <c r="V34" s="34" t="s">
        <v>249</v>
      </c>
      <c r="W34" s="34" t="s">
        <v>250</v>
      </c>
      <c r="X34" s="34" t="s">
        <v>251</v>
      </c>
      <c r="Y34" s="34" t="s">
        <v>252</v>
      </c>
      <c r="Z34" s="34" t="s">
        <v>253</v>
      </c>
      <c r="AA34" s="34" t="s">
        <v>74</v>
      </c>
    </row>
    <row r="35" spans="1:27" ht="11.25" customHeight="1" x14ac:dyDescent="0.2">
      <c r="A35" s="149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267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276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285</v>
      </c>
    </row>
    <row r="47" spans="1:27" ht="11.25" customHeight="1" x14ac:dyDescent="0.2">
      <c r="A47" s="149" t="s">
        <v>286</v>
      </c>
      <c r="C47" s="35">
        <v>31.7</v>
      </c>
      <c r="D47" s="35">
        <v>33.75</v>
      </c>
      <c r="E47" s="35">
        <v>32.450000000000003</v>
      </c>
      <c r="F47" s="35">
        <v>31.05</v>
      </c>
      <c r="G47" s="35">
        <v>28.25</v>
      </c>
      <c r="H47" s="35">
        <v>29.35</v>
      </c>
      <c r="I47" s="35">
        <v>31.75</v>
      </c>
      <c r="J47" s="35">
        <v>46.5</v>
      </c>
      <c r="K47" s="35">
        <v>54.5</v>
      </c>
      <c r="L47" s="35">
        <v>43.5</v>
      </c>
      <c r="M47" s="35">
        <v>35.5</v>
      </c>
      <c r="N47" s="35">
        <v>38</v>
      </c>
      <c r="O47" s="35">
        <v>40.5</v>
      </c>
      <c r="P47" s="35">
        <v>42.25</v>
      </c>
      <c r="Q47" s="35">
        <v>39.75</v>
      </c>
      <c r="R47" s="35">
        <v>36.25</v>
      </c>
      <c r="S47" s="35">
        <v>34.35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287</v>
      </c>
      <c r="C48" s="35">
        <v>31.2</v>
      </c>
      <c r="D48" s="35">
        <v>33.1</v>
      </c>
      <c r="E48" s="35">
        <v>30.45</v>
      </c>
      <c r="F48" s="35">
        <v>30.55</v>
      </c>
      <c r="G48" s="35">
        <v>28.25</v>
      </c>
      <c r="H48" s="35">
        <v>29.35</v>
      </c>
      <c r="I48" s="35">
        <v>31.75</v>
      </c>
      <c r="J48" s="35">
        <v>46.5</v>
      </c>
      <c r="K48" s="35">
        <v>54</v>
      </c>
      <c r="L48" s="35">
        <v>43.5</v>
      </c>
      <c r="M48" s="35">
        <v>35.4</v>
      </c>
      <c r="N48" s="35">
        <v>37.9</v>
      </c>
      <c r="O48" s="35">
        <v>40.4</v>
      </c>
      <c r="P48" s="35">
        <v>42</v>
      </c>
      <c r="Q48" s="35">
        <v>39.5</v>
      </c>
      <c r="R48" s="35">
        <v>36</v>
      </c>
      <c r="S48" s="35">
        <v>34.1</v>
      </c>
      <c r="T48" s="35">
        <v>32.25</v>
      </c>
      <c r="U48" s="35">
        <v>36</v>
      </c>
      <c r="V48" s="35">
        <v>52</v>
      </c>
      <c r="W48" s="35">
        <v>56</v>
      </c>
      <c r="X48" s="35">
        <v>49</v>
      </c>
      <c r="Y48" s="35">
        <v>38.75</v>
      </c>
      <c r="Z48" s="35">
        <v>41.75</v>
      </c>
      <c r="AA48" s="35"/>
    </row>
    <row r="49" spans="1:27" ht="11.25" customHeight="1" x14ac:dyDescent="0.2">
      <c r="A49" s="149" t="s">
        <v>288</v>
      </c>
      <c r="C49" s="15">
        <v>0.5</v>
      </c>
      <c r="D49" s="15">
        <v>0.64999999999999858</v>
      </c>
      <c r="E49" s="15">
        <v>2</v>
      </c>
      <c r="F49" s="15">
        <v>0.5</v>
      </c>
      <c r="G49" s="15">
        <v>0</v>
      </c>
      <c r="H49" s="15">
        <v>0</v>
      </c>
      <c r="I49" s="15">
        <v>0</v>
      </c>
      <c r="J49" s="15">
        <v>0</v>
      </c>
      <c r="K49" s="15">
        <v>0.5</v>
      </c>
      <c r="L49" s="15">
        <v>0</v>
      </c>
      <c r="M49" s="15">
        <v>0.10000000000000142</v>
      </c>
      <c r="N49" s="15">
        <v>0.10000000000000142</v>
      </c>
      <c r="O49" s="15">
        <v>0.10000000000000142</v>
      </c>
      <c r="P49" s="15">
        <v>0.25</v>
      </c>
      <c r="Q49" s="15">
        <v>0.25</v>
      </c>
      <c r="R49" s="15">
        <v>0.25</v>
      </c>
      <c r="S49" s="15">
        <v>0.25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35"/>
    </row>
    <row r="51" spans="1:27" ht="11.25" customHeight="1" x14ac:dyDescent="0.2">
      <c r="A51" s="149" t="s">
        <v>289</v>
      </c>
      <c r="C51" s="35">
        <v>25</v>
      </c>
      <c r="D51" s="35">
        <v>27.5</v>
      </c>
      <c r="E51" s="35">
        <v>26.75</v>
      </c>
      <c r="F51" s="35">
        <v>24.15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290</v>
      </c>
      <c r="C52" s="35">
        <v>24.75</v>
      </c>
      <c r="D52" s="35">
        <v>27.5</v>
      </c>
      <c r="E52" s="35">
        <v>26.5</v>
      </c>
      <c r="F52" s="35">
        <v>24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291</v>
      </c>
      <c r="C53" s="15">
        <v>0.25</v>
      </c>
      <c r="D53" s="15">
        <v>0</v>
      </c>
      <c r="E53" s="15">
        <v>0.25</v>
      </c>
      <c r="F53" s="15">
        <v>0.14999999999999858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227</v>
      </c>
      <c r="D62" s="34" t="s">
        <v>231</v>
      </c>
      <c r="E62" s="34" t="s">
        <v>232</v>
      </c>
      <c r="F62" s="34" t="s">
        <v>233</v>
      </c>
      <c r="G62" s="34" t="s">
        <v>234</v>
      </c>
      <c r="H62" s="34" t="s">
        <v>235</v>
      </c>
      <c r="I62" s="34" t="s">
        <v>236</v>
      </c>
      <c r="J62" s="34" t="s">
        <v>237</v>
      </c>
      <c r="K62" s="34" t="s">
        <v>238</v>
      </c>
      <c r="L62" s="34" t="s">
        <v>239</v>
      </c>
      <c r="M62" s="34" t="s">
        <v>240</v>
      </c>
      <c r="N62" s="34" t="s">
        <v>241</v>
      </c>
      <c r="O62" s="34" t="s">
        <v>242</v>
      </c>
      <c r="P62" s="34" t="s">
        <v>243</v>
      </c>
      <c r="Q62" s="34" t="s">
        <v>244</v>
      </c>
      <c r="R62" s="34" t="s">
        <v>245</v>
      </c>
      <c r="S62" s="34" t="s">
        <v>246</v>
      </c>
      <c r="T62" s="34" t="s">
        <v>247</v>
      </c>
      <c r="U62" s="34" t="s">
        <v>248</v>
      </c>
      <c r="V62" s="34" t="s">
        <v>249</v>
      </c>
      <c r="W62" s="34" t="s">
        <v>250</v>
      </c>
      <c r="X62" s="34" t="s">
        <v>251</v>
      </c>
      <c r="Y62" s="34" t="s">
        <v>252</v>
      </c>
      <c r="Z62" s="34" t="s">
        <v>253</v>
      </c>
      <c r="AA62" s="34" t="s">
        <v>74</v>
      </c>
    </row>
    <row r="63" spans="1:27" ht="11.25" customHeight="1" x14ac:dyDescent="0.2">
      <c r="A63" s="149" t="s">
        <v>279</v>
      </c>
      <c r="C63" s="35">
        <v>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-18.7194</v>
      </c>
    </row>
    <row r="64" spans="1:27" ht="11.25" customHeight="1" thickBot="1" x14ac:dyDescent="0.25">
      <c r="A64" s="149" t="s">
        <v>280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267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-10.4795</v>
      </c>
    </row>
    <row r="67" spans="1:27" ht="11.25" customHeight="1" x14ac:dyDescent="0.2">
      <c r="A67" s="149" t="s">
        <v>281</v>
      </c>
      <c r="C67" s="35">
        <v>0</v>
      </c>
      <c r="D67" s="35">
        <v>-41.935499999999998</v>
      </c>
      <c r="E67" s="35">
        <v>-42.857100000000003</v>
      </c>
      <c r="F67" s="35">
        <v>-41.935499999999998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-10.4795</v>
      </c>
    </row>
    <row r="68" spans="1:27" ht="11.25" customHeight="1" x14ac:dyDescent="0.2">
      <c r="A68" s="149" t="s">
        <v>282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149" t="s">
        <v>283</v>
      </c>
      <c r="C70" s="35">
        <v>-178096</v>
      </c>
      <c r="D70" s="35">
        <v>30651</v>
      </c>
      <c r="E70" s="35">
        <v>142825</v>
      </c>
      <c r="F70" s="35">
        <v>200619</v>
      </c>
      <c r="G70" s="35">
        <v>47298</v>
      </c>
      <c r="H70" s="35">
        <v>62180</v>
      </c>
      <c r="I70" s="35">
        <v>42342</v>
      </c>
      <c r="J70" s="35">
        <v>522472</v>
      </c>
      <c r="K70" s="35">
        <v>540761</v>
      </c>
      <c r="L70" s="35">
        <v>479066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1890118</v>
      </c>
    </row>
    <row r="71" spans="1:27" ht="11.25" customHeight="1" thickBot="1" x14ac:dyDescent="0.25">
      <c r="A71" s="149" t="s">
        <v>284</v>
      </c>
      <c r="C71" s="35">
        <v>85730</v>
      </c>
      <c r="D71" s="35">
        <v>0</v>
      </c>
      <c r="E71" s="35">
        <v>0</v>
      </c>
      <c r="F71" s="35">
        <v>0</v>
      </c>
      <c r="G71" s="35">
        <v>-30191</v>
      </c>
      <c r="H71" s="35">
        <v>-32577</v>
      </c>
      <c r="I71" s="35">
        <v>-27836</v>
      </c>
      <c r="J71" s="35">
        <v>-80</v>
      </c>
      <c r="K71" s="35">
        <v>-76</v>
      </c>
      <c r="L71" s="35">
        <v>-82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-5112</v>
      </c>
    </row>
    <row r="72" spans="1:27" ht="11.25" customHeight="1" thickBot="1" x14ac:dyDescent="0.25">
      <c r="A72" s="150" t="s">
        <v>276</v>
      </c>
      <c r="B72" s="13"/>
      <c r="C72" s="13">
        <v>-92366</v>
      </c>
      <c r="D72" s="13">
        <v>30651</v>
      </c>
      <c r="E72" s="13">
        <v>142825</v>
      </c>
      <c r="F72" s="13">
        <v>200619</v>
      </c>
      <c r="G72" s="13">
        <v>17107</v>
      </c>
      <c r="H72" s="13">
        <v>29603</v>
      </c>
      <c r="I72" s="13">
        <v>14506</v>
      </c>
      <c r="J72" s="13">
        <v>522392</v>
      </c>
      <c r="K72" s="13">
        <v>540685</v>
      </c>
      <c r="L72" s="13">
        <v>478984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1885006</v>
      </c>
    </row>
    <row r="74" spans="1:27" ht="12" customHeight="1" x14ac:dyDescent="0.2">
      <c r="A74" s="151" t="s">
        <v>285</v>
      </c>
    </row>
    <row r="75" spans="1:27" ht="11.25" customHeight="1" x14ac:dyDescent="0.2">
      <c r="A75" s="149" t="s">
        <v>286</v>
      </c>
      <c r="C75" s="35">
        <v>30.65</v>
      </c>
      <c r="D75" s="35">
        <v>32.5</v>
      </c>
      <c r="E75" s="35">
        <v>31.5</v>
      </c>
      <c r="F75" s="35">
        <v>30</v>
      </c>
      <c r="G75" s="35">
        <v>27</v>
      </c>
      <c r="H75" s="35">
        <v>27</v>
      </c>
      <c r="I75" s="35">
        <v>27.75</v>
      </c>
      <c r="J75" s="35">
        <v>42</v>
      </c>
      <c r="K75" s="35">
        <v>50.5</v>
      </c>
      <c r="L75" s="35">
        <v>41</v>
      </c>
      <c r="M75" s="35">
        <v>34.5</v>
      </c>
      <c r="N75" s="35">
        <v>37</v>
      </c>
      <c r="O75" s="35">
        <v>39.5</v>
      </c>
      <c r="P75" s="35">
        <v>41.25</v>
      </c>
      <c r="Q75" s="35">
        <v>38.25</v>
      </c>
      <c r="R75" s="35">
        <v>34.25</v>
      </c>
      <c r="S75" s="35">
        <v>32.25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287</v>
      </c>
      <c r="C76" s="35">
        <v>30.25</v>
      </c>
      <c r="D76" s="35">
        <v>31.85</v>
      </c>
      <c r="E76" s="35">
        <v>29.5</v>
      </c>
      <c r="F76" s="35">
        <v>29.5</v>
      </c>
      <c r="G76" s="35">
        <v>27</v>
      </c>
      <c r="H76" s="35">
        <v>27</v>
      </c>
      <c r="I76" s="35">
        <v>27.75</v>
      </c>
      <c r="J76" s="35">
        <v>42</v>
      </c>
      <c r="K76" s="35">
        <v>50.5</v>
      </c>
      <c r="L76" s="35">
        <v>41</v>
      </c>
      <c r="M76" s="35">
        <v>34.5</v>
      </c>
      <c r="N76" s="35">
        <v>37</v>
      </c>
      <c r="O76" s="35">
        <v>39.5</v>
      </c>
      <c r="P76" s="35">
        <v>41</v>
      </c>
      <c r="Q76" s="35">
        <v>38</v>
      </c>
      <c r="R76" s="35">
        <v>34</v>
      </c>
      <c r="S76" s="35">
        <v>32</v>
      </c>
      <c r="T76" s="35">
        <v>29</v>
      </c>
      <c r="U76" s="35">
        <v>31</v>
      </c>
      <c r="V76" s="35">
        <v>47</v>
      </c>
      <c r="W76" s="35">
        <v>52</v>
      </c>
      <c r="X76" s="35">
        <v>46</v>
      </c>
      <c r="Y76" s="35">
        <v>37.5</v>
      </c>
      <c r="Z76" s="35">
        <v>40.5</v>
      </c>
      <c r="AA76" s="35"/>
    </row>
    <row r="77" spans="1:27" ht="11.25" customHeight="1" x14ac:dyDescent="0.2">
      <c r="A77" s="149" t="s">
        <v>288</v>
      </c>
      <c r="C77" s="15">
        <v>0.39999999999999858</v>
      </c>
      <c r="D77" s="15">
        <v>0.64999999999999858</v>
      </c>
      <c r="E77" s="15">
        <v>2</v>
      </c>
      <c r="F77" s="15">
        <v>0.5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0.25</v>
      </c>
      <c r="Q77" s="15">
        <v>0.25</v>
      </c>
      <c r="R77" s="15">
        <v>0.25</v>
      </c>
      <c r="S77" s="15">
        <v>0.25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35"/>
    </row>
    <row r="79" spans="1:27" ht="11.25" customHeight="1" x14ac:dyDescent="0.2">
      <c r="A79" s="149" t="s">
        <v>289</v>
      </c>
      <c r="C79" s="35">
        <v>25</v>
      </c>
      <c r="D79" s="35">
        <v>27.5</v>
      </c>
      <c r="E79" s="35">
        <v>26.75</v>
      </c>
      <c r="F79" s="35">
        <v>24.15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290</v>
      </c>
      <c r="C80" s="35">
        <v>24.75</v>
      </c>
      <c r="D80" s="35">
        <v>27.5</v>
      </c>
      <c r="E80" s="35">
        <v>26.5</v>
      </c>
      <c r="F80" s="35">
        <v>24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291</v>
      </c>
      <c r="C81" s="15">
        <v>0.25</v>
      </c>
      <c r="D81" s="15">
        <v>0</v>
      </c>
      <c r="E81" s="15">
        <v>0.25</v>
      </c>
      <c r="F81" s="15">
        <v>0.14999999999999858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51.965200000000003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40.299999999999997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293</v>
      </c>
      <c r="C90" s="34" t="s">
        <v>227</v>
      </c>
      <c r="D90" s="34" t="s">
        <v>231</v>
      </c>
      <c r="E90" s="34" t="s">
        <v>232</v>
      </c>
      <c r="F90" s="34" t="s">
        <v>233</v>
      </c>
      <c r="G90" s="34" t="s">
        <v>234</v>
      </c>
      <c r="H90" s="34" t="s">
        <v>235</v>
      </c>
      <c r="I90" s="34" t="s">
        <v>236</v>
      </c>
      <c r="J90" s="34" t="s">
        <v>237</v>
      </c>
      <c r="K90" s="34" t="s">
        <v>238</v>
      </c>
      <c r="L90" s="34" t="s">
        <v>239</v>
      </c>
      <c r="M90" s="34" t="s">
        <v>240</v>
      </c>
      <c r="N90" s="34" t="s">
        <v>241</v>
      </c>
      <c r="O90" s="34" t="s">
        <v>242</v>
      </c>
      <c r="P90" s="34" t="s">
        <v>243</v>
      </c>
      <c r="Q90" s="34" t="s">
        <v>244</v>
      </c>
      <c r="R90" s="34" t="s">
        <v>245</v>
      </c>
      <c r="S90" s="34" t="s">
        <v>246</v>
      </c>
      <c r="T90" s="34" t="s">
        <v>247</v>
      </c>
      <c r="U90" s="34" t="s">
        <v>248</v>
      </c>
      <c r="V90" s="34" t="s">
        <v>249</v>
      </c>
      <c r="W90" s="34" t="s">
        <v>250</v>
      </c>
      <c r="X90" s="34" t="s">
        <v>251</v>
      </c>
      <c r="Y90" s="34" t="s">
        <v>252</v>
      </c>
      <c r="Z90" s="34" t="s">
        <v>253</v>
      </c>
      <c r="AA90" s="34" t="s">
        <v>74</v>
      </c>
    </row>
    <row r="91" spans="1:27" ht="11.25" customHeight="1" x14ac:dyDescent="0.2">
      <c r="A91" s="149" t="s">
        <v>279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267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281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283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284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276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285</v>
      </c>
    </row>
    <row r="103" spans="1:27" ht="11.25" customHeight="1" x14ac:dyDescent="0.2">
      <c r="A103" s="149" t="s">
        <v>286</v>
      </c>
      <c r="C103" s="35">
        <v>31.7</v>
      </c>
      <c r="D103" s="35">
        <v>33.75</v>
      </c>
      <c r="E103" s="35">
        <v>32.450000000000003</v>
      </c>
      <c r="F103" s="35">
        <v>31.05</v>
      </c>
      <c r="G103" s="35">
        <v>28.25</v>
      </c>
      <c r="H103" s="35">
        <v>29.35</v>
      </c>
      <c r="I103" s="35">
        <v>31.75</v>
      </c>
      <c r="J103" s="35">
        <v>46.5</v>
      </c>
      <c r="K103" s="35">
        <v>54.5</v>
      </c>
      <c r="L103" s="35">
        <v>43.5</v>
      </c>
      <c r="M103" s="35">
        <v>35.5</v>
      </c>
      <c r="N103" s="35">
        <v>38</v>
      </c>
      <c r="O103" s="35">
        <v>40.5</v>
      </c>
      <c r="P103" s="35">
        <v>42.25</v>
      </c>
      <c r="Q103" s="35">
        <v>39.75</v>
      </c>
      <c r="R103" s="35">
        <v>36.25</v>
      </c>
      <c r="S103" s="35">
        <v>34.35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287</v>
      </c>
      <c r="C104" s="35">
        <v>31.2</v>
      </c>
      <c r="D104" s="35">
        <v>33.1</v>
      </c>
      <c r="E104" s="35">
        <v>30.45</v>
      </c>
      <c r="F104" s="35">
        <v>30.55</v>
      </c>
      <c r="G104" s="35">
        <v>28.25</v>
      </c>
      <c r="H104" s="35">
        <v>29.35</v>
      </c>
      <c r="I104" s="35">
        <v>31.75</v>
      </c>
      <c r="J104" s="35">
        <v>46.5</v>
      </c>
      <c r="K104" s="35">
        <v>54</v>
      </c>
      <c r="L104" s="35">
        <v>43.5</v>
      </c>
      <c r="M104" s="35">
        <v>35.4</v>
      </c>
      <c r="N104" s="35">
        <v>37.9</v>
      </c>
      <c r="O104" s="35">
        <v>40.4</v>
      </c>
      <c r="P104" s="35">
        <v>42</v>
      </c>
      <c r="Q104" s="35">
        <v>39.5</v>
      </c>
      <c r="R104" s="35">
        <v>36</v>
      </c>
      <c r="S104" s="35">
        <v>34.1</v>
      </c>
      <c r="T104" s="35">
        <v>32.25</v>
      </c>
      <c r="U104" s="35">
        <v>36</v>
      </c>
      <c r="V104" s="35">
        <v>52</v>
      </c>
      <c r="W104" s="35">
        <v>56</v>
      </c>
      <c r="X104" s="35">
        <v>49</v>
      </c>
      <c r="Y104" s="35">
        <v>38.75</v>
      </c>
      <c r="Z104" s="35">
        <v>41.75</v>
      </c>
      <c r="AA104" s="35"/>
    </row>
    <row r="105" spans="1:27" ht="11.25" customHeight="1" x14ac:dyDescent="0.2">
      <c r="A105" s="149" t="s">
        <v>288</v>
      </c>
      <c r="C105" s="15">
        <v>0.5</v>
      </c>
      <c r="D105" s="15">
        <v>0.64999999999999858</v>
      </c>
      <c r="E105" s="15">
        <v>2</v>
      </c>
      <c r="F105" s="15">
        <v>0.5</v>
      </c>
      <c r="G105" s="15">
        <v>0</v>
      </c>
      <c r="H105" s="15">
        <v>0</v>
      </c>
      <c r="I105" s="15">
        <v>0</v>
      </c>
      <c r="J105" s="15">
        <v>0</v>
      </c>
      <c r="K105" s="15">
        <v>0.5</v>
      </c>
      <c r="L105" s="15">
        <v>0</v>
      </c>
      <c r="M105" s="15">
        <v>0.10000000000000142</v>
      </c>
      <c r="N105" s="15">
        <v>0.10000000000000142</v>
      </c>
      <c r="O105" s="15">
        <v>0.10000000000000142</v>
      </c>
      <c r="P105" s="15">
        <v>0.25</v>
      </c>
      <c r="Q105" s="15">
        <v>0.25</v>
      </c>
      <c r="R105" s="15">
        <v>0.25</v>
      </c>
      <c r="S105" s="15">
        <v>0.25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35"/>
    </row>
    <row r="107" spans="1:27" ht="11.25" customHeight="1" x14ac:dyDescent="0.2">
      <c r="A107" s="149" t="s">
        <v>289</v>
      </c>
      <c r="C107" s="35">
        <v>25</v>
      </c>
      <c r="D107" s="35">
        <v>27.5</v>
      </c>
      <c r="E107" s="35">
        <v>26.75</v>
      </c>
      <c r="F107" s="35">
        <v>24.15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290</v>
      </c>
      <c r="C108" s="35">
        <v>24.75</v>
      </c>
      <c r="D108" s="35">
        <v>27.5</v>
      </c>
      <c r="E108" s="35">
        <v>26.5</v>
      </c>
      <c r="F108" s="35">
        <v>24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291</v>
      </c>
      <c r="C109" s="15">
        <v>0.25</v>
      </c>
      <c r="D109" s="15">
        <v>0</v>
      </c>
      <c r="E109" s="15">
        <v>0.25</v>
      </c>
      <c r="F109" s="15">
        <v>0.14999999999999858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227</v>
      </c>
      <c r="D118" s="34" t="s">
        <v>231</v>
      </c>
      <c r="E118" s="34" t="s">
        <v>232</v>
      </c>
      <c r="F118" s="34" t="s">
        <v>233</v>
      </c>
      <c r="G118" s="34" t="s">
        <v>234</v>
      </c>
      <c r="H118" s="34" t="s">
        <v>235</v>
      </c>
      <c r="I118" s="34" t="s">
        <v>236</v>
      </c>
      <c r="J118" s="34" t="s">
        <v>237</v>
      </c>
      <c r="K118" s="34" t="s">
        <v>238</v>
      </c>
      <c r="L118" s="34" t="s">
        <v>239</v>
      </c>
      <c r="M118" s="34" t="s">
        <v>240</v>
      </c>
      <c r="N118" s="34" t="s">
        <v>241</v>
      </c>
      <c r="O118" s="34" t="s">
        <v>242</v>
      </c>
      <c r="P118" s="34" t="s">
        <v>243</v>
      </c>
      <c r="Q118" s="34" t="s">
        <v>244</v>
      </c>
      <c r="R118" s="34" t="s">
        <v>245</v>
      </c>
      <c r="S118" s="34" t="s">
        <v>246</v>
      </c>
      <c r="T118" s="34" t="s">
        <v>247</v>
      </c>
      <c r="U118" s="34" t="s">
        <v>248</v>
      </c>
      <c r="V118" s="34" t="s">
        <v>249</v>
      </c>
      <c r="W118" s="34" t="s">
        <v>250</v>
      </c>
      <c r="X118" s="34" t="s">
        <v>251</v>
      </c>
      <c r="Y118" s="34" t="s">
        <v>252</v>
      </c>
      <c r="Z118" s="34" t="s">
        <v>253</v>
      </c>
      <c r="AA118" s="34" t="s">
        <v>74</v>
      </c>
    </row>
    <row r="119" spans="1:27" ht="11.25" customHeight="1" x14ac:dyDescent="0.2">
      <c r="A119" s="149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267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276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285</v>
      </c>
    </row>
    <row r="131" spans="1:27" ht="11.25" customHeight="1" x14ac:dyDescent="0.2">
      <c r="A131" s="149" t="s">
        <v>286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287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288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289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290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291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294</v>
      </c>
      <c r="C146" s="34" t="s">
        <v>227</v>
      </c>
      <c r="D146" s="34" t="s">
        <v>231</v>
      </c>
      <c r="E146" s="34" t="s">
        <v>232</v>
      </c>
      <c r="F146" s="34" t="s">
        <v>233</v>
      </c>
      <c r="G146" s="34" t="s">
        <v>234</v>
      </c>
      <c r="H146" s="34" t="s">
        <v>235</v>
      </c>
      <c r="I146" s="34" t="s">
        <v>236</v>
      </c>
      <c r="J146" s="34" t="s">
        <v>237</v>
      </c>
      <c r="K146" s="34" t="s">
        <v>238</v>
      </c>
      <c r="L146" s="34" t="s">
        <v>239</v>
      </c>
      <c r="M146" s="34" t="s">
        <v>240</v>
      </c>
      <c r="N146" s="34" t="s">
        <v>241</v>
      </c>
      <c r="O146" s="34" t="s">
        <v>242</v>
      </c>
      <c r="P146" s="34" t="s">
        <v>243</v>
      </c>
      <c r="Q146" s="34" t="s">
        <v>244</v>
      </c>
      <c r="R146" s="34" t="s">
        <v>245</v>
      </c>
      <c r="S146" s="34" t="s">
        <v>246</v>
      </c>
      <c r="T146" s="34" t="s">
        <v>247</v>
      </c>
      <c r="U146" s="34" t="s">
        <v>248</v>
      </c>
      <c r="V146" s="34" t="s">
        <v>249</v>
      </c>
      <c r="W146" s="34" t="s">
        <v>250</v>
      </c>
      <c r="X146" s="34" t="s">
        <v>251</v>
      </c>
      <c r="Y146" s="34" t="s">
        <v>252</v>
      </c>
      <c r="Z146" s="34" t="s">
        <v>253</v>
      </c>
      <c r="AA146" s="34" t="s">
        <v>74</v>
      </c>
    </row>
    <row r="147" spans="1:27" ht="11.25" customHeight="1" x14ac:dyDescent="0.2">
      <c r="A147" s="149" t="s">
        <v>279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280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267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281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282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283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284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276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285</v>
      </c>
    </row>
    <row r="159" spans="1:27" ht="11.25" customHeight="1" x14ac:dyDescent="0.2">
      <c r="A159" s="149" t="s">
        <v>286</v>
      </c>
      <c r="C159" s="35">
        <v>31.23</v>
      </c>
      <c r="D159" s="35">
        <v>33.119999999999997</v>
      </c>
      <c r="E159" s="35">
        <v>32.1</v>
      </c>
      <c r="F159" s="35">
        <v>30.57</v>
      </c>
      <c r="G159" s="35">
        <v>27.51</v>
      </c>
      <c r="H159" s="35">
        <v>27.51</v>
      </c>
      <c r="I159" s="35">
        <v>28.28</v>
      </c>
      <c r="J159" s="35">
        <v>42.8</v>
      </c>
      <c r="K159" s="35">
        <v>51.46</v>
      </c>
      <c r="L159" s="35">
        <v>41.78</v>
      </c>
      <c r="M159" s="35">
        <v>35.159999999999997</v>
      </c>
      <c r="N159" s="35">
        <v>37.700000000000003</v>
      </c>
      <c r="O159" s="35">
        <v>40.25</v>
      </c>
      <c r="P159" s="35">
        <v>42.03</v>
      </c>
      <c r="Q159" s="35">
        <v>38.979999999999997</v>
      </c>
      <c r="R159" s="35">
        <v>34.9</v>
      </c>
      <c r="S159" s="35">
        <v>32.86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287</v>
      </c>
      <c r="C160" s="35">
        <v>30.82</v>
      </c>
      <c r="D160" s="35">
        <v>32.46</v>
      </c>
      <c r="E160" s="35">
        <v>30.06</v>
      </c>
      <c r="F160" s="35">
        <v>30.06</v>
      </c>
      <c r="G160" s="35">
        <v>27.51</v>
      </c>
      <c r="H160" s="35">
        <v>27.51</v>
      </c>
      <c r="I160" s="35">
        <v>28.28</v>
      </c>
      <c r="J160" s="35">
        <v>42.8</v>
      </c>
      <c r="K160" s="35">
        <v>51.46</v>
      </c>
      <c r="L160" s="35">
        <v>41.78</v>
      </c>
      <c r="M160" s="35">
        <v>35.159999999999997</v>
      </c>
      <c r="N160" s="35">
        <v>37.700000000000003</v>
      </c>
      <c r="O160" s="35">
        <v>40.25</v>
      </c>
      <c r="P160" s="35">
        <v>41.78</v>
      </c>
      <c r="Q160" s="35">
        <v>38.72</v>
      </c>
      <c r="R160" s="35">
        <v>34.65</v>
      </c>
      <c r="S160" s="35">
        <v>32.61</v>
      </c>
      <c r="T160" s="35">
        <v>29.55</v>
      </c>
      <c r="U160" s="35">
        <v>31.59</v>
      </c>
      <c r="V160" s="35">
        <v>47.89</v>
      </c>
      <c r="W160" s="35">
        <v>52.99</v>
      </c>
      <c r="X160" s="35">
        <v>46.87</v>
      </c>
      <c r="Y160" s="35">
        <v>38.21</v>
      </c>
      <c r="Z160" s="35">
        <v>41.27</v>
      </c>
      <c r="AA160" s="35"/>
    </row>
    <row r="161" spans="1:27" ht="11.25" customHeight="1" x14ac:dyDescent="0.2">
      <c r="A161" s="149" t="s">
        <v>288</v>
      </c>
      <c r="C161" s="15">
        <v>0.41</v>
      </c>
      <c r="D161" s="15">
        <v>0.65999999999999659</v>
      </c>
      <c r="E161" s="15">
        <v>2.04</v>
      </c>
      <c r="F161" s="15">
        <v>0.51000000000000156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0.25</v>
      </c>
      <c r="Q161" s="15">
        <v>0.25999999999999801</v>
      </c>
      <c r="R161" s="15">
        <v>0.25</v>
      </c>
      <c r="S161" s="15">
        <v>0.25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35"/>
    </row>
    <row r="163" spans="1:27" ht="11.25" customHeight="1" x14ac:dyDescent="0.2">
      <c r="A163" s="149" t="s">
        <v>289</v>
      </c>
      <c r="C163" s="35">
        <v>25.48</v>
      </c>
      <c r="D163" s="35">
        <v>28.02</v>
      </c>
      <c r="E163" s="35">
        <v>27.26</v>
      </c>
      <c r="F163" s="35">
        <v>24.61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290</v>
      </c>
      <c r="C164" s="35">
        <v>25.22</v>
      </c>
      <c r="D164" s="35">
        <v>28.02</v>
      </c>
      <c r="E164" s="35">
        <v>27</v>
      </c>
      <c r="F164" s="35">
        <v>24.46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291</v>
      </c>
      <c r="C165" s="15">
        <v>0.26000000000000156</v>
      </c>
      <c r="D165" s="15">
        <v>0</v>
      </c>
      <c r="E165" s="15">
        <v>0.26000000000000156</v>
      </c>
      <c r="F165" s="15">
        <v>0.14999999999999858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227</v>
      </c>
      <c r="D174" s="34" t="s">
        <v>231</v>
      </c>
      <c r="E174" s="34" t="s">
        <v>232</v>
      </c>
      <c r="F174" s="34" t="s">
        <v>233</v>
      </c>
      <c r="G174" s="34" t="s">
        <v>234</v>
      </c>
      <c r="H174" s="34" t="s">
        <v>235</v>
      </c>
      <c r="I174" s="34" t="s">
        <v>236</v>
      </c>
      <c r="J174" s="34" t="s">
        <v>237</v>
      </c>
      <c r="K174" s="34" t="s">
        <v>238</v>
      </c>
      <c r="L174" s="34" t="s">
        <v>239</v>
      </c>
      <c r="M174" s="34" t="s">
        <v>240</v>
      </c>
      <c r="N174" s="34" t="s">
        <v>241</v>
      </c>
      <c r="O174" s="34" t="s">
        <v>242</v>
      </c>
      <c r="P174" s="34" t="s">
        <v>243</v>
      </c>
      <c r="Q174" s="34" t="s">
        <v>244</v>
      </c>
      <c r="R174" s="34" t="s">
        <v>245</v>
      </c>
      <c r="S174" s="34" t="s">
        <v>246</v>
      </c>
      <c r="T174" s="34" t="s">
        <v>247</v>
      </c>
      <c r="U174" s="34" t="s">
        <v>248</v>
      </c>
      <c r="V174" s="34" t="s">
        <v>249</v>
      </c>
      <c r="W174" s="34" t="s">
        <v>250</v>
      </c>
      <c r="X174" s="34" t="s">
        <v>251</v>
      </c>
      <c r="Y174" s="34" t="s">
        <v>252</v>
      </c>
      <c r="Z174" s="34" t="s">
        <v>253</v>
      </c>
      <c r="AA174" s="34" t="s">
        <v>74</v>
      </c>
    </row>
    <row r="175" spans="1:27" ht="11.25" customHeight="1" x14ac:dyDescent="0.2">
      <c r="A175" s="149" t="s">
        <v>279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267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281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283</v>
      </c>
      <c r="C182" s="35">
        <v>-3837011</v>
      </c>
      <c r="D182" s="35">
        <v>178835</v>
      </c>
      <c r="E182" s="35">
        <v>157879</v>
      </c>
      <c r="F182" s="35">
        <v>170562</v>
      </c>
      <c r="G182" s="35">
        <v>188987</v>
      </c>
      <c r="H182" s="35">
        <v>188382</v>
      </c>
      <c r="I182" s="35">
        <v>180542</v>
      </c>
      <c r="J182" s="35">
        <v>-186147</v>
      </c>
      <c r="K182" s="35">
        <v>-192663</v>
      </c>
      <c r="L182" s="35">
        <v>-170682</v>
      </c>
      <c r="M182" s="35">
        <v>192410</v>
      </c>
      <c r="N182" s="35">
        <v>177526</v>
      </c>
      <c r="O182" s="35">
        <v>176750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-2774630</v>
      </c>
    </row>
    <row r="183" spans="1:27" ht="11.25" customHeight="1" thickBot="1" x14ac:dyDescent="0.25">
      <c r="A183" s="149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276</v>
      </c>
      <c r="B184" s="13"/>
      <c r="C184" s="13">
        <v>-3837011</v>
      </c>
      <c r="D184" s="13">
        <v>178835</v>
      </c>
      <c r="E184" s="13">
        <v>157879</v>
      </c>
      <c r="F184" s="13">
        <v>170562</v>
      </c>
      <c r="G184" s="13">
        <v>188987</v>
      </c>
      <c r="H184" s="13">
        <v>188382</v>
      </c>
      <c r="I184" s="13">
        <v>180542</v>
      </c>
      <c r="J184" s="13">
        <v>-186147</v>
      </c>
      <c r="K184" s="13">
        <v>-192663</v>
      </c>
      <c r="L184" s="13">
        <v>-170682</v>
      </c>
      <c r="M184" s="13">
        <v>192410</v>
      </c>
      <c r="N184" s="13">
        <v>177526</v>
      </c>
      <c r="O184" s="13">
        <v>176750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-2774630</v>
      </c>
    </row>
    <row r="186" spans="1:27" ht="12" customHeight="1" x14ac:dyDescent="0.2">
      <c r="A186" s="151" t="s">
        <v>285</v>
      </c>
    </row>
    <row r="187" spans="1:27" ht="11.25" customHeight="1" x14ac:dyDescent="0.2">
      <c r="A187" s="149" t="s">
        <v>286</v>
      </c>
      <c r="C187" s="35">
        <v>27.3</v>
      </c>
      <c r="D187" s="35">
        <v>30.35</v>
      </c>
      <c r="E187" s="35">
        <v>30</v>
      </c>
      <c r="F187" s="35">
        <v>30</v>
      </c>
      <c r="G187" s="35">
        <v>30.25</v>
      </c>
      <c r="H187" s="35">
        <v>33.15</v>
      </c>
      <c r="I187" s="35">
        <v>40.75</v>
      </c>
      <c r="J187" s="35">
        <v>53.75</v>
      </c>
      <c r="K187" s="35">
        <v>62.5</v>
      </c>
      <c r="L187" s="35">
        <v>48.75</v>
      </c>
      <c r="M187" s="35">
        <v>36</v>
      </c>
      <c r="N187" s="35">
        <v>34</v>
      </c>
      <c r="O187" s="35">
        <v>37.5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287</v>
      </c>
      <c r="C188" s="35">
        <v>27</v>
      </c>
      <c r="D188" s="35">
        <v>29.95</v>
      </c>
      <c r="E188" s="35">
        <v>29.1</v>
      </c>
      <c r="F188" s="35">
        <v>29</v>
      </c>
      <c r="G188" s="35">
        <v>30</v>
      </c>
      <c r="H188" s="35">
        <v>32.85</v>
      </c>
      <c r="I188" s="35">
        <v>40.75</v>
      </c>
      <c r="J188" s="35">
        <v>53.25</v>
      </c>
      <c r="K188" s="35">
        <v>62</v>
      </c>
      <c r="L188" s="35">
        <v>48.25</v>
      </c>
      <c r="M188" s="35">
        <v>35.5</v>
      </c>
      <c r="N188" s="35">
        <v>33.5</v>
      </c>
      <c r="O188" s="35">
        <v>37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288</v>
      </c>
      <c r="C189" s="15">
        <v>0.30000000000000071</v>
      </c>
      <c r="D189" s="15">
        <v>0.40000000000000213</v>
      </c>
      <c r="E189" s="15">
        <v>0.89999999999999858</v>
      </c>
      <c r="F189" s="15">
        <v>1</v>
      </c>
      <c r="G189" s="15">
        <v>0.25</v>
      </c>
      <c r="H189" s="15">
        <v>0.29999999999999716</v>
      </c>
      <c r="I189" s="15">
        <v>0</v>
      </c>
      <c r="J189" s="15">
        <v>0.5</v>
      </c>
      <c r="K189" s="15">
        <v>0.5</v>
      </c>
      <c r="L189" s="15">
        <v>0.5</v>
      </c>
      <c r="M189" s="15">
        <v>0.5</v>
      </c>
      <c r="N189" s="15">
        <v>0.5</v>
      </c>
      <c r="O189" s="15">
        <v>0.5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289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290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291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295</v>
      </c>
      <c r="C202" s="34" t="s">
        <v>227</v>
      </c>
      <c r="D202" s="34" t="s">
        <v>231</v>
      </c>
      <c r="E202" s="34" t="s">
        <v>232</v>
      </c>
      <c r="F202" s="34" t="s">
        <v>233</v>
      </c>
      <c r="G202" s="34" t="s">
        <v>234</v>
      </c>
      <c r="H202" s="34" t="s">
        <v>235</v>
      </c>
      <c r="I202" s="34" t="s">
        <v>236</v>
      </c>
      <c r="J202" s="34" t="s">
        <v>237</v>
      </c>
      <c r="K202" s="34" t="s">
        <v>238</v>
      </c>
      <c r="L202" s="34" t="s">
        <v>239</v>
      </c>
      <c r="M202" s="34" t="s">
        <v>240</v>
      </c>
      <c r="N202" s="34" t="s">
        <v>241</v>
      </c>
      <c r="O202" s="34" t="s">
        <v>242</v>
      </c>
      <c r="P202" s="34" t="s">
        <v>243</v>
      </c>
      <c r="Q202" s="34" t="s">
        <v>244</v>
      </c>
      <c r="R202" s="34" t="s">
        <v>245</v>
      </c>
      <c r="S202" s="34" t="s">
        <v>246</v>
      </c>
      <c r="T202" s="34" t="s">
        <v>247</v>
      </c>
      <c r="U202" s="34" t="s">
        <v>248</v>
      </c>
      <c r="V202" s="34" t="s">
        <v>249</v>
      </c>
      <c r="W202" s="34" t="s">
        <v>250</v>
      </c>
      <c r="X202" s="34" t="s">
        <v>251</v>
      </c>
      <c r="Y202" s="34" t="s">
        <v>252</v>
      </c>
      <c r="Z202" s="34" t="s">
        <v>253</v>
      </c>
      <c r="AA202" s="34" t="s">
        <v>74</v>
      </c>
    </row>
    <row r="203" spans="1:27" ht="11.25" customHeight="1" x14ac:dyDescent="0.2">
      <c r="A203" s="149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267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276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285</v>
      </c>
    </row>
    <row r="215" spans="1:27" ht="11.25" customHeight="1" x14ac:dyDescent="0.2">
      <c r="A215" s="149" t="s">
        <v>286</v>
      </c>
      <c r="C215" s="35">
        <v>32.6</v>
      </c>
      <c r="D215" s="35">
        <v>34.49</v>
      </c>
      <c r="E215" s="35">
        <v>33.47</v>
      </c>
      <c r="F215" s="35">
        <v>31.94</v>
      </c>
      <c r="G215" s="35">
        <v>28.88</v>
      </c>
      <c r="H215" s="35">
        <v>28.88</v>
      </c>
      <c r="I215" s="35">
        <v>29.65</v>
      </c>
      <c r="J215" s="35">
        <v>44.17</v>
      </c>
      <c r="K215" s="35">
        <v>52.83</v>
      </c>
      <c r="L215" s="35">
        <v>43.15</v>
      </c>
      <c r="M215" s="35">
        <v>36.53</v>
      </c>
      <c r="N215" s="35">
        <v>39.07</v>
      </c>
      <c r="O215" s="35">
        <v>41.62</v>
      </c>
      <c r="P215" s="35">
        <v>43.4</v>
      </c>
      <c r="Q215" s="35">
        <v>41.35</v>
      </c>
      <c r="R215" s="35">
        <v>37.270000000000003</v>
      </c>
      <c r="S215" s="35">
        <v>35.229999999999997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287</v>
      </c>
      <c r="C216" s="35">
        <v>32.19</v>
      </c>
      <c r="D216" s="35">
        <v>33.83</v>
      </c>
      <c r="E216" s="35">
        <v>31.43</v>
      </c>
      <c r="F216" s="35">
        <v>31.43</v>
      </c>
      <c r="G216" s="35">
        <v>28.88</v>
      </c>
      <c r="H216" s="35">
        <v>28.88</v>
      </c>
      <c r="I216" s="35">
        <v>29.65</v>
      </c>
      <c r="J216" s="35">
        <v>44.17</v>
      </c>
      <c r="K216" s="35">
        <v>52.83</v>
      </c>
      <c r="L216" s="35">
        <v>43.15</v>
      </c>
      <c r="M216" s="35">
        <v>36.53</v>
      </c>
      <c r="N216" s="35">
        <v>39.07</v>
      </c>
      <c r="O216" s="35">
        <v>41.62</v>
      </c>
      <c r="P216" s="35">
        <v>43.15</v>
      </c>
      <c r="Q216" s="35">
        <v>41.09</v>
      </c>
      <c r="R216" s="35">
        <v>37.020000000000003</v>
      </c>
      <c r="S216" s="35">
        <v>34.979999999999997</v>
      </c>
      <c r="T216" s="35">
        <v>32.92</v>
      </c>
      <c r="U216" s="35">
        <v>34.96</v>
      </c>
      <c r="V216" s="35">
        <v>51.26</v>
      </c>
      <c r="W216" s="35">
        <v>56.36</v>
      </c>
      <c r="X216" s="35">
        <v>50.24</v>
      </c>
      <c r="Y216" s="35">
        <v>41.58</v>
      </c>
      <c r="Z216" s="35">
        <v>44.64</v>
      </c>
      <c r="AA216" s="35"/>
    </row>
    <row r="217" spans="1:27" ht="11.25" customHeight="1" x14ac:dyDescent="0.2">
      <c r="A217" s="149" t="s">
        <v>288</v>
      </c>
      <c r="C217" s="15">
        <v>0.41000000000000369</v>
      </c>
      <c r="D217" s="15">
        <v>0.66000000000000369</v>
      </c>
      <c r="E217" s="15">
        <v>2.04</v>
      </c>
      <c r="F217" s="15">
        <v>0.51000000000000156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0.25</v>
      </c>
      <c r="Q217" s="15">
        <v>0.25999999999999801</v>
      </c>
      <c r="R217" s="15">
        <v>0.25</v>
      </c>
      <c r="S217" s="15">
        <v>0.25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35"/>
    </row>
    <row r="219" spans="1:27" ht="11.25" customHeight="1" x14ac:dyDescent="0.2">
      <c r="A219" s="149" t="s">
        <v>289</v>
      </c>
      <c r="C219" s="35">
        <v>26.85</v>
      </c>
      <c r="D219" s="35">
        <v>29.39</v>
      </c>
      <c r="E219" s="35">
        <v>28.63</v>
      </c>
      <c r="F219" s="35">
        <v>25.98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290</v>
      </c>
      <c r="C220" s="35">
        <v>26.59</v>
      </c>
      <c r="D220" s="35">
        <v>29.39</v>
      </c>
      <c r="E220" s="35">
        <v>28.37</v>
      </c>
      <c r="F220" s="35">
        <v>25.83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291</v>
      </c>
      <c r="C221" s="15">
        <v>0.26000000000000156</v>
      </c>
      <c r="D221" s="15">
        <v>0</v>
      </c>
      <c r="E221" s="15">
        <v>0.25999999999999801</v>
      </c>
      <c r="F221" s="15">
        <v>0.15000000000000213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>
      <selection activeCell="I9" sqref="I9"/>
    </sheetView>
  </sheetViews>
  <sheetFormatPr defaultRowHeight="10.5" x14ac:dyDescent="0.15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75" x14ac:dyDescent="0.2">
      <c r="A1" s="83" t="s">
        <v>11</v>
      </c>
    </row>
    <row r="2" spans="1:11" ht="12.75" x14ac:dyDescent="0.2">
      <c r="A2" s="83" t="s">
        <v>12</v>
      </c>
      <c r="F2" s="96"/>
    </row>
    <row r="3" spans="1:11" ht="12.75" x14ac:dyDescent="0.2">
      <c r="A3" s="83" t="str">
        <f>'POWER SUM'!A3</f>
        <v>As of November 20, 2001</v>
      </c>
    </row>
    <row r="4" spans="1:11" ht="12.75" x14ac:dyDescent="0.2">
      <c r="A4" s="83" t="s">
        <v>13</v>
      </c>
      <c r="F4" s="96"/>
      <c r="I4" s="96"/>
    </row>
    <row r="5" spans="1:11" x14ac:dyDescent="0.15">
      <c r="I5" s="96"/>
    </row>
    <row r="6" spans="1:11" ht="12.75" x14ac:dyDescent="0.2">
      <c r="A6" s="83" t="s">
        <v>14</v>
      </c>
    </row>
    <row r="7" spans="1:11" x14ac:dyDescent="0.15">
      <c r="A7" s="84" t="s">
        <v>212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15">
      <c r="A8" s="84" t="s">
        <v>213</v>
      </c>
      <c r="D8" s="85">
        <f>SUM(M18)</f>
        <v>-3921102</v>
      </c>
      <c r="F8" s="84" t="s">
        <v>68</v>
      </c>
      <c r="G8" s="98"/>
      <c r="I8" s="130">
        <f>'POWER SUM'!C23</f>
        <v>65780</v>
      </c>
      <c r="J8" s="58">
        <v>3000000</v>
      </c>
      <c r="K8" s="59">
        <f>IF(I8&gt;J8,I8-J8,0)</f>
        <v>0</v>
      </c>
    </row>
    <row r="9" spans="1:11" x14ac:dyDescent="0.15">
      <c r="A9" s="84" t="s">
        <v>15</v>
      </c>
      <c r="B9" s="86"/>
      <c r="C9" s="85">
        <f>C26</f>
        <v>-900522</v>
      </c>
      <c r="F9" s="84" t="s">
        <v>64</v>
      </c>
      <c r="I9" s="200">
        <f>O62</f>
        <v>-15635</v>
      </c>
      <c r="J9" s="85">
        <v>-3000000</v>
      </c>
      <c r="K9" s="56">
        <f>IF(I9&lt;J9,I9-J9,0)</f>
        <v>0</v>
      </c>
    </row>
    <row r="10" spans="1:11" x14ac:dyDescent="0.15">
      <c r="A10" s="84" t="s">
        <v>16</v>
      </c>
      <c r="B10" s="87"/>
      <c r="C10" s="115">
        <v>-16056742</v>
      </c>
      <c r="F10" s="84" t="s">
        <v>65</v>
      </c>
      <c r="I10" s="85">
        <f>'5-DAY'!C2</f>
        <v>330061.59999999998</v>
      </c>
      <c r="J10" s="85">
        <v>-6750000</v>
      </c>
      <c r="K10" s="56">
        <f>IF(I10&lt;J10,I10-J10,0)</f>
        <v>0</v>
      </c>
    </row>
    <row r="11" spans="1:11" x14ac:dyDescent="0.15">
      <c r="A11" s="84" t="s">
        <v>67</v>
      </c>
      <c r="B11" s="87"/>
      <c r="C11" s="88"/>
      <c r="D11" s="85">
        <f>SUM(C9:C10)</f>
        <v>-16957264</v>
      </c>
      <c r="F11" s="84" t="s">
        <v>72</v>
      </c>
      <c r="I11" s="95">
        <f>MWH!AA21+MWH!AA23</f>
        <v>-61600</v>
      </c>
      <c r="J11" s="117">
        <v>1500000</v>
      </c>
      <c r="K11" s="57">
        <f>IF(ABS(I11)&gt;J11,ABS(I11)-J11,0)</f>
        <v>0</v>
      </c>
    </row>
    <row r="12" spans="1:11" x14ac:dyDescent="0.15">
      <c r="A12" s="63" t="s">
        <v>17</v>
      </c>
      <c r="B12" s="64"/>
      <c r="C12" s="64"/>
      <c r="D12" s="65">
        <f>SUM(D7:D11)</f>
        <v>-13448567.597999997</v>
      </c>
      <c r="F12" s="84" t="s">
        <v>127</v>
      </c>
      <c r="I12" s="95">
        <f>'Gap Risk'!B15</f>
        <v>-61600</v>
      </c>
      <c r="J12" s="117">
        <v>1500000</v>
      </c>
      <c r="K12" s="57">
        <f>IF(ABS(I12)&gt;J12,ABS(I12)-J12,0)</f>
        <v>0</v>
      </c>
    </row>
    <row r="13" spans="1:11" x14ac:dyDescent="0.15">
      <c r="E13" s="273"/>
    </row>
    <row r="14" spans="1:11" x14ac:dyDescent="0.15">
      <c r="D14" s="85"/>
      <c r="E14" s="85"/>
      <c r="F14" s="85"/>
    </row>
    <row r="15" spans="1:11" x14ac:dyDescent="0.15">
      <c r="D15" s="85"/>
    </row>
    <row r="17" spans="1:37" s="92" customFormat="1" ht="12.75" x14ac:dyDescent="0.2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15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15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2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15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15">
      <c r="J21" s="147"/>
      <c r="AF21" s="95"/>
      <c r="AG21" s="95"/>
      <c r="AH21" s="95"/>
      <c r="AI21" s="95"/>
      <c r="AJ21" s="95"/>
      <c r="AK21" s="95"/>
    </row>
    <row r="22" spans="1:37" ht="12.75" x14ac:dyDescent="0.2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15">
      <c r="A23" s="84" t="s">
        <v>21</v>
      </c>
      <c r="C23" s="85">
        <f>(O39+O57)</f>
        <v>-1221287</v>
      </c>
      <c r="E23" s="96" t="s">
        <v>197</v>
      </c>
      <c r="AF23" s="95"/>
      <c r="AG23" s="95"/>
      <c r="AH23" s="95"/>
      <c r="AI23" s="95"/>
      <c r="AJ23" s="95"/>
      <c r="AK23" s="95"/>
    </row>
    <row r="24" spans="1:37" ht="11.25" thickBot="1" x14ac:dyDescent="0.2">
      <c r="A24" s="84" t="s">
        <v>22</v>
      </c>
      <c r="C24" s="85">
        <f>O40+O58</f>
        <v>320765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1.25" thickTop="1" x14ac:dyDescent="0.15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15">
      <c r="A26" s="89" t="s">
        <v>15</v>
      </c>
      <c r="B26" s="90"/>
      <c r="C26" s="91">
        <f>SUM(C23:C25)</f>
        <v>-900522</v>
      </c>
      <c r="AF26" s="95"/>
      <c r="AG26" s="95"/>
      <c r="AH26" s="95"/>
      <c r="AI26" s="95"/>
      <c r="AJ26" s="95"/>
      <c r="AK26" s="95"/>
    </row>
    <row r="27" spans="1:37" x14ac:dyDescent="0.15">
      <c r="AF27" s="95"/>
      <c r="AG27" s="95"/>
      <c r="AH27" s="95"/>
      <c r="AI27" s="95"/>
      <c r="AJ27" s="95"/>
      <c r="AK27" s="95"/>
    </row>
    <row r="28" spans="1:37" x14ac:dyDescent="0.15">
      <c r="AF28" s="95"/>
      <c r="AG28" s="95"/>
      <c r="AH28" s="95"/>
      <c r="AI28" s="95"/>
      <c r="AJ28" s="95"/>
      <c r="AK28" s="95"/>
    </row>
    <row r="29" spans="1:37" x14ac:dyDescent="0.15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15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0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15">
      <c r="A32" s="66" t="s">
        <v>66</v>
      </c>
      <c r="C32" s="61">
        <f>ROUND(('SPEC DETAILS'!C11+'SPEC DETAILS'!C39+'SPEC DETAILS'!C67+'SPEC DETAILS'!C95+'SPEC DETAILS'!C123+'SPEC DETAILS'!C151+'SPEC DETAILS'!C179),0)</f>
        <v>13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15">
      <c r="A33" s="84" t="s">
        <v>1</v>
      </c>
      <c r="C33" s="60">
        <f t="shared" ref="C33:N33" si="0">C31-C32</f>
        <v>-13</v>
      </c>
      <c r="D33" s="60">
        <f t="shared" si="0"/>
        <v>0</v>
      </c>
      <c r="E33" s="60">
        <f t="shared" si="0"/>
        <v>0</v>
      </c>
      <c r="F33" s="60">
        <f t="shared" si="0"/>
        <v>0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15">
      <c r="N34" s="95"/>
    </row>
    <row r="35" spans="1:37" s="100" customFormat="1" x14ac:dyDescent="0.15">
      <c r="A35" s="96" t="s">
        <v>75</v>
      </c>
      <c r="N35" s="95"/>
    </row>
    <row r="36" spans="1:37" s="100" customFormat="1" x14ac:dyDescent="0.15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15">
      <c r="N37" s="95"/>
    </row>
    <row r="38" spans="1:37" x14ac:dyDescent="0.15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15">
      <c r="A39" s="85" t="s">
        <v>26</v>
      </c>
      <c r="C39" s="85">
        <f>'SPEC REPORT DETAILS'!J9+'SPEC REPORT DETAILS'!J22+'SPEC REPORT DETAILS'!J35+'SPEC REPORT DETAILS'!J48+'SPEC REPORT DETAILS'!J56</f>
        <v>-3699939</v>
      </c>
      <c r="D39" s="85">
        <f>'SPEC REPORT DETAILS'!K9+'SPEC REPORT DETAILS'!K22+'SPEC REPORT DETAILS'!K35+'SPEC REPORT DETAILS'!K48+'SPEC REPORT DETAILS'!K56</f>
        <v>178420</v>
      </c>
      <c r="E39" s="85">
        <f>'SPEC REPORT DETAILS'!L9+'SPEC REPORT DETAILS'!L22+'SPEC REPORT DETAILS'!L35+'SPEC REPORT DETAILS'!L48+'SPEC REPORT DETAILS'!L56</f>
        <v>250205</v>
      </c>
      <c r="F39" s="85">
        <f>'SPEC REPORT DETAILS'!M9+'SPEC REPORT DETAILS'!M22+'SPEC REPORT DETAILS'!M35+'SPEC REPORT DETAILS'!M48+'SPEC REPORT DETAILS'!M56</f>
        <v>270306</v>
      </c>
      <c r="G39" s="85">
        <f>'SPEC REPORT DETAILS'!N9+'SPEC REPORT DETAILS'!N22+'SPEC REPORT DETAILS'!N35+'SPEC REPORT DETAILS'!N48+'SPEC REPORT DETAILS'!N56</f>
        <v>70356</v>
      </c>
      <c r="H39" s="85">
        <f>'SPEC REPORT DETAILS'!O9+'SPEC REPORT DETAILS'!O22+'SPEC REPORT DETAILS'!O35+'SPEC REPORT DETAILS'!O48+'SPEC REPORT DETAILS'!O56</f>
        <v>82682</v>
      </c>
      <c r="I39" s="85">
        <f>'SPEC REPORT DETAILS'!P9+'SPEC REPORT DETAILS'!P22+'SPEC REPORT DETAILS'!P35+'SPEC REPORT DETAILS'!P48+'SPEC REPORT DETAILS'!P56</f>
        <v>87428</v>
      </c>
      <c r="J39" s="85">
        <f>'SPEC REPORT DETAILS'!Q9+'SPEC REPORT DETAILS'!Q22+'SPEC REPORT DETAILS'!Q35+'SPEC REPORT DETAILS'!Q48+'SPEC REPORT DETAILS'!Q56</f>
        <v>336245</v>
      </c>
      <c r="K39" s="85">
        <f>'SPEC REPORT DETAILS'!R9+'SPEC REPORT DETAILS'!R22+'SPEC REPORT DETAILS'!R35+'SPEC REPORT DETAILS'!R48+'SPEC REPORT DETAILS'!R56</f>
        <v>348022</v>
      </c>
      <c r="L39" s="85">
        <f>'SPEC REPORT DETAILS'!S9+'SPEC REPORT DETAILS'!S22+'SPEC REPORT DETAILS'!S35+'SPEC REPORT DETAILS'!S48+'SPEC REPORT DETAILS'!S56</f>
        <v>308302</v>
      </c>
      <c r="M39" s="85">
        <f>'SPEC REPORT DETAILS'!T9+'SPEC REPORT DETAILS'!T22+'SPEC REPORT DETAILS'!T35+'SPEC REPORT DETAILS'!T48+'SPEC REPORT DETAILS'!T56</f>
        <v>192410</v>
      </c>
      <c r="N39" s="85">
        <f>'SPEC REPORT DETAILS'!U9+'SPEC REPORT DETAILS'!U22+'SPEC REPORT DETAILS'!U35+'SPEC REPORT DETAILS'!U48+'SPEC REPORT DETAILS'!U56</f>
        <v>177526</v>
      </c>
      <c r="O39" s="102"/>
      <c r="AF39" s="95"/>
      <c r="AG39" s="95"/>
      <c r="AH39" s="95"/>
      <c r="AI39" s="95"/>
      <c r="AJ39" s="95"/>
      <c r="AK39" s="95"/>
    </row>
    <row r="40" spans="1:37" x14ac:dyDescent="0.15">
      <c r="A40" s="85" t="s">
        <v>27</v>
      </c>
      <c r="C40" s="85">
        <f>'SPEC REPORT DETAILS'!J10+'SPEC REPORT DETAILS'!J23+'SPEC REPORT DETAILS'!J36+'SPEC REPORT DETAILS'!J49+'SPEC REPORT DETAILS'!J57</f>
        <v>0</v>
      </c>
      <c r="D40" s="85">
        <f>'SPEC REPORT DETAILS'!K10+'SPEC REPORT DETAILS'!K23+'SPEC REPORT DETAILS'!K36+'SPEC REPORT DETAILS'!K49+'SPEC REPORT DETAILS'!K57</f>
        <v>37797</v>
      </c>
      <c r="E40" s="85">
        <f>'SPEC REPORT DETAILS'!L10+'SPEC REPORT DETAILS'!L23+'SPEC REPORT DETAILS'!L36+'SPEC REPORT DETAILS'!L49+'SPEC REPORT DETAILS'!L57</f>
        <v>44306</v>
      </c>
      <c r="F40" s="85">
        <f>'SPEC REPORT DETAILS'!M10+'SPEC REPORT DETAILS'!M23+'SPEC REPORT DETAILS'!M36+'SPEC REPORT DETAILS'!M49+'SPEC REPORT DETAILS'!M57</f>
        <v>79773</v>
      </c>
      <c r="G40" s="85">
        <f>'SPEC REPORT DETAILS'!N10+'SPEC REPORT DETAILS'!N23+'SPEC REPORT DETAILS'!N36+'SPEC REPORT DETAILS'!N49+'SPEC REPORT DETAILS'!N57</f>
        <v>45861</v>
      </c>
      <c r="H40" s="85">
        <f>'SPEC REPORT DETAILS'!O10+'SPEC REPORT DETAILS'!O23+'SPEC REPORT DETAILS'!O36+'SPEC REPORT DETAILS'!O49+'SPEC REPORT DETAILS'!O57</f>
        <v>56964</v>
      </c>
      <c r="I40" s="85">
        <f>'SPEC REPORT DETAILS'!P10+'SPEC REPORT DETAILS'!P23+'SPEC REPORT DETAILS'!P36+'SPEC REPORT DETAILS'!P49+'SPEC REPORT DETAILS'!P57</f>
        <v>56064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15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15">
      <c r="A42" s="89" t="s">
        <v>28</v>
      </c>
      <c r="B42" s="91"/>
      <c r="C42" s="91">
        <f>SUM(C39:C41)</f>
        <v>-3699939</v>
      </c>
      <c r="D42" s="91">
        <f t="shared" ref="D42:N42" si="1">SUM(D39:D41)</f>
        <v>216217</v>
      </c>
      <c r="E42" s="91">
        <f t="shared" si="1"/>
        <v>294511</v>
      </c>
      <c r="F42" s="91">
        <f t="shared" si="1"/>
        <v>350079</v>
      </c>
      <c r="G42" s="91">
        <f t="shared" si="1"/>
        <v>116217</v>
      </c>
      <c r="H42" s="91">
        <f t="shared" si="1"/>
        <v>139646</v>
      </c>
      <c r="I42" s="91">
        <f t="shared" si="1"/>
        <v>143492</v>
      </c>
      <c r="J42" s="91">
        <f t="shared" si="1"/>
        <v>336245</v>
      </c>
      <c r="K42" s="91">
        <f t="shared" si="1"/>
        <v>348022</v>
      </c>
      <c r="L42" s="91">
        <f t="shared" si="1"/>
        <v>308302</v>
      </c>
      <c r="M42" s="91">
        <f t="shared" si="1"/>
        <v>192410</v>
      </c>
      <c r="N42" s="91">
        <f t="shared" si="1"/>
        <v>177526</v>
      </c>
    </row>
    <row r="43" spans="1:37" s="103" customFormat="1" x14ac:dyDescent="0.15">
      <c r="A43" s="66" t="s">
        <v>0</v>
      </c>
      <c r="C43" s="61">
        <v>-3699856</v>
      </c>
      <c r="D43" s="61">
        <v>221372</v>
      </c>
      <c r="E43" s="61">
        <v>315439</v>
      </c>
      <c r="F43" s="61">
        <v>339751</v>
      </c>
      <c r="G43" s="61">
        <v>116205</v>
      </c>
      <c r="H43" s="61">
        <v>139631</v>
      </c>
      <c r="I43" s="61">
        <v>143479</v>
      </c>
      <c r="J43" s="61">
        <v>336209</v>
      </c>
      <c r="K43" s="61">
        <v>347986</v>
      </c>
      <c r="L43" s="61">
        <v>308269</v>
      </c>
      <c r="M43" s="61">
        <v>192390</v>
      </c>
      <c r="N43" s="61">
        <v>177507</v>
      </c>
    </row>
    <row r="44" spans="1:37" x14ac:dyDescent="0.15">
      <c r="A44" s="84" t="s">
        <v>1</v>
      </c>
      <c r="C44" s="85">
        <f>C42-C43</f>
        <v>-83</v>
      </c>
      <c r="D44" s="85">
        <f>D42-D43</f>
        <v>-5155</v>
      </c>
      <c r="E44" s="85">
        <f t="shared" ref="E44:N44" si="2">E42-E43</f>
        <v>-20928</v>
      </c>
      <c r="F44" s="85">
        <f t="shared" si="2"/>
        <v>10328</v>
      </c>
      <c r="G44" s="85">
        <f t="shared" si="2"/>
        <v>12</v>
      </c>
      <c r="H44" s="85">
        <f t="shared" si="2"/>
        <v>15</v>
      </c>
      <c r="I44" s="85">
        <f t="shared" si="2"/>
        <v>13</v>
      </c>
      <c r="J44" s="85">
        <f t="shared" si="2"/>
        <v>36</v>
      </c>
      <c r="K44" s="85">
        <f t="shared" si="2"/>
        <v>36</v>
      </c>
      <c r="L44" s="85">
        <f t="shared" si="2"/>
        <v>33</v>
      </c>
      <c r="M44" s="85">
        <f t="shared" si="2"/>
        <v>20</v>
      </c>
      <c r="N44" s="85">
        <f t="shared" si="2"/>
        <v>19</v>
      </c>
    </row>
    <row r="45" spans="1:37" x14ac:dyDescent="0.15">
      <c r="E45" s="199"/>
    </row>
    <row r="46" spans="1:37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15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15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15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15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15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15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15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15">
      <c r="A57" s="85" t="s">
        <v>26</v>
      </c>
      <c r="C57" s="85">
        <f>'SPEC REPORT DETAILS'!V9+'SPEC REPORT DETAILS'!V22+'SPEC REPORT DETAILS'!V35+'SPEC REPORT DETAILS'!V48+'SPEC REPORT DETAILS'!V56</f>
        <v>176750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-1221287</v>
      </c>
    </row>
    <row r="58" spans="1:15" x14ac:dyDescent="0.15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320765</v>
      </c>
    </row>
    <row r="59" spans="1:15" x14ac:dyDescent="0.15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15">
      <c r="A60" s="89" t="s">
        <v>28</v>
      </c>
      <c r="B60" s="91"/>
      <c r="C60" s="91">
        <f>SUM(C57:C59)</f>
        <v>176750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-900522</v>
      </c>
    </row>
    <row r="61" spans="1:15" x14ac:dyDescent="0.15">
      <c r="A61" s="66" t="s">
        <v>0</v>
      </c>
      <c r="C61" s="67">
        <v>176731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-884887</v>
      </c>
    </row>
    <row r="62" spans="1:15" x14ac:dyDescent="0.15">
      <c r="A62" s="84" t="s">
        <v>1</v>
      </c>
      <c r="C62" s="85">
        <f>C60-C61</f>
        <v>19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-15635</v>
      </c>
    </row>
    <row r="79" spans="3:37" x14ac:dyDescent="0.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15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15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15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15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15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15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15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15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15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15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15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15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15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15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15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15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15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15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15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15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15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15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15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15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15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15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15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15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15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1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1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15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15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15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15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15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15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15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15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15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15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15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15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15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15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15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15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15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15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15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15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15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15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15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15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15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15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15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15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15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15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15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15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15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15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15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15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15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15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15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15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15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15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15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15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15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15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15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15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15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15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15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15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15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15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15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15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15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15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15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15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15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15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15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15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15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15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15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15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15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15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15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15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15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15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15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15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15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15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15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15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15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15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15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15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15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15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15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15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15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15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15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15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15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15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15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15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15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15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15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15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15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15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15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15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15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15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15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15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15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15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15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15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15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15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15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15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15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15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15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15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15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15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15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15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15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15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15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15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15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15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15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15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15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15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15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15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15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15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15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15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15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15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15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15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15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15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15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15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15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15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15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15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15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15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15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15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15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15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15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15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15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15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15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15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15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15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15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15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15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15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15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15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15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15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15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15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15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15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15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15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15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15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15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15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15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15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15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15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15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15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15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15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15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15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15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15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15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15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15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15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15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15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15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15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15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15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15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15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15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15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15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15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15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15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15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15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15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15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15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15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15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15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15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15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15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15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15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15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15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15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15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15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15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15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15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15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15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15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15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15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15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15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15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15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15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15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15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15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15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15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15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15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15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15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15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15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15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15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15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15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15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15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15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15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15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15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15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15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15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15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15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15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15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15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15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15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15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15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15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15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15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15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15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15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15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15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15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15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15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15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15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15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15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15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15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15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15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1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15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15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15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15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15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15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15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15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15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15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15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15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15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15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15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15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15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15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15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15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15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15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15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15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15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15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15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15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15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15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15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15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15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15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15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15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15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15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15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15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15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15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15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15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15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15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15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15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15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9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5" x14ac:dyDescent="0.15">
      <c r="A1" s="96" t="s">
        <v>11</v>
      </c>
      <c r="B1" s="105"/>
    </row>
    <row r="2" spans="1:39" ht="10.5" x14ac:dyDescent="0.15">
      <c r="A2" s="96" t="s">
        <v>29</v>
      </c>
      <c r="B2" s="105"/>
    </row>
    <row r="3" spans="1:39" ht="10.5" x14ac:dyDescent="0.15">
      <c r="A3" s="96" t="str">
        <f>'SPEC REPORT'!A3</f>
        <v>As of November 20, 2001</v>
      </c>
      <c r="B3" s="105"/>
    </row>
    <row r="4" spans="1:39" ht="10.5" x14ac:dyDescent="0.15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0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229438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229438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0</v>
      </c>
      <c r="K10" s="77">
        <v>6731</v>
      </c>
      <c r="L10" s="77">
        <v>-6193</v>
      </c>
      <c r="M10" s="77">
        <v>-21102</v>
      </c>
      <c r="N10" s="77">
        <v>-89877</v>
      </c>
      <c r="O10" s="77">
        <v>-78339</v>
      </c>
      <c r="P10" s="76">
        <v>-51556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-240336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229438</v>
      </c>
      <c r="K11" s="78">
        <f>'SPEC DETAILS'!D16</f>
        <v>6731</v>
      </c>
      <c r="L11" s="78">
        <f>'SPEC DETAILS'!E16</f>
        <v>-6193</v>
      </c>
      <c r="M11" s="78">
        <f>'SPEC DETAILS'!F16</f>
        <v>-21102</v>
      </c>
      <c r="N11" s="78">
        <f>'SPEC DETAILS'!G16</f>
        <v>-89877</v>
      </c>
      <c r="O11" s="78">
        <f>'SPEC DETAILS'!H16</f>
        <v>-78339</v>
      </c>
      <c r="P11" s="78">
        <f>'SPEC DETAILS'!I16</f>
        <v>-51556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-10898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47.125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0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-92366</v>
      </c>
      <c r="K22" s="75">
        <f t="shared" si="2"/>
        <v>26819</v>
      </c>
      <c r="L22" s="75">
        <f t="shared" si="2"/>
        <v>110715</v>
      </c>
      <c r="M22" s="75">
        <f t="shared" si="2"/>
        <v>119610</v>
      </c>
      <c r="N22" s="75">
        <f t="shared" si="2"/>
        <v>-118631</v>
      </c>
      <c r="O22" s="75">
        <f t="shared" si="2"/>
        <v>-105700</v>
      </c>
      <c r="P22" s="75">
        <f t="shared" si="2"/>
        <v>-93114</v>
      </c>
      <c r="Q22" s="75">
        <f t="shared" si="2"/>
        <v>522392</v>
      </c>
      <c r="R22" s="75">
        <f>R24-R23</f>
        <v>540685</v>
      </c>
      <c r="S22" s="75">
        <f t="shared" si="2"/>
        <v>478984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1389394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0</v>
      </c>
      <c r="K23" s="77">
        <v>3832</v>
      </c>
      <c r="L23" s="77">
        <v>32110</v>
      </c>
      <c r="M23" s="77">
        <v>81009</v>
      </c>
      <c r="N23" s="77">
        <v>135738</v>
      </c>
      <c r="O23" s="77">
        <v>135303</v>
      </c>
      <c r="P23" s="76">
        <v>107620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495612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-92366</v>
      </c>
      <c r="K24" s="78">
        <f>'SPEC DETAILS'!D72</f>
        <v>30651</v>
      </c>
      <c r="L24" s="78">
        <f>'SPEC DETAILS'!E72</f>
        <v>142825</v>
      </c>
      <c r="M24" s="78">
        <f>'SPEC DETAILS'!F72</f>
        <v>200619</v>
      </c>
      <c r="N24" s="78">
        <f>'SPEC DETAILS'!G72</f>
        <v>17107</v>
      </c>
      <c r="O24" s="78">
        <f>'SPEC DETAILS'!H72</f>
        <v>29603</v>
      </c>
      <c r="P24" s="78">
        <f>'SPEC DETAILS'!I72</f>
        <v>14506</v>
      </c>
      <c r="Q24" s="78">
        <f>'SPEC DETAILS'!J72</f>
        <v>522392</v>
      </c>
      <c r="R24" s="78">
        <f>'SPEC DETAILS'!K72</f>
        <v>540685</v>
      </c>
      <c r="S24" s="78">
        <f>'SPEC DETAILS'!L72</f>
        <v>478984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1885006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51.965200000000003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40.299999999999997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-3837011</v>
      </c>
      <c r="K48" s="75">
        <f t="shared" si="6"/>
        <v>151601</v>
      </c>
      <c r="L48" s="75">
        <f t="shared" si="6"/>
        <v>139490</v>
      </c>
      <c r="M48" s="75">
        <f t="shared" si="6"/>
        <v>150696</v>
      </c>
      <c r="N48" s="75">
        <f t="shared" si="6"/>
        <v>188987</v>
      </c>
      <c r="O48" s="75">
        <f t="shared" si="6"/>
        <v>188382</v>
      </c>
      <c r="P48" s="75">
        <f t="shared" si="6"/>
        <v>180542</v>
      </c>
      <c r="Q48" s="75">
        <f t="shared" si="6"/>
        <v>-186147</v>
      </c>
      <c r="R48" s="75">
        <f t="shared" si="6"/>
        <v>-192663</v>
      </c>
      <c r="S48" s="75">
        <f t="shared" si="6"/>
        <v>-170682</v>
      </c>
      <c r="T48" s="75">
        <f t="shared" si="6"/>
        <v>192410</v>
      </c>
      <c r="U48" s="75">
        <f t="shared" si="6"/>
        <v>177526</v>
      </c>
      <c r="V48" s="75">
        <f>V50-V49</f>
        <v>176750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-2840119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K49" s="77">
        <v>27234</v>
      </c>
      <c r="L49" s="77">
        <v>18389</v>
      </c>
      <c r="M49" s="77">
        <v>19866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65489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-3837011</v>
      </c>
      <c r="K50" s="78">
        <f>'SPEC DETAILS'!D184</f>
        <v>178835</v>
      </c>
      <c r="L50" s="78">
        <f>'SPEC DETAILS'!E184</f>
        <v>157879</v>
      </c>
      <c r="M50" s="78">
        <f>'SPEC DETAILS'!F184</f>
        <v>170562</v>
      </c>
      <c r="N50" s="78">
        <f>'SPEC DETAILS'!G184</f>
        <v>188987</v>
      </c>
      <c r="O50" s="78">
        <f>'SPEC DETAILS'!H184</f>
        <v>188382</v>
      </c>
      <c r="P50" s="78">
        <f>'SPEC DETAILS'!I184</f>
        <v>180542</v>
      </c>
      <c r="Q50" s="78">
        <f>'SPEC DETAILS'!J184</f>
        <v>-186147</v>
      </c>
      <c r="R50" s="78">
        <f>'SPEC DETAILS'!K184</f>
        <v>-192663</v>
      </c>
      <c r="S50" s="78">
        <f>'SPEC DETAILS'!L184</f>
        <v>-170682</v>
      </c>
      <c r="T50" s="78">
        <f>'SPEC DETAILS'!M184</f>
        <v>192410</v>
      </c>
      <c r="U50" s="78">
        <f>'SPEC DETAILS'!N184</f>
        <v>177526</v>
      </c>
      <c r="V50" s="78">
        <f>'SPEC DETAILS'!O184</f>
        <v>176750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-2774630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4" t="s">
        <v>11</v>
      </c>
    </row>
    <row r="2" spans="1:15" x14ac:dyDescent="0.15">
      <c r="A2" s="284" t="s">
        <v>225</v>
      </c>
    </row>
    <row r="3" spans="1:15" x14ac:dyDescent="0.15">
      <c r="A3" s="284" t="str">
        <f>'POWER SUM'!A3</f>
        <v>As of November 20, 2001</v>
      </c>
    </row>
    <row r="4" spans="1:15" x14ac:dyDescent="0.15">
      <c r="A4" s="284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14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-22214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 t="shared" ref="C21:N21" si="1">SUM(C18:C20)</f>
        <v>-34714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-22214</v>
      </c>
    </row>
    <row r="38" spans="1:15" x14ac:dyDescent="0.15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-34714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4" t="s">
        <v>11</v>
      </c>
    </row>
    <row r="2" spans="1:15" x14ac:dyDescent="0.15">
      <c r="A2" s="284" t="s">
        <v>12</v>
      </c>
    </row>
    <row r="3" spans="1:15" x14ac:dyDescent="0.15">
      <c r="A3" s="284" t="str">
        <f>'POWER SUM'!A3</f>
        <v>As of November 20, 2001</v>
      </c>
    </row>
    <row r="4" spans="1:15" x14ac:dyDescent="0.15">
      <c r="A4" s="284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13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>SUM(C9:C10)</f>
        <v>-68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-20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-8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165</v>
      </c>
      <c r="C20" s="44">
        <v>16400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>SUM(C18:C20)</f>
        <v>9900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15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16400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67980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31"/>
  <sheetViews>
    <sheetView workbookViewId="0">
      <pivotSelection pane="bottomRight" extendable="1" activeRow="7" activeCol="1" previousRow="7" previousCol="6" click="1" r:id="rId2">
        <pivotArea outline="0" fieldPosition="0">
          <references count="2">
            <reference field="9" count="6" selected="0">
              <x v="2"/>
              <x v="3"/>
              <x v="4"/>
              <x v="5"/>
              <x v="6"/>
              <x v="7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15">
      <c r="A1" s="249" t="s">
        <v>176</v>
      </c>
    </row>
    <row r="2" spans="1:28" ht="9.75" customHeight="1" x14ac:dyDescent="0.15">
      <c r="A2" s="219"/>
    </row>
    <row r="3" spans="1:28" ht="9.75" customHeight="1" x14ac:dyDescent="0.15">
      <c r="A3" s="250" t="s">
        <v>179</v>
      </c>
    </row>
    <row r="4" spans="1:28" s="245" customFormat="1" ht="11.25" x14ac:dyDescent="0.2">
      <c r="A4" s="288" t="s">
        <v>97</v>
      </c>
      <c r="B4" s="260" t="s">
        <v>44</v>
      </c>
      <c r="C4" s="261"/>
      <c r="D4" s="261"/>
      <c r="E4" s="261"/>
      <c r="F4" s="261"/>
      <c r="G4" s="261"/>
      <c r="H4" s="261"/>
      <c r="I4" s="262"/>
      <c r="J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0" t="s">
        <v>46</v>
      </c>
      <c r="B5" s="259" t="s">
        <v>99</v>
      </c>
      <c r="C5" s="261" t="s">
        <v>100</v>
      </c>
      <c r="D5" s="261" t="s">
        <v>101</v>
      </c>
      <c r="E5" s="261" t="s">
        <v>119</v>
      </c>
      <c r="F5" s="261" t="s">
        <v>120</v>
      </c>
      <c r="G5" s="261" t="s">
        <v>121</v>
      </c>
      <c r="H5" s="261" t="s">
        <v>166</v>
      </c>
      <c r="I5" s="263" t="s">
        <v>96</v>
      </c>
      <c r="J5"/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59" t="s">
        <v>2</v>
      </c>
      <c r="B6" s="264">
        <v>6731</v>
      </c>
      <c r="C6" s="265">
        <v>-6193</v>
      </c>
      <c r="D6" s="265">
        <v>-21102</v>
      </c>
      <c r="E6" s="265">
        <v>-89877</v>
      </c>
      <c r="F6" s="265">
        <v>-78339</v>
      </c>
      <c r="G6" s="265">
        <v>-51556</v>
      </c>
      <c r="H6" s="265"/>
      <c r="I6" s="266">
        <v>-240336</v>
      </c>
      <c r="J6"/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7" t="s">
        <v>8</v>
      </c>
      <c r="B7" s="268">
        <v>3832</v>
      </c>
      <c r="C7" s="29">
        <v>32110</v>
      </c>
      <c r="D7" s="29">
        <v>81009</v>
      </c>
      <c r="E7" s="29">
        <v>135738</v>
      </c>
      <c r="F7" s="29">
        <v>135303</v>
      </c>
      <c r="G7" s="29">
        <v>107620</v>
      </c>
      <c r="H7" s="29"/>
      <c r="I7" s="30">
        <v>495612</v>
      </c>
      <c r="J7"/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7" t="s">
        <v>10</v>
      </c>
      <c r="B8" s="268">
        <v>27234</v>
      </c>
      <c r="C8" s="29">
        <v>18389</v>
      </c>
      <c r="D8" s="29">
        <v>19866</v>
      </c>
      <c r="E8" s="29"/>
      <c r="F8" s="29"/>
      <c r="G8" s="29"/>
      <c r="H8" s="29"/>
      <c r="I8" s="30">
        <v>65489</v>
      </c>
      <c r="J8"/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7" t="s">
        <v>166</v>
      </c>
      <c r="B9" s="268"/>
      <c r="C9" s="29"/>
      <c r="D9" s="29"/>
      <c r="E9" s="29"/>
      <c r="F9" s="29"/>
      <c r="G9" s="29"/>
      <c r="H9" s="29"/>
      <c r="I9" s="30"/>
      <c r="J9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37797</v>
      </c>
      <c r="C10" s="33">
        <v>44306</v>
      </c>
      <c r="D10" s="33">
        <v>79773</v>
      </c>
      <c r="E10" s="33">
        <v>45861</v>
      </c>
      <c r="F10" s="33">
        <v>56964</v>
      </c>
      <c r="G10" s="33">
        <v>56064</v>
      </c>
      <c r="H10" s="33"/>
      <c r="I10" s="4">
        <v>320765</v>
      </c>
      <c r="J10"/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15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15">
      <c r="A12" s="250" t="s">
        <v>178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7" t="s">
        <v>174</v>
      </c>
      <c r="B13" s="40" t="s">
        <v>44</v>
      </c>
      <c r="C13" s="41"/>
      <c r="D13" s="41"/>
      <c r="E13" s="41"/>
      <c r="F13" s="41"/>
      <c r="G13" s="41"/>
      <c r="H13" s="41"/>
      <c r="I13" s="42"/>
      <c r="J13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99</v>
      </c>
      <c r="C14" s="41" t="s">
        <v>100</v>
      </c>
      <c r="D14" s="41" t="s">
        <v>101</v>
      </c>
      <c r="E14" s="41" t="s">
        <v>119</v>
      </c>
      <c r="F14" s="41" t="s">
        <v>120</v>
      </c>
      <c r="G14" s="41" t="s">
        <v>121</v>
      </c>
      <c r="H14" s="41" t="s">
        <v>166</v>
      </c>
      <c r="I14" s="9" t="s">
        <v>96</v>
      </c>
      <c r="J14"/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10400</v>
      </c>
      <c r="C15" s="230">
        <v>9600</v>
      </c>
      <c r="D15" s="230">
        <v>10400</v>
      </c>
      <c r="E15" s="230">
        <v>10400</v>
      </c>
      <c r="F15" s="230">
        <v>10400</v>
      </c>
      <c r="G15" s="230">
        <v>10000</v>
      </c>
      <c r="H15" s="230"/>
      <c r="I15" s="231">
        <v>61200</v>
      </c>
      <c r="J15"/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-31200</v>
      </c>
      <c r="C16" s="117">
        <v>-28800</v>
      </c>
      <c r="D16" s="117">
        <v>-31200</v>
      </c>
      <c r="E16" s="117">
        <v>-31200</v>
      </c>
      <c r="F16" s="117">
        <v>-31200</v>
      </c>
      <c r="G16" s="117">
        <v>-30000</v>
      </c>
      <c r="H16" s="117"/>
      <c r="I16" s="233">
        <v>-183600</v>
      </c>
      <c r="J16"/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>
        <v>20800</v>
      </c>
      <c r="C17" s="117">
        <v>19200</v>
      </c>
      <c r="D17" s="117">
        <v>20800</v>
      </c>
      <c r="E17" s="117"/>
      <c r="F17" s="117"/>
      <c r="G17" s="117"/>
      <c r="H17" s="117"/>
      <c r="I17" s="233">
        <v>60800</v>
      </c>
      <c r="J17"/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166</v>
      </c>
      <c r="B18" s="232"/>
      <c r="C18" s="117"/>
      <c r="D18" s="117"/>
      <c r="E18" s="117"/>
      <c r="F18" s="117"/>
      <c r="G18" s="117"/>
      <c r="H18" s="117"/>
      <c r="I18" s="233"/>
      <c r="J18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0</v>
      </c>
      <c r="C19" s="235">
        <v>0</v>
      </c>
      <c r="D19" s="235">
        <v>0</v>
      </c>
      <c r="E19" s="235">
        <v>-20800</v>
      </c>
      <c r="F19" s="235">
        <v>-20800</v>
      </c>
      <c r="G19" s="235">
        <v>-20000</v>
      </c>
      <c r="H19" s="235"/>
      <c r="I19" s="236">
        <v>-61600</v>
      </c>
      <c r="J19"/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15">
      <c r="A22" s="250" t="s">
        <v>226</v>
      </c>
      <c r="B22" s="258" t="s">
        <v>180</v>
      </c>
      <c r="C22" s="258" t="s">
        <v>181</v>
      </c>
      <c r="D22" s="258" t="s">
        <v>182</v>
      </c>
      <c r="E22" s="258" t="s">
        <v>183</v>
      </c>
      <c r="F22" s="258" t="s">
        <v>193</v>
      </c>
      <c r="G22" s="258" t="s">
        <v>194</v>
      </c>
      <c r="I22" s="25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15">
      <c r="A23" s="253">
        <v>37214</v>
      </c>
      <c r="B23" s="251" t="s">
        <v>188</v>
      </c>
      <c r="C23" s="285" t="s">
        <v>227</v>
      </c>
      <c r="D23" s="251" t="s">
        <v>144</v>
      </c>
      <c r="E23" s="251">
        <v>25</v>
      </c>
      <c r="F23" s="251" t="s">
        <v>8</v>
      </c>
      <c r="G23" s="255">
        <v>7060</v>
      </c>
      <c r="H23" s="251"/>
      <c r="I23" s="2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15">
      <c r="A26" s="250" t="s">
        <v>172</v>
      </c>
      <c r="B26" s="258" t="s">
        <v>180</v>
      </c>
      <c r="C26" s="258" t="s">
        <v>181</v>
      </c>
      <c r="D26" s="258" t="s">
        <v>182</v>
      </c>
      <c r="E26" s="258" t="s">
        <v>183</v>
      </c>
      <c r="F26" s="258" t="s">
        <v>184</v>
      </c>
      <c r="G26" s="258" t="s">
        <v>191</v>
      </c>
      <c r="H26" s="258" t="s">
        <v>185</v>
      </c>
      <c r="I26" s="258" t="s">
        <v>191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15">
      <c r="A27" s="253">
        <v>37124</v>
      </c>
      <c r="B27" s="251" t="s">
        <v>188</v>
      </c>
      <c r="C27" s="251" t="s">
        <v>189</v>
      </c>
      <c r="D27" s="251" t="s">
        <v>144</v>
      </c>
      <c r="E27" s="251">
        <v>25</v>
      </c>
      <c r="F27" s="251" t="s">
        <v>190</v>
      </c>
      <c r="G27" s="255">
        <v>3679</v>
      </c>
      <c r="H27" s="251" t="s">
        <v>8</v>
      </c>
      <c r="I27" s="255">
        <v>3680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15">
      <c r="A28" s="253">
        <v>37154</v>
      </c>
      <c r="B28" s="251" t="s">
        <v>186</v>
      </c>
      <c r="C28" s="251" t="s">
        <v>187</v>
      </c>
      <c r="D28" s="251" t="s">
        <v>144</v>
      </c>
      <c r="E28" s="251">
        <v>25</v>
      </c>
      <c r="F28" s="251" t="s">
        <v>8</v>
      </c>
      <c r="G28" s="255">
        <v>4130</v>
      </c>
      <c r="H28" s="251" t="s">
        <v>190</v>
      </c>
      <c r="I28" s="255">
        <v>4131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15">
      <c r="A29" s="283">
        <v>37210</v>
      </c>
      <c r="B29" s="251" t="s">
        <v>186</v>
      </c>
      <c r="C29" s="251" t="s">
        <v>187</v>
      </c>
      <c r="D29" s="251" t="s">
        <v>144</v>
      </c>
      <c r="E29" s="251">
        <v>50</v>
      </c>
      <c r="F29" s="251" t="s">
        <v>8</v>
      </c>
      <c r="G29" s="255" t="s">
        <v>218</v>
      </c>
      <c r="H29" s="251" t="s">
        <v>10</v>
      </c>
      <c r="I29" s="255" t="s">
        <v>219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15">
      <c r="A30" s="283"/>
      <c r="B30" s="251"/>
      <c r="C30" s="251"/>
      <c r="D30" s="251"/>
      <c r="E30" s="251"/>
      <c r="F30" s="251"/>
      <c r="G30" s="255"/>
      <c r="H30" s="251"/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15">
      <c r="A31" s="10"/>
      <c r="B31" s="252"/>
      <c r="C31" s="252"/>
      <c r="D31" s="10"/>
      <c r="E31" s="10"/>
      <c r="F31" s="10"/>
      <c r="G31" s="256"/>
      <c r="H31" s="10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15">
      <c r="A32" s="257" t="s">
        <v>192</v>
      </c>
      <c r="B32" s="258" t="s">
        <v>180</v>
      </c>
      <c r="C32" s="258" t="s">
        <v>181</v>
      </c>
      <c r="D32" s="258" t="s">
        <v>182</v>
      </c>
      <c r="E32" s="258" t="s">
        <v>183</v>
      </c>
      <c r="F32" s="258" t="s">
        <v>193</v>
      </c>
      <c r="G32" s="258" t="s">
        <v>194</v>
      </c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15">
      <c r="A33" s="10"/>
      <c r="B33" s="252"/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15">
      <c r="A34" s="10"/>
      <c r="B34" s="252"/>
      <c r="C34" s="252"/>
      <c r="D34" s="10"/>
      <c r="E34" s="10"/>
      <c r="F34" s="10"/>
      <c r="G34" s="256"/>
      <c r="H34" s="10"/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15">
      <c r="A35" s="6"/>
      <c r="B35" s="7" t="s">
        <v>172</v>
      </c>
      <c r="C35" s="252"/>
      <c r="D35" s="10"/>
      <c r="E35" s="10"/>
      <c r="F35" s="10"/>
      <c r="G35" s="256"/>
      <c r="H35" s="10"/>
      <c r="I35" s="25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15">
      <c r="A36" s="8"/>
      <c r="B36" s="7" t="s">
        <v>172</v>
      </c>
      <c r="C36" s="252"/>
      <c r="D36" s="10"/>
      <c r="E36" s="10"/>
      <c r="F36" s="10"/>
      <c r="G36" s="25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223"/>
      <c r="B37" s="7" t="s">
        <v>173</v>
      </c>
      <c r="C37" s="25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3"/>
      <c r="B38" s="7" t="s">
        <v>173</v>
      </c>
      <c r="C38" s="25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  <c r="Z39" s="10"/>
      <c r="AA39" s="242"/>
      <c r="AB39" s="242"/>
    </row>
    <row r="40" spans="1:56" s="246" customFormat="1" ht="9.75" customHeight="1" x14ac:dyDescent="0.15">
      <c r="A40" s="228" t="s">
        <v>37</v>
      </c>
      <c r="B40" s="224" t="s">
        <v>38</v>
      </c>
      <c r="C40" s="224" t="s">
        <v>39</v>
      </c>
      <c r="D40" s="225" t="s">
        <v>40</v>
      </c>
      <c r="E40" s="225" t="s">
        <v>41</v>
      </c>
      <c r="F40" s="225" t="s">
        <v>167</v>
      </c>
      <c r="G40" s="224" t="s">
        <v>42</v>
      </c>
      <c r="H40" s="224" t="s">
        <v>175</v>
      </c>
      <c r="I40" s="225" t="s">
        <v>43</v>
      </c>
      <c r="J40" s="225" t="s">
        <v>44</v>
      </c>
      <c r="K40" s="224" t="s">
        <v>45</v>
      </c>
      <c r="L40" s="224" t="s">
        <v>46</v>
      </c>
      <c r="M40" s="224" t="s">
        <v>47</v>
      </c>
      <c r="N40" s="224" t="s">
        <v>48</v>
      </c>
      <c r="O40" s="224" t="s">
        <v>49</v>
      </c>
      <c r="P40" s="224" t="s">
        <v>177</v>
      </c>
      <c r="Q40" s="224" t="s">
        <v>50</v>
      </c>
      <c r="R40" s="224" t="s">
        <v>51</v>
      </c>
      <c r="S40" s="224" t="s">
        <v>52</v>
      </c>
      <c r="T40" s="224" t="s">
        <v>53</v>
      </c>
      <c r="U40" s="224" t="s">
        <v>54</v>
      </c>
      <c r="V40" s="224" t="s">
        <v>55</v>
      </c>
      <c r="W40" s="224" t="s">
        <v>56</v>
      </c>
      <c r="X40" s="226" t="s">
        <v>57</v>
      </c>
      <c r="Y40" s="224" t="s">
        <v>58</v>
      </c>
      <c r="Z40" s="224" t="s">
        <v>59</v>
      </c>
      <c r="AA40" s="243" t="s">
        <v>60</v>
      </c>
      <c r="AB40" s="243" t="s">
        <v>61</v>
      </c>
      <c r="AD40" s="244"/>
      <c r="AE40" s="244"/>
      <c r="AF40" s="244"/>
      <c r="AG40" s="247"/>
      <c r="AH40" s="247"/>
      <c r="AI40" s="244"/>
      <c r="AJ40" s="244"/>
      <c r="AK40" s="247"/>
      <c r="AL40" s="247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8"/>
      <c r="BA40" s="244"/>
      <c r="BB40" s="244"/>
      <c r="BC40" s="244"/>
      <c r="BD40" s="244"/>
    </row>
    <row r="41" spans="1:56" s="227" customFormat="1" ht="11.25" x14ac:dyDescent="0.2">
      <c r="A41" s="269" t="s">
        <v>118</v>
      </c>
      <c r="B41" s="269" t="s">
        <v>76</v>
      </c>
      <c r="C41" s="269" t="s">
        <v>87</v>
      </c>
      <c r="D41" s="270">
        <v>37347</v>
      </c>
      <c r="E41" s="270">
        <v>37437</v>
      </c>
      <c r="F41" s="22" t="s">
        <v>168</v>
      </c>
      <c r="G41" s="269">
        <v>3679</v>
      </c>
      <c r="H41" s="269" t="s">
        <v>78</v>
      </c>
      <c r="I41" s="270">
        <v>37124</v>
      </c>
      <c r="J41" s="269" t="s">
        <v>119</v>
      </c>
      <c r="K41" s="269" t="s">
        <v>85</v>
      </c>
      <c r="L41" s="269" t="s">
        <v>2</v>
      </c>
      <c r="M41" s="269" t="b">
        <v>0</v>
      </c>
      <c r="N41" s="269">
        <v>25</v>
      </c>
      <c r="O41" s="269" t="s">
        <v>80</v>
      </c>
      <c r="P41" s="269" t="s">
        <v>81</v>
      </c>
      <c r="Q41" s="269" t="s">
        <v>82</v>
      </c>
      <c r="R41" s="269" t="s">
        <v>83</v>
      </c>
      <c r="S41" s="269" t="b">
        <v>0</v>
      </c>
      <c r="T41" s="269">
        <v>10400</v>
      </c>
      <c r="U41" s="269">
        <v>37</v>
      </c>
      <c r="V41" s="269" t="s">
        <v>84</v>
      </c>
      <c r="W41" s="269">
        <v>0</v>
      </c>
      <c r="X41" s="269">
        <v>384800</v>
      </c>
      <c r="Y41" s="270">
        <v>37215</v>
      </c>
      <c r="Z41" s="269">
        <v>28.25</v>
      </c>
      <c r="AA41" s="269">
        <v>-91104</v>
      </c>
      <c r="AB41" s="269">
        <v>-89877</v>
      </c>
    </row>
    <row r="42" spans="1:56" s="227" customFormat="1" ht="11.25" x14ac:dyDescent="0.2">
      <c r="A42" s="269" t="s">
        <v>118</v>
      </c>
      <c r="B42" s="269" t="s">
        <v>76</v>
      </c>
      <c r="C42" s="269" t="s">
        <v>87</v>
      </c>
      <c r="D42" s="270">
        <v>37347</v>
      </c>
      <c r="E42" s="270">
        <v>37437</v>
      </c>
      <c r="F42" s="22" t="s">
        <v>168</v>
      </c>
      <c r="G42" s="269">
        <v>3679</v>
      </c>
      <c r="H42" s="269" t="s">
        <v>78</v>
      </c>
      <c r="I42" s="270">
        <v>37124</v>
      </c>
      <c r="J42" s="269" t="s">
        <v>120</v>
      </c>
      <c r="K42" s="269" t="s">
        <v>85</v>
      </c>
      <c r="L42" s="269" t="s">
        <v>2</v>
      </c>
      <c r="M42" s="269" t="b">
        <v>0</v>
      </c>
      <c r="N42" s="269">
        <v>25</v>
      </c>
      <c r="O42" s="269" t="s">
        <v>80</v>
      </c>
      <c r="P42" s="269" t="s">
        <v>81</v>
      </c>
      <c r="Q42" s="269" t="s">
        <v>82</v>
      </c>
      <c r="R42" s="269" t="s">
        <v>83</v>
      </c>
      <c r="S42" s="269" t="b">
        <v>0</v>
      </c>
      <c r="T42" s="269">
        <v>10400</v>
      </c>
      <c r="U42" s="269">
        <v>37</v>
      </c>
      <c r="V42" s="269" t="s">
        <v>84</v>
      </c>
      <c r="W42" s="269">
        <v>0</v>
      </c>
      <c r="X42" s="269">
        <v>384800</v>
      </c>
      <c r="Y42" s="270">
        <v>37215</v>
      </c>
      <c r="Z42" s="269">
        <v>29.35</v>
      </c>
      <c r="AA42" s="269">
        <v>-79664</v>
      </c>
      <c r="AB42" s="269">
        <v>-78339</v>
      </c>
    </row>
    <row r="43" spans="1:56" s="227" customFormat="1" ht="11.25" x14ac:dyDescent="0.2">
      <c r="A43" s="269" t="s">
        <v>118</v>
      </c>
      <c r="B43" s="269" t="s">
        <v>76</v>
      </c>
      <c r="C43" s="269" t="s">
        <v>87</v>
      </c>
      <c r="D43" s="270">
        <v>37347</v>
      </c>
      <c r="E43" s="270">
        <v>37437</v>
      </c>
      <c r="F43" s="22" t="s">
        <v>168</v>
      </c>
      <c r="G43" s="269">
        <v>3679</v>
      </c>
      <c r="H43" s="269" t="s">
        <v>78</v>
      </c>
      <c r="I43" s="270">
        <v>37124</v>
      </c>
      <c r="J43" s="269" t="s">
        <v>121</v>
      </c>
      <c r="K43" s="269" t="s">
        <v>85</v>
      </c>
      <c r="L43" s="269" t="s">
        <v>2</v>
      </c>
      <c r="M43" s="269" t="b">
        <v>0</v>
      </c>
      <c r="N43" s="269">
        <v>25</v>
      </c>
      <c r="O43" s="269" t="s">
        <v>80</v>
      </c>
      <c r="P43" s="269" t="s">
        <v>81</v>
      </c>
      <c r="Q43" s="269" t="s">
        <v>82</v>
      </c>
      <c r="R43" s="269" t="s">
        <v>83</v>
      </c>
      <c r="S43" s="269" t="b">
        <v>0</v>
      </c>
      <c r="T43" s="269">
        <v>10000</v>
      </c>
      <c r="U43" s="269">
        <v>37</v>
      </c>
      <c r="V43" s="269" t="s">
        <v>84</v>
      </c>
      <c r="W43" s="269">
        <v>0</v>
      </c>
      <c r="X43" s="269">
        <v>370000</v>
      </c>
      <c r="Y43" s="270">
        <v>37215</v>
      </c>
      <c r="Z43" s="269">
        <v>31.75</v>
      </c>
      <c r="AA43" s="269">
        <v>-52600</v>
      </c>
      <c r="AB43" s="269">
        <v>-51556</v>
      </c>
    </row>
    <row r="44" spans="1:56" s="227" customFormat="1" ht="11.25" x14ac:dyDescent="0.2">
      <c r="A44" s="269" t="s">
        <v>118</v>
      </c>
      <c r="B44" s="269" t="s">
        <v>76</v>
      </c>
      <c r="C44" s="269" t="s">
        <v>87</v>
      </c>
      <c r="D44" s="270">
        <v>37347</v>
      </c>
      <c r="E44" s="270">
        <v>37437</v>
      </c>
      <c r="F44" s="22" t="s">
        <v>169</v>
      </c>
      <c r="G44" s="269">
        <v>3680</v>
      </c>
      <c r="H44" s="269" t="s">
        <v>78</v>
      </c>
      <c r="I44" s="270">
        <v>37124</v>
      </c>
      <c r="J44" s="269" t="s">
        <v>119</v>
      </c>
      <c r="K44" s="269" t="s">
        <v>79</v>
      </c>
      <c r="L44" s="269" t="s">
        <v>8</v>
      </c>
      <c r="M44" s="269" t="b">
        <v>0</v>
      </c>
      <c r="N44" s="269">
        <v>-25</v>
      </c>
      <c r="O44" s="269" t="s">
        <v>80</v>
      </c>
      <c r="P44" s="269" t="s">
        <v>81</v>
      </c>
      <c r="Q44" s="269" t="s">
        <v>82</v>
      </c>
      <c r="R44" s="269" t="s">
        <v>83</v>
      </c>
      <c r="S44" s="269" t="b">
        <v>0</v>
      </c>
      <c r="T44" s="269">
        <v>-10400</v>
      </c>
      <c r="U44" s="269">
        <v>34</v>
      </c>
      <c r="V44" s="269" t="s">
        <v>84</v>
      </c>
      <c r="W44" s="269">
        <v>0</v>
      </c>
      <c r="X44" s="269">
        <v>-353600</v>
      </c>
      <c r="Y44" s="270">
        <v>37215</v>
      </c>
      <c r="Z44" s="269">
        <v>27</v>
      </c>
      <c r="AA44" s="269">
        <v>72800</v>
      </c>
      <c r="AB44" s="269">
        <v>71819</v>
      </c>
    </row>
    <row r="45" spans="1:56" s="227" customFormat="1" ht="11.25" x14ac:dyDescent="0.2">
      <c r="A45" s="269" t="s">
        <v>118</v>
      </c>
      <c r="B45" s="269" t="s">
        <v>76</v>
      </c>
      <c r="C45" s="269" t="s">
        <v>87</v>
      </c>
      <c r="D45" s="270">
        <v>37347</v>
      </c>
      <c r="E45" s="270">
        <v>37437</v>
      </c>
      <c r="F45" s="22" t="s">
        <v>169</v>
      </c>
      <c r="G45" s="269">
        <v>3680</v>
      </c>
      <c r="H45" s="269" t="s">
        <v>78</v>
      </c>
      <c r="I45" s="270">
        <v>37124</v>
      </c>
      <c r="J45" s="269" t="s">
        <v>120</v>
      </c>
      <c r="K45" s="269" t="s">
        <v>79</v>
      </c>
      <c r="L45" s="269" t="s">
        <v>8</v>
      </c>
      <c r="M45" s="269" t="b">
        <v>0</v>
      </c>
      <c r="N45" s="269">
        <v>-25</v>
      </c>
      <c r="O45" s="269" t="s">
        <v>80</v>
      </c>
      <c r="P45" s="269" t="s">
        <v>81</v>
      </c>
      <c r="Q45" s="269" t="s">
        <v>82</v>
      </c>
      <c r="R45" s="269" t="s">
        <v>83</v>
      </c>
      <c r="S45" s="269" t="b">
        <v>0</v>
      </c>
      <c r="T45" s="269">
        <v>-10400</v>
      </c>
      <c r="U45" s="269">
        <v>34</v>
      </c>
      <c r="V45" s="269" t="s">
        <v>84</v>
      </c>
      <c r="W45" s="269">
        <v>0</v>
      </c>
      <c r="X45" s="269">
        <v>-353600</v>
      </c>
      <c r="Y45" s="270">
        <v>37215</v>
      </c>
      <c r="Z45" s="269">
        <v>27</v>
      </c>
      <c r="AA45" s="269">
        <v>72800</v>
      </c>
      <c r="AB45" s="269">
        <v>71589</v>
      </c>
    </row>
    <row r="46" spans="1:56" s="227" customFormat="1" ht="11.25" x14ac:dyDescent="0.2">
      <c r="A46" s="269" t="s">
        <v>118</v>
      </c>
      <c r="B46" s="269" t="s">
        <v>76</v>
      </c>
      <c r="C46" s="269" t="s">
        <v>87</v>
      </c>
      <c r="D46" s="270">
        <v>37347</v>
      </c>
      <c r="E46" s="270">
        <v>37437</v>
      </c>
      <c r="F46" s="22" t="s">
        <v>169</v>
      </c>
      <c r="G46" s="269">
        <v>3680</v>
      </c>
      <c r="H46" s="269" t="s">
        <v>78</v>
      </c>
      <c r="I46" s="270">
        <v>37124</v>
      </c>
      <c r="J46" s="269" t="s">
        <v>121</v>
      </c>
      <c r="K46" s="269" t="s">
        <v>79</v>
      </c>
      <c r="L46" s="269" t="s">
        <v>8</v>
      </c>
      <c r="M46" s="269" t="b">
        <v>0</v>
      </c>
      <c r="N46" s="269">
        <v>-25</v>
      </c>
      <c r="O46" s="269" t="s">
        <v>80</v>
      </c>
      <c r="P46" s="269" t="s">
        <v>81</v>
      </c>
      <c r="Q46" s="269" t="s">
        <v>82</v>
      </c>
      <c r="R46" s="269" t="s">
        <v>83</v>
      </c>
      <c r="S46" s="269" t="b">
        <v>0</v>
      </c>
      <c r="T46" s="269">
        <v>-10000</v>
      </c>
      <c r="U46" s="269">
        <v>34</v>
      </c>
      <c r="V46" s="269" t="s">
        <v>84</v>
      </c>
      <c r="W46" s="269">
        <v>0</v>
      </c>
      <c r="X46" s="269">
        <v>-340000</v>
      </c>
      <c r="Y46" s="270">
        <v>37215</v>
      </c>
      <c r="Z46" s="269">
        <v>27.75</v>
      </c>
      <c r="AA46" s="269">
        <v>62500</v>
      </c>
      <c r="AB46" s="269">
        <v>61259</v>
      </c>
    </row>
    <row r="47" spans="1:56" s="271" customFormat="1" ht="11.25" x14ac:dyDescent="0.2">
      <c r="A47" s="271" t="s">
        <v>86</v>
      </c>
      <c r="B47" s="271" t="s">
        <v>76</v>
      </c>
      <c r="C47" s="271" t="s">
        <v>77</v>
      </c>
      <c r="D47" s="272">
        <v>37257</v>
      </c>
      <c r="E47" s="272">
        <v>37346</v>
      </c>
      <c r="F47" s="21" t="s">
        <v>170</v>
      </c>
      <c r="G47" s="271">
        <v>4130</v>
      </c>
      <c r="H47" s="271" t="s">
        <v>78</v>
      </c>
      <c r="I47" s="272">
        <v>37154</v>
      </c>
      <c r="J47" s="271" t="s">
        <v>99</v>
      </c>
      <c r="K47" s="271" t="s">
        <v>79</v>
      </c>
      <c r="L47" s="271" t="s">
        <v>8</v>
      </c>
      <c r="M47" s="271" t="b">
        <v>0</v>
      </c>
      <c r="N47" s="271">
        <v>-25</v>
      </c>
      <c r="O47" s="271" t="s">
        <v>80</v>
      </c>
      <c r="P47" s="271" t="s">
        <v>81</v>
      </c>
      <c r="Q47" s="271" t="s">
        <v>82</v>
      </c>
      <c r="R47" s="271" t="s">
        <v>83</v>
      </c>
      <c r="S47" s="271" t="b">
        <v>0</v>
      </c>
      <c r="T47" s="271">
        <v>-10400</v>
      </c>
      <c r="U47" s="271">
        <v>34</v>
      </c>
      <c r="V47" s="271" t="s">
        <v>84</v>
      </c>
      <c r="W47" s="271">
        <v>0</v>
      </c>
      <c r="X47" s="271">
        <v>-353600</v>
      </c>
      <c r="Y47" s="272">
        <v>37215</v>
      </c>
      <c r="Z47" s="271">
        <v>32.5</v>
      </c>
      <c r="AA47" s="271">
        <v>15496</v>
      </c>
      <c r="AB47" s="271">
        <v>15429</v>
      </c>
    </row>
    <row r="48" spans="1:56" s="271" customFormat="1" ht="11.25" x14ac:dyDescent="0.2">
      <c r="A48" s="271" t="s">
        <v>86</v>
      </c>
      <c r="B48" s="271" t="s">
        <v>76</v>
      </c>
      <c r="C48" s="271" t="s">
        <v>77</v>
      </c>
      <c r="D48" s="272">
        <v>37257</v>
      </c>
      <c r="E48" s="272">
        <v>37346</v>
      </c>
      <c r="F48" s="21" t="s">
        <v>170</v>
      </c>
      <c r="G48" s="271">
        <v>4130</v>
      </c>
      <c r="H48" s="271" t="s">
        <v>78</v>
      </c>
      <c r="I48" s="272">
        <v>37154</v>
      </c>
      <c r="J48" s="271" t="s">
        <v>101</v>
      </c>
      <c r="K48" s="271" t="s">
        <v>79</v>
      </c>
      <c r="L48" s="271" t="s">
        <v>8</v>
      </c>
      <c r="M48" s="271" t="b">
        <v>0</v>
      </c>
      <c r="N48" s="271">
        <v>-25</v>
      </c>
      <c r="O48" s="271" t="s">
        <v>80</v>
      </c>
      <c r="P48" s="271" t="s">
        <v>81</v>
      </c>
      <c r="Q48" s="271" t="s">
        <v>82</v>
      </c>
      <c r="R48" s="271" t="s">
        <v>83</v>
      </c>
      <c r="S48" s="271" t="b">
        <v>0</v>
      </c>
      <c r="T48" s="271">
        <v>-10400</v>
      </c>
      <c r="U48" s="271">
        <v>34</v>
      </c>
      <c r="V48" s="271" t="s">
        <v>84</v>
      </c>
      <c r="W48" s="271">
        <v>0</v>
      </c>
      <c r="X48" s="271">
        <v>-353600</v>
      </c>
      <c r="Y48" s="272">
        <v>37215</v>
      </c>
      <c r="Z48" s="271">
        <v>30</v>
      </c>
      <c r="AA48" s="271">
        <v>41496</v>
      </c>
      <c r="AB48" s="271">
        <v>41071</v>
      </c>
    </row>
    <row r="49" spans="1:28" s="271" customFormat="1" ht="11.25" x14ac:dyDescent="0.2">
      <c r="A49" s="271" t="s">
        <v>86</v>
      </c>
      <c r="B49" s="271" t="s">
        <v>76</v>
      </c>
      <c r="C49" s="271" t="s">
        <v>77</v>
      </c>
      <c r="D49" s="272">
        <v>37257</v>
      </c>
      <c r="E49" s="272">
        <v>37346</v>
      </c>
      <c r="F49" s="21" t="s">
        <v>170</v>
      </c>
      <c r="G49" s="271">
        <v>4130</v>
      </c>
      <c r="H49" s="271" t="s">
        <v>78</v>
      </c>
      <c r="I49" s="272">
        <v>37154</v>
      </c>
      <c r="J49" s="271" t="s">
        <v>100</v>
      </c>
      <c r="K49" s="271" t="s">
        <v>79</v>
      </c>
      <c r="L49" s="271" t="s">
        <v>8</v>
      </c>
      <c r="M49" s="271" t="b">
        <v>0</v>
      </c>
      <c r="N49" s="271">
        <v>-25</v>
      </c>
      <c r="O49" s="271" t="s">
        <v>80</v>
      </c>
      <c r="P49" s="271" t="s">
        <v>81</v>
      </c>
      <c r="Q49" s="271" t="s">
        <v>82</v>
      </c>
      <c r="R49" s="271" t="s">
        <v>83</v>
      </c>
      <c r="S49" s="271" t="b">
        <v>0</v>
      </c>
      <c r="T49" s="271">
        <v>-9600</v>
      </c>
      <c r="U49" s="271">
        <v>34</v>
      </c>
      <c r="V49" s="271" t="s">
        <v>84</v>
      </c>
      <c r="W49" s="271">
        <v>0</v>
      </c>
      <c r="X49" s="271">
        <v>-326400</v>
      </c>
      <c r="Y49" s="272">
        <v>37215</v>
      </c>
      <c r="Z49" s="271">
        <v>31.5</v>
      </c>
      <c r="AA49" s="271">
        <v>23904</v>
      </c>
      <c r="AB49" s="271">
        <v>23725</v>
      </c>
    </row>
    <row r="50" spans="1:28" s="271" customFormat="1" ht="11.25" x14ac:dyDescent="0.2">
      <c r="A50" s="271" t="s">
        <v>86</v>
      </c>
      <c r="B50" s="271" t="s">
        <v>76</v>
      </c>
      <c r="C50" s="271" t="s">
        <v>77</v>
      </c>
      <c r="D50" s="272">
        <v>37257</v>
      </c>
      <c r="E50" s="272">
        <v>37346</v>
      </c>
      <c r="F50" s="21" t="s">
        <v>171</v>
      </c>
      <c r="G50" s="271">
        <v>4131</v>
      </c>
      <c r="H50" s="271" t="s">
        <v>78</v>
      </c>
      <c r="I50" s="272">
        <v>37154</v>
      </c>
      <c r="J50" s="271" t="s">
        <v>99</v>
      </c>
      <c r="K50" s="271" t="s">
        <v>85</v>
      </c>
      <c r="L50" s="271" t="s">
        <v>2</v>
      </c>
      <c r="M50" s="271" t="b">
        <v>0</v>
      </c>
      <c r="N50" s="271">
        <v>25</v>
      </c>
      <c r="O50" s="271" t="s">
        <v>80</v>
      </c>
      <c r="P50" s="271" t="s">
        <v>81</v>
      </c>
      <c r="Q50" s="271" t="s">
        <v>82</v>
      </c>
      <c r="R50" s="271" t="s">
        <v>83</v>
      </c>
      <c r="S50" s="271" t="b">
        <v>0</v>
      </c>
      <c r="T50" s="271">
        <v>10400</v>
      </c>
      <c r="U50" s="271">
        <v>33.1</v>
      </c>
      <c r="V50" s="271" t="s">
        <v>84</v>
      </c>
      <c r="W50" s="271">
        <v>0</v>
      </c>
      <c r="X50" s="271">
        <v>344240</v>
      </c>
      <c r="Y50" s="272">
        <v>37215</v>
      </c>
      <c r="Z50" s="271">
        <v>33.75</v>
      </c>
      <c r="AA50" s="271">
        <v>6760</v>
      </c>
      <c r="AB50" s="271">
        <v>6731</v>
      </c>
    </row>
    <row r="51" spans="1:28" s="271" customFormat="1" ht="11.25" x14ac:dyDescent="0.2">
      <c r="A51" s="271" t="s">
        <v>86</v>
      </c>
      <c r="B51" s="271" t="s">
        <v>76</v>
      </c>
      <c r="C51" s="271" t="s">
        <v>77</v>
      </c>
      <c r="D51" s="272">
        <v>37257</v>
      </c>
      <c r="E51" s="272">
        <v>37346</v>
      </c>
      <c r="F51" s="21" t="s">
        <v>171</v>
      </c>
      <c r="G51" s="271">
        <v>4131</v>
      </c>
      <c r="H51" s="271" t="s">
        <v>78</v>
      </c>
      <c r="I51" s="272">
        <v>37154</v>
      </c>
      <c r="J51" s="271" t="s">
        <v>100</v>
      </c>
      <c r="K51" s="271" t="s">
        <v>85</v>
      </c>
      <c r="L51" s="271" t="s">
        <v>2</v>
      </c>
      <c r="M51" s="271" t="b">
        <v>0</v>
      </c>
      <c r="N51" s="271">
        <v>25</v>
      </c>
      <c r="O51" s="271" t="s">
        <v>80</v>
      </c>
      <c r="P51" s="271" t="s">
        <v>81</v>
      </c>
      <c r="Q51" s="271" t="s">
        <v>82</v>
      </c>
      <c r="R51" s="271" t="s">
        <v>83</v>
      </c>
      <c r="S51" s="271" t="b">
        <v>0</v>
      </c>
      <c r="T51" s="271">
        <v>9600</v>
      </c>
      <c r="U51" s="271">
        <v>33.1</v>
      </c>
      <c r="V51" s="271" t="s">
        <v>84</v>
      </c>
      <c r="W51" s="271">
        <v>0</v>
      </c>
      <c r="X51" s="271">
        <v>317760</v>
      </c>
      <c r="Y51" s="272">
        <v>37215</v>
      </c>
      <c r="Z51" s="271">
        <v>32.450000000000003</v>
      </c>
      <c r="AA51" s="271">
        <v>-6240</v>
      </c>
      <c r="AB51" s="271">
        <v>-6193</v>
      </c>
    </row>
    <row r="52" spans="1:28" s="271" customFormat="1" ht="11.25" x14ac:dyDescent="0.2">
      <c r="A52" s="271" t="s">
        <v>86</v>
      </c>
      <c r="B52" s="271" t="s">
        <v>76</v>
      </c>
      <c r="C52" s="271" t="s">
        <v>77</v>
      </c>
      <c r="D52" s="272">
        <v>37257</v>
      </c>
      <c r="E52" s="272">
        <v>37346</v>
      </c>
      <c r="F52" s="21" t="s">
        <v>171</v>
      </c>
      <c r="G52" s="271">
        <v>4131</v>
      </c>
      <c r="H52" s="271" t="s">
        <v>78</v>
      </c>
      <c r="I52" s="272">
        <v>37154</v>
      </c>
      <c r="J52" s="271" t="s">
        <v>101</v>
      </c>
      <c r="K52" s="271" t="s">
        <v>85</v>
      </c>
      <c r="L52" s="271" t="s">
        <v>2</v>
      </c>
      <c r="M52" s="271" t="b">
        <v>0</v>
      </c>
      <c r="N52" s="271">
        <v>25</v>
      </c>
      <c r="O52" s="271" t="s">
        <v>80</v>
      </c>
      <c r="P52" s="271" t="s">
        <v>81</v>
      </c>
      <c r="Q52" s="271" t="s">
        <v>82</v>
      </c>
      <c r="R52" s="271" t="s">
        <v>83</v>
      </c>
      <c r="S52" s="271" t="b">
        <v>0</v>
      </c>
      <c r="T52" s="271">
        <v>10400</v>
      </c>
      <c r="U52" s="271">
        <v>33.1</v>
      </c>
      <c r="V52" s="271" t="s">
        <v>84</v>
      </c>
      <c r="W52" s="271">
        <v>0</v>
      </c>
      <c r="X52" s="271">
        <v>344240</v>
      </c>
      <c r="Y52" s="272">
        <v>37215</v>
      </c>
      <c r="Z52" s="271">
        <v>31.05</v>
      </c>
      <c r="AA52" s="271">
        <v>-21320</v>
      </c>
      <c r="AB52" s="271">
        <v>-21102</v>
      </c>
    </row>
    <row r="53" spans="1:28" s="26" customFormat="1" ht="11.25" x14ac:dyDescent="0.2">
      <c r="A53" s="26" t="s">
        <v>195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196</v>
      </c>
      <c r="G53" s="26">
        <v>5636</v>
      </c>
      <c r="H53" s="26" t="s">
        <v>78</v>
      </c>
      <c r="I53" s="27">
        <v>37194</v>
      </c>
      <c r="J53" s="26" t="s">
        <v>119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-10400</v>
      </c>
      <c r="U53" s="26">
        <v>30.5</v>
      </c>
      <c r="V53" s="26" t="s">
        <v>84</v>
      </c>
      <c r="W53" s="26">
        <v>0</v>
      </c>
      <c r="X53" s="26">
        <v>-317200</v>
      </c>
      <c r="Y53" s="27">
        <v>37215</v>
      </c>
      <c r="Z53" s="26">
        <v>27</v>
      </c>
      <c r="AA53" s="26">
        <v>36296</v>
      </c>
      <c r="AB53" s="26">
        <v>35807</v>
      </c>
    </row>
    <row r="54" spans="1:28" s="26" customFormat="1" ht="11.25" x14ac:dyDescent="0.2">
      <c r="A54" s="26" t="s">
        <v>195</v>
      </c>
      <c r="B54" s="26" t="s">
        <v>76</v>
      </c>
      <c r="C54" s="26" t="s">
        <v>77</v>
      </c>
      <c r="D54" s="27">
        <v>37347</v>
      </c>
      <c r="E54" s="27">
        <v>37437</v>
      </c>
      <c r="F54" s="23" t="s">
        <v>196</v>
      </c>
      <c r="G54" s="26">
        <v>5636</v>
      </c>
      <c r="H54" s="26" t="s">
        <v>78</v>
      </c>
      <c r="I54" s="27">
        <v>37194</v>
      </c>
      <c r="J54" s="26" t="s">
        <v>120</v>
      </c>
      <c r="K54" s="26" t="s">
        <v>79</v>
      </c>
      <c r="L54" s="26" t="s">
        <v>8</v>
      </c>
      <c r="M54" s="26" t="b">
        <v>0</v>
      </c>
      <c r="N54" s="26">
        <v>-25</v>
      </c>
      <c r="O54" s="26" t="s">
        <v>80</v>
      </c>
      <c r="P54" s="26" t="s">
        <v>81</v>
      </c>
      <c r="Q54" s="26" t="s">
        <v>82</v>
      </c>
      <c r="R54" s="26" t="s">
        <v>83</v>
      </c>
      <c r="S54" s="26" t="b">
        <v>0</v>
      </c>
      <c r="T54" s="26">
        <v>-10400</v>
      </c>
      <c r="U54" s="26">
        <v>30.5</v>
      </c>
      <c r="V54" s="26" t="s">
        <v>84</v>
      </c>
      <c r="W54" s="26">
        <v>0</v>
      </c>
      <c r="X54" s="26">
        <v>-317200</v>
      </c>
      <c r="Y54" s="27">
        <v>37215</v>
      </c>
      <c r="Z54" s="26">
        <v>27</v>
      </c>
      <c r="AA54" s="26">
        <v>36296</v>
      </c>
      <c r="AB54" s="26">
        <v>35692</v>
      </c>
    </row>
    <row r="55" spans="1:28" s="26" customFormat="1" ht="11.25" x14ac:dyDescent="0.2">
      <c r="A55" s="26" t="s">
        <v>195</v>
      </c>
      <c r="B55" s="26" t="s">
        <v>76</v>
      </c>
      <c r="C55" s="26" t="s">
        <v>77</v>
      </c>
      <c r="D55" s="27">
        <v>37347</v>
      </c>
      <c r="E55" s="27">
        <v>37437</v>
      </c>
      <c r="F55" s="23" t="s">
        <v>196</v>
      </c>
      <c r="G55" s="26">
        <v>5636</v>
      </c>
      <c r="H55" s="26" t="s">
        <v>78</v>
      </c>
      <c r="I55" s="27">
        <v>37194</v>
      </c>
      <c r="J55" s="26" t="s">
        <v>121</v>
      </c>
      <c r="K55" s="26" t="s">
        <v>79</v>
      </c>
      <c r="L55" s="26" t="s">
        <v>8</v>
      </c>
      <c r="M55" s="26" t="b">
        <v>0</v>
      </c>
      <c r="N55" s="26">
        <v>-25</v>
      </c>
      <c r="O55" s="26" t="s">
        <v>80</v>
      </c>
      <c r="P55" s="26" t="s">
        <v>81</v>
      </c>
      <c r="Q55" s="26" t="s">
        <v>82</v>
      </c>
      <c r="R55" s="26" t="s">
        <v>83</v>
      </c>
      <c r="S55" s="26" t="b">
        <v>0</v>
      </c>
      <c r="T55" s="26">
        <v>-10000</v>
      </c>
      <c r="U55" s="26">
        <v>30.5</v>
      </c>
      <c r="V55" s="26" t="s">
        <v>84</v>
      </c>
      <c r="W55" s="26">
        <v>0</v>
      </c>
      <c r="X55" s="26">
        <v>-305000</v>
      </c>
      <c r="Y55" s="27">
        <v>37215</v>
      </c>
      <c r="Z55" s="26">
        <v>27.75</v>
      </c>
      <c r="AA55" s="26">
        <v>27400</v>
      </c>
      <c r="AB55" s="26">
        <v>26856</v>
      </c>
    </row>
    <row r="56" spans="1:28" s="26" customFormat="1" ht="11.25" x14ac:dyDescent="0.2">
      <c r="A56" s="26" t="s">
        <v>98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200</v>
      </c>
      <c r="G56" s="26">
        <v>5750</v>
      </c>
      <c r="H56" s="26" t="s">
        <v>78</v>
      </c>
      <c r="I56" s="27">
        <v>37196</v>
      </c>
      <c r="J56" s="26" t="s">
        <v>119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29.75</v>
      </c>
      <c r="V56" s="26" t="s">
        <v>84</v>
      </c>
      <c r="W56" s="26">
        <v>0</v>
      </c>
      <c r="X56" s="26">
        <v>-309400</v>
      </c>
      <c r="Y56" s="27">
        <v>37215</v>
      </c>
      <c r="Z56" s="26">
        <v>27</v>
      </c>
      <c r="AA56" s="26">
        <v>28496</v>
      </c>
      <c r="AB56" s="26">
        <v>28112</v>
      </c>
    </row>
    <row r="57" spans="1:28" s="26" customFormat="1" ht="11.25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200</v>
      </c>
      <c r="G57" s="26">
        <v>5750</v>
      </c>
      <c r="H57" s="26" t="s">
        <v>78</v>
      </c>
      <c r="I57" s="27">
        <v>37196</v>
      </c>
      <c r="J57" s="26" t="s">
        <v>120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-10400</v>
      </c>
      <c r="U57" s="26">
        <v>29.75</v>
      </c>
      <c r="V57" s="26" t="s">
        <v>84</v>
      </c>
      <c r="W57" s="26">
        <v>0</v>
      </c>
      <c r="X57" s="26">
        <v>-309400</v>
      </c>
      <c r="Y57" s="27">
        <v>37215</v>
      </c>
      <c r="Z57" s="26">
        <v>27</v>
      </c>
      <c r="AA57" s="26">
        <v>28496</v>
      </c>
      <c r="AB57" s="26">
        <v>28022</v>
      </c>
    </row>
    <row r="58" spans="1:28" s="26" customFormat="1" ht="11.25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200</v>
      </c>
      <c r="G58" s="26">
        <v>5750</v>
      </c>
      <c r="H58" s="26" t="s">
        <v>78</v>
      </c>
      <c r="I58" s="27">
        <v>37196</v>
      </c>
      <c r="J58" s="26" t="s">
        <v>121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-10000</v>
      </c>
      <c r="U58" s="26">
        <v>29.75</v>
      </c>
      <c r="V58" s="26" t="s">
        <v>84</v>
      </c>
      <c r="W58" s="26">
        <v>0</v>
      </c>
      <c r="X58" s="26">
        <v>-297500</v>
      </c>
      <c r="Y58" s="27">
        <v>37215</v>
      </c>
      <c r="Z58" s="26">
        <v>27.75</v>
      </c>
      <c r="AA58" s="26">
        <v>19900</v>
      </c>
      <c r="AB58" s="26">
        <v>19505</v>
      </c>
    </row>
    <row r="59" spans="1:28" s="227" customFormat="1" ht="11.25" x14ac:dyDescent="0.2">
      <c r="A59" s="269" t="s">
        <v>215</v>
      </c>
      <c r="B59" s="269" t="s">
        <v>76</v>
      </c>
      <c r="C59" s="269" t="s">
        <v>77</v>
      </c>
      <c r="D59" s="270">
        <v>37257</v>
      </c>
      <c r="E59" s="270">
        <v>37346</v>
      </c>
      <c r="F59" s="22" t="s">
        <v>216</v>
      </c>
      <c r="G59" s="269">
        <v>6760</v>
      </c>
      <c r="H59" s="269" t="s">
        <v>78</v>
      </c>
      <c r="I59" s="270">
        <v>37209</v>
      </c>
      <c r="J59" s="269" t="s">
        <v>99</v>
      </c>
      <c r="K59" s="269" t="s">
        <v>79</v>
      </c>
      <c r="L59" s="269" t="s">
        <v>8</v>
      </c>
      <c r="M59" s="269" t="b">
        <v>0</v>
      </c>
      <c r="N59" s="269">
        <v>-25</v>
      </c>
      <c r="O59" s="269" t="s">
        <v>80</v>
      </c>
      <c r="P59" s="269" t="s">
        <v>81</v>
      </c>
      <c r="Q59" s="269" t="s">
        <v>82</v>
      </c>
      <c r="R59" s="269" t="s">
        <v>83</v>
      </c>
      <c r="S59" s="269" t="b">
        <v>0</v>
      </c>
      <c r="T59" s="269">
        <v>-10400</v>
      </c>
      <c r="U59" s="269">
        <v>32.25</v>
      </c>
      <c r="V59" s="269" t="s">
        <v>84</v>
      </c>
      <c r="W59" s="269">
        <v>0</v>
      </c>
      <c r="X59" s="269">
        <v>-335400</v>
      </c>
      <c r="Y59" s="270">
        <v>37215</v>
      </c>
      <c r="Z59" s="269">
        <v>32.5</v>
      </c>
      <c r="AA59" s="269">
        <v>-2704</v>
      </c>
      <c r="AB59" s="269">
        <v>-2692</v>
      </c>
    </row>
    <row r="60" spans="1:28" s="227" customFormat="1" ht="11.25" x14ac:dyDescent="0.2">
      <c r="A60" s="269" t="s">
        <v>215</v>
      </c>
      <c r="B60" s="269" t="s">
        <v>76</v>
      </c>
      <c r="C60" s="269" t="s">
        <v>77</v>
      </c>
      <c r="D60" s="270">
        <v>37257</v>
      </c>
      <c r="E60" s="270">
        <v>37346</v>
      </c>
      <c r="F60" s="22" t="s">
        <v>216</v>
      </c>
      <c r="G60" s="269">
        <v>6760</v>
      </c>
      <c r="H60" s="269" t="s">
        <v>78</v>
      </c>
      <c r="I60" s="270">
        <v>37209</v>
      </c>
      <c r="J60" s="269" t="s">
        <v>100</v>
      </c>
      <c r="K60" s="269" t="s">
        <v>79</v>
      </c>
      <c r="L60" s="269" t="s">
        <v>8</v>
      </c>
      <c r="M60" s="269" t="b">
        <v>0</v>
      </c>
      <c r="N60" s="269">
        <v>-25</v>
      </c>
      <c r="O60" s="269" t="s">
        <v>80</v>
      </c>
      <c r="P60" s="269" t="s">
        <v>81</v>
      </c>
      <c r="Q60" s="269" t="s">
        <v>82</v>
      </c>
      <c r="R60" s="269" t="s">
        <v>83</v>
      </c>
      <c r="S60" s="269" t="b">
        <v>0</v>
      </c>
      <c r="T60" s="269">
        <v>-9600</v>
      </c>
      <c r="U60" s="269">
        <v>32.25</v>
      </c>
      <c r="V60" s="269" t="s">
        <v>84</v>
      </c>
      <c r="W60" s="269">
        <v>0</v>
      </c>
      <c r="X60" s="269">
        <v>-309600</v>
      </c>
      <c r="Y60" s="270">
        <v>37215</v>
      </c>
      <c r="Z60" s="269">
        <v>31.5</v>
      </c>
      <c r="AA60" s="269">
        <v>7104</v>
      </c>
      <c r="AB60" s="269">
        <v>7051</v>
      </c>
    </row>
    <row r="61" spans="1:28" s="227" customFormat="1" ht="11.25" x14ac:dyDescent="0.2">
      <c r="A61" s="269" t="s">
        <v>215</v>
      </c>
      <c r="B61" s="269" t="s">
        <v>76</v>
      </c>
      <c r="C61" s="269" t="s">
        <v>77</v>
      </c>
      <c r="D61" s="270">
        <v>37257</v>
      </c>
      <c r="E61" s="270">
        <v>37346</v>
      </c>
      <c r="F61" s="22" t="s">
        <v>216</v>
      </c>
      <c r="G61" s="269">
        <v>6760</v>
      </c>
      <c r="H61" s="269" t="s">
        <v>78</v>
      </c>
      <c r="I61" s="270">
        <v>37209</v>
      </c>
      <c r="J61" s="269" t="s">
        <v>101</v>
      </c>
      <c r="K61" s="269" t="s">
        <v>79</v>
      </c>
      <c r="L61" s="269" t="s">
        <v>8</v>
      </c>
      <c r="M61" s="269" t="b">
        <v>0</v>
      </c>
      <c r="N61" s="269">
        <v>-25</v>
      </c>
      <c r="O61" s="269" t="s">
        <v>80</v>
      </c>
      <c r="P61" s="269" t="s">
        <v>81</v>
      </c>
      <c r="Q61" s="269" t="s">
        <v>82</v>
      </c>
      <c r="R61" s="269" t="s">
        <v>83</v>
      </c>
      <c r="S61" s="269" t="b">
        <v>0</v>
      </c>
      <c r="T61" s="269">
        <v>-10400</v>
      </c>
      <c r="U61" s="269">
        <v>32.25</v>
      </c>
      <c r="V61" s="269" t="s">
        <v>84</v>
      </c>
      <c r="W61" s="269">
        <v>0</v>
      </c>
      <c r="X61" s="269">
        <v>-335400</v>
      </c>
      <c r="Y61" s="270">
        <v>37215</v>
      </c>
      <c r="Z61" s="269">
        <v>30</v>
      </c>
      <c r="AA61" s="269">
        <v>23296</v>
      </c>
      <c r="AB61" s="269">
        <v>23057</v>
      </c>
    </row>
    <row r="62" spans="1:28" s="227" customFormat="1" ht="11.25" x14ac:dyDescent="0.2">
      <c r="A62" s="269" t="s">
        <v>215</v>
      </c>
      <c r="B62" s="269" t="s">
        <v>76</v>
      </c>
      <c r="C62" s="269" t="s">
        <v>77</v>
      </c>
      <c r="D62" s="270">
        <v>37257</v>
      </c>
      <c r="E62" s="270">
        <v>37346</v>
      </c>
      <c r="F62" s="22" t="s">
        <v>217</v>
      </c>
      <c r="G62" s="269">
        <v>6761</v>
      </c>
      <c r="H62" s="269" t="s">
        <v>78</v>
      </c>
      <c r="I62" s="270">
        <v>37209</v>
      </c>
      <c r="J62" s="269" t="s">
        <v>99</v>
      </c>
      <c r="K62" s="269" t="s">
        <v>85</v>
      </c>
      <c r="L62" s="269" t="s">
        <v>10</v>
      </c>
      <c r="M62" s="269" t="b">
        <v>0</v>
      </c>
      <c r="N62" s="269">
        <v>25</v>
      </c>
      <c r="O62" s="269" t="s">
        <v>80</v>
      </c>
      <c r="P62" s="269" t="s">
        <v>81</v>
      </c>
      <c r="Q62" s="269" t="s">
        <v>82</v>
      </c>
      <c r="R62" s="269" t="s">
        <v>83</v>
      </c>
      <c r="S62" s="269" t="b">
        <v>0</v>
      </c>
      <c r="T62" s="269">
        <v>10400</v>
      </c>
      <c r="U62" s="269">
        <v>29.25</v>
      </c>
      <c r="V62" s="269" t="s">
        <v>84</v>
      </c>
      <c r="W62" s="269">
        <v>0</v>
      </c>
      <c r="X62" s="269">
        <v>304200</v>
      </c>
      <c r="Y62" s="270">
        <v>37215</v>
      </c>
      <c r="Z62" s="269">
        <v>30.35</v>
      </c>
      <c r="AA62" s="269">
        <v>11336</v>
      </c>
      <c r="AB62" s="269">
        <v>11287</v>
      </c>
    </row>
    <row r="63" spans="1:28" s="227" customFormat="1" ht="11.25" x14ac:dyDescent="0.2">
      <c r="A63" s="269" t="s">
        <v>215</v>
      </c>
      <c r="B63" s="269" t="s">
        <v>76</v>
      </c>
      <c r="C63" s="269" t="s">
        <v>77</v>
      </c>
      <c r="D63" s="270">
        <v>37257</v>
      </c>
      <c r="E63" s="270">
        <v>37346</v>
      </c>
      <c r="F63" s="22" t="s">
        <v>217</v>
      </c>
      <c r="G63" s="269">
        <v>6761</v>
      </c>
      <c r="H63" s="269" t="s">
        <v>78</v>
      </c>
      <c r="I63" s="270">
        <v>37209</v>
      </c>
      <c r="J63" s="269" t="s">
        <v>101</v>
      </c>
      <c r="K63" s="269" t="s">
        <v>85</v>
      </c>
      <c r="L63" s="269" t="s">
        <v>10</v>
      </c>
      <c r="M63" s="269" t="b">
        <v>0</v>
      </c>
      <c r="N63" s="269">
        <v>25</v>
      </c>
      <c r="O63" s="269" t="s">
        <v>80</v>
      </c>
      <c r="P63" s="269" t="s">
        <v>81</v>
      </c>
      <c r="Q63" s="269" t="s">
        <v>82</v>
      </c>
      <c r="R63" s="269" t="s">
        <v>83</v>
      </c>
      <c r="S63" s="269" t="b">
        <v>0</v>
      </c>
      <c r="T63" s="269">
        <v>10400</v>
      </c>
      <c r="U63" s="269">
        <v>29.25</v>
      </c>
      <c r="V63" s="269" t="s">
        <v>84</v>
      </c>
      <c r="W63" s="269">
        <v>0</v>
      </c>
      <c r="X63" s="269">
        <v>304200</v>
      </c>
      <c r="Y63" s="270">
        <v>37215</v>
      </c>
      <c r="Z63" s="269">
        <v>30</v>
      </c>
      <c r="AA63" s="269">
        <v>7696</v>
      </c>
      <c r="AB63" s="269">
        <v>7617</v>
      </c>
    </row>
    <row r="64" spans="1:28" s="227" customFormat="1" ht="11.25" x14ac:dyDescent="0.2">
      <c r="A64" s="269" t="s">
        <v>215</v>
      </c>
      <c r="B64" s="269" t="s">
        <v>76</v>
      </c>
      <c r="C64" s="269" t="s">
        <v>77</v>
      </c>
      <c r="D64" s="270">
        <v>37257</v>
      </c>
      <c r="E64" s="270">
        <v>37346</v>
      </c>
      <c r="F64" s="22" t="s">
        <v>217</v>
      </c>
      <c r="G64" s="269">
        <v>6761</v>
      </c>
      <c r="H64" s="269" t="s">
        <v>78</v>
      </c>
      <c r="I64" s="270">
        <v>37209</v>
      </c>
      <c r="J64" s="269" t="s">
        <v>100</v>
      </c>
      <c r="K64" s="269" t="s">
        <v>85</v>
      </c>
      <c r="L64" s="269" t="s">
        <v>10</v>
      </c>
      <c r="M64" s="269" t="b">
        <v>0</v>
      </c>
      <c r="N64" s="269">
        <v>25</v>
      </c>
      <c r="O64" s="269" t="s">
        <v>80</v>
      </c>
      <c r="P64" s="269" t="s">
        <v>81</v>
      </c>
      <c r="Q64" s="269" t="s">
        <v>82</v>
      </c>
      <c r="R64" s="269" t="s">
        <v>83</v>
      </c>
      <c r="S64" s="269" t="b">
        <v>0</v>
      </c>
      <c r="T64" s="269">
        <v>9600</v>
      </c>
      <c r="U64" s="269">
        <v>29.25</v>
      </c>
      <c r="V64" s="269" t="s">
        <v>84</v>
      </c>
      <c r="W64" s="269">
        <v>0</v>
      </c>
      <c r="X64" s="269">
        <v>280800</v>
      </c>
      <c r="Y64" s="270">
        <v>37215</v>
      </c>
      <c r="Z64" s="269">
        <v>30</v>
      </c>
      <c r="AA64" s="269">
        <v>7104</v>
      </c>
      <c r="AB64" s="269">
        <v>7051</v>
      </c>
    </row>
    <row r="65" spans="1:28" s="271" customFormat="1" ht="11.25" x14ac:dyDescent="0.2">
      <c r="A65" s="271" t="s">
        <v>220</v>
      </c>
      <c r="B65" s="271" t="s">
        <v>76</v>
      </c>
      <c r="C65" s="271" t="s">
        <v>77</v>
      </c>
      <c r="D65" s="272">
        <v>37257</v>
      </c>
      <c r="E65" s="272">
        <v>37346</v>
      </c>
      <c r="F65" s="271" t="s">
        <v>221</v>
      </c>
      <c r="G65" s="271">
        <v>6875</v>
      </c>
      <c r="H65" s="271" t="s">
        <v>78</v>
      </c>
      <c r="I65" s="272">
        <v>37210</v>
      </c>
      <c r="J65" s="271" t="s">
        <v>99</v>
      </c>
      <c r="K65" s="271" t="s">
        <v>79</v>
      </c>
      <c r="L65" s="271" t="s">
        <v>8</v>
      </c>
      <c r="M65" s="271" t="b">
        <v>0</v>
      </c>
      <c r="N65" s="271">
        <v>-25</v>
      </c>
      <c r="O65" s="271" t="s">
        <v>80</v>
      </c>
      <c r="P65" s="271" t="s">
        <v>81</v>
      </c>
      <c r="Q65" s="271" t="s">
        <v>82</v>
      </c>
      <c r="R65" s="271" t="s">
        <v>83</v>
      </c>
      <c r="S65" s="271" t="b">
        <v>0</v>
      </c>
      <c r="T65" s="271">
        <v>-10400</v>
      </c>
      <c r="U65" s="271">
        <v>31.65</v>
      </c>
      <c r="V65" s="271" t="s">
        <v>84</v>
      </c>
      <c r="W65" s="271">
        <v>0</v>
      </c>
      <c r="X65" s="271">
        <v>-329160</v>
      </c>
      <c r="Y65" s="272">
        <v>37215</v>
      </c>
      <c r="Z65" s="271">
        <v>32.5</v>
      </c>
      <c r="AA65" s="271">
        <v>-8944</v>
      </c>
      <c r="AB65" s="271">
        <v>-8905</v>
      </c>
    </row>
    <row r="66" spans="1:28" s="271" customFormat="1" ht="11.25" x14ac:dyDescent="0.2">
      <c r="A66" s="271" t="s">
        <v>220</v>
      </c>
      <c r="B66" s="271" t="s">
        <v>76</v>
      </c>
      <c r="C66" s="271" t="s">
        <v>77</v>
      </c>
      <c r="D66" s="272">
        <v>37257</v>
      </c>
      <c r="E66" s="272">
        <v>37346</v>
      </c>
      <c r="F66" s="271" t="s">
        <v>221</v>
      </c>
      <c r="G66" s="271">
        <v>6875</v>
      </c>
      <c r="H66" s="271" t="s">
        <v>78</v>
      </c>
      <c r="I66" s="272">
        <v>37210</v>
      </c>
      <c r="J66" s="271" t="s">
        <v>101</v>
      </c>
      <c r="K66" s="271" t="s">
        <v>79</v>
      </c>
      <c r="L66" s="271" t="s">
        <v>8</v>
      </c>
      <c r="M66" s="271" t="b">
        <v>0</v>
      </c>
      <c r="N66" s="271">
        <v>-25</v>
      </c>
      <c r="O66" s="271" t="s">
        <v>80</v>
      </c>
      <c r="P66" s="271" t="s">
        <v>81</v>
      </c>
      <c r="Q66" s="271" t="s">
        <v>82</v>
      </c>
      <c r="R66" s="271" t="s">
        <v>83</v>
      </c>
      <c r="S66" s="271" t="b">
        <v>0</v>
      </c>
      <c r="T66" s="271">
        <v>-10400</v>
      </c>
      <c r="U66" s="271">
        <v>31.65</v>
      </c>
      <c r="V66" s="271" t="s">
        <v>84</v>
      </c>
      <c r="W66" s="271">
        <v>0</v>
      </c>
      <c r="X66" s="271">
        <v>-329160</v>
      </c>
      <c r="Y66" s="272">
        <v>37215</v>
      </c>
      <c r="Z66" s="271">
        <v>30</v>
      </c>
      <c r="AA66" s="271">
        <v>17056</v>
      </c>
      <c r="AB66" s="271">
        <v>16881</v>
      </c>
    </row>
    <row r="67" spans="1:28" s="271" customFormat="1" ht="11.25" x14ac:dyDescent="0.2">
      <c r="A67" s="271" t="s">
        <v>220</v>
      </c>
      <c r="B67" s="271" t="s">
        <v>76</v>
      </c>
      <c r="C67" s="271" t="s">
        <v>77</v>
      </c>
      <c r="D67" s="272">
        <v>37257</v>
      </c>
      <c r="E67" s="272">
        <v>37346</v>
      </c>
      <c r="F67" s="271" t="s">
        <v>221</v>
      </c>
      <c r="G67" s="271">
        <v>6875</v>
      </c>
      <c r="H67" s="271" t="s">
        <v>78</v>
      </c>
      <c r="I67" s="272">
        <v>37210</v>
      </c>
      <c r="J67" s="271" t="s">
        <v>100</v>
      </c>
      <c r="K67" s="271" t="s">
        <v>79</v>
      </c>
      <c r="L67" s="271" t="s">
        <v>8</v>
      </c>
      <c r="M67" s="271" t="b">
        <v>0</v>
      </c>
      <c r="N67" s="271">
        <v>-25</v>
      </c>
      <c r="O67" s="271" t="s">
        <v>80</v>
      </c>
      <c r="P67" s="271" t="s">
        <v>81</v>
      </c>
      <c r="Q67" s="271" t="s">
        <v>82</v>
      </c>
      <c r="R67" s="271" t="s">
        <v>83</v>
      </c>
      <c r="S67" s="271" t="b">
        <v>0</v>
      </c>
      <c r="T67" s="271">
        <v>-9600</v>
      </c>
      <c r="U67" s="271">
        <v>31.65</v>
      </c>
      <c r="V67" s="271" t="s">
        <v>84</v>
      </c>
      <c r="W67" s="271">
        <v>0</v>
      </c>
      <c r="X67" s="271">
        <v>-303840</v>
      </c>
      <c r="Y67" s="272">
        <v>37215</v>
      </c>
      <c r="Z67" s="271">
        <v>31.5</v>
      </c>
      <c r="AA67" s="271">
        <v>1344</v>
      </c>
      <c r="AB67" s="271">
        <v>1334</v>
      </c>
    </row>
    <row r="68" spans="1:28" s="271" customFormat="1" ht="11.25" x14ac:dyDescent="0.2">
      <c r="A68" s="271" t="s">
        <v>86</v>
      </c>
      <c r="B68" s="271" t="s">
        <v>76</v>
      </c>
      <c r="C68" s="271" t="s">
        <v>77</v>
      </c>
      <c r="D68" s="272">
        <v>37257</v>
      </c>
      <c r="E68" s="272">
        <v>37346</v>
      </c>
      <c r="F68" s="271" t="s">
        <v>222</v>
      </c>
      <c r="G68" s="271">
        <v>6876</v>
      </c>
      <c r="H68" s="271" t="s">
        <v>78</v>
      </c>
      <c r="I68" s="272">
        <v>37210</v>
      </c>
      <c r="J68" s="271" t="s">
        <v>99</v>
      </c>
      <c r="K68" s="271" t="s">
        <v>85</v>
      </c>
      <c r="L68" s="271" t="s">
        <v>10</v>
      </c>
      <c r="M68" s="271" t="b">
        <v>0</v>
      </c>
      <c r="N68" s="271">
        <v>25</v>
      </c>
      <c r="O68" s="271" t="s">
        <v>80</v>
      </c>
      <c r="P68" s="271" t="s">
        <v>81</v>
      </c>
      <c r="Q68" s="271" t="s">
        <v>82</v>
      </c>
      <c r="R68" s="271" t="s">
        <v>83</v>
      </c>
      <c r="S68" s="271" t="b">
        <v>0</v>
      </c>
      <c r="T68" s="271">
        <v>10400</v>
      </c>
      <c r="U68" s="271">
        <v>28.8</v>
      </c>
      <c r="V68" s="271" t="s">
        <v>84</v>
      </c>
      <c r="W68" s="271">
        <v>0</v>
      </c>
      <c r="X68" s="271">
        <v>299520</v>
      </c>
      <c r="Y68" s="272">
        <v>37215</v>
      </c>
      <c r="Z68" s="271">
        <v>30.35</v>
      </c>
      <c r="AA68" s="271">
        <v>16016</v>
      </c>
      <c r="AB68" s="271">
        <v>15947</v>
      </c>
    </row>
    <row r="69" spans="1:28" s="271" customFormat="1" ht="11.25" x14ac:dyDescent="0.2">
      <c r="A69" s="271" t="s">
        <v>86</v>
      </c>
      <c r="B69" s="271" t="s">
        <v>76</v>
      </c>
      <c r="C69" s="271" t="s">
        <v>77</v>
      </c>
      <c r="D69" s="272">
        <v>37257</v>
      </c>
      <c r="E69" s="272">
        <v>37346</v>
      </c>
      <c r="F69" s="271" t="s">
        <v>222</v>
      </c>
      <c r="G69" s="271">
        <v>6876</v>
      </c>
      <c r="H69" s="271" t="s">
        <v>78</v>
      </c>
      <c r="I69" s="272">
        <v>37210</v>
      </c>
      <c r="J69" s="271" t="s">
        <v>101</v>
      </c>
      <c r="K69" s="271" t="s">
        <v>85</v>
      </c>
      <c r="L69" s="271" t="s">
        <v>10</v>
      </c>
      <c r="M69" s="271" t="b">
        <v>0</v>
      </c>
      <c r="N69" s="271">
        <v>25</v>
      </c>
      <c r="O69" s="271" t="s">
        <v>80</v>
      </c>
      <c r="P69" s="271" t="s">
        <v>81</v>
      </c>
      <c r="Q69" s="271" t="s">
        <v>82</v>
      </c>
      <c r="R69" s="271" t="s">
        <v>83</v>
      </c>
      <c r="S69" s="271" t="b">
        <v>0</v>
      </c>
      <c r="T69" s="271">
        <v>10400</v>
      </c>
      <c r="U69" s="271">
        <v>28.8</v>
      </c>
      <c r="V69" s="271" t="s">
        <v>84</v>
      </c>
      <c r="W69" s="271">
        <v>0</v>
      </c>
      <c r="X69" s="271">
        <v>299520</v>
      </c>
      <c r="Y69" s="272">
        <v>37215</v>
      </c>
      <c r="Z69" s="271">
        <v>30</v>
      </c>
      <c r="AA69" s="271">
        <v>12376</v>
      </c>
      <c r="AB69" s="271">
        <v>12249</v>
      </c>
    </row>
    <row r="70" spans="1:28" s="271" customFormat="1" ht="11.25" x14ac:dyDescent="0.2">
      <c r="A70" s="271" t="s">
        <v>86</v>
      </c>
      <c r="B70" s="271" t="s">
        <v>76</v>
      </c>
      <c r="C70" s="271" t="s">
        <v>77</v>
      </c>
      <c r="D70" s="272">
        <v>37257</v>
      </c>
      <c r="E70" s="272">
        <v>37346</v>
      </c>
      <c r="F70" s="271" t="s">
        <v>222</v>
      </c>
      <c r="G70" s="271">
        <v>6876</v>
      </c>
      <c r="H70" s="271" t="s">
        <v>78</v>
      </c>
      <c r="I70" s="272">
        <v>37210</v>
      </c>
      <c r="J70" s="271" t="s">
        <v>100</v>
      </c>
      <c r="K70" s="271" t="s">
        <v>85</v>
      </c>
      <c r="L70" s="271" t="s">
        <v>10</v>
      </c>
      <c r="M70" s="271" t="b">
        <v>0</v>
      </c>
      <c r="N70" s="271">
        <v>25</v>
      </c>
      <c r="O70" s="271" t="s">
        <v>80</v>
      </c>
      <c r="P70" s="271" t="s">
        <v>81</v>
      </c>
      <c r="Q70" s="271" t="s">
        <v>82</v>
      </c>
      <c r="R70" s="271" t="s">
        <v>83</v>
      </c>
      <c r="S70" s="271" t="b">
        <v>0</v>
      </c>
      <c r="T70" s="271">
        <v>9600</v>
      </c>
      <c r="U70" s="271">
        <v>28.8</v>
      </c>
      <c r="V70" s="271" t="s">
        <v>84</v>
      </c>
      <c r="W70" s="271">
        <v>0</v>
      </c>
      <c r="X70" s="271">
        <v>276480</v>
      </c>
      <c r="Y70" s="272">
        <v>37215</v>
      </c>
      <c r="Z70" s="271">
        <v>30</v>
      </c>
      <c r="AA70" s="271">
        <v>11424</v>
      </c>
      <c r="AB70" s="271">
        <v>11338</v>
      </c>
    </row>
    <row r="71" spans="1:28" ht="9.75" customHeight="1" x14ac:dyDescent="0.15">
      <c r="T71" s="237"/>
    </row>
    <row r="72" spans="1:28" ht="9.75" customHeight="1" x14ac:dyDescent="0.15">
      <c r="T72" s="237"/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109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SUM(B113:B65536)</f>
        <v>3808081</v>
      </c>
      <c r="E1" s="69" t="s">
        <v>122</v>
      </c>
    </row>
    <row r="2" spans="1:6" x14ac:dyDescent="0.2">
      <c r="A2" s="69" t="s">
        <v>94</v>
      </c>
      <c r="C2" s="49">
        <f>SUM(C113:C65536)</f>
        <v>330061.59999999998</v>
      </c>
      <c r="E2" s="69" t="s">
        <v>198</v>
      </c>
      <c r="F2" s="49">
        <f>SUM(C104:C123)</f>
        <v>778710.6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2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2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2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2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201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812734.6</v>
      </c>
      <c r="H101" s="69" t="s">
        <v>202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SUM(E113:E298)</f>
        <v>330061.59999999998</v>
      </c>
      <c r="H102" s="69" t="s">
        <v>203</v>
      </c>
    </row>
    <row r="103" spans="1:8" s="156" customFormat="1" ht="12" thickBot="1" x14ac:dyDescent="0.25">
      <c r="A103" s="154">
        <v>37195</v>
      </c>
      <c r="B103" s="155">
        <v>65756</v>
      </c>
      <c r="C103" s="274">
        <f>-26531+108467-74443</f>
        <v>7493</v>
      </c>
      <c r="E103" s="276">
        <v>-26531</v>
      </c>
    </row>
    <row r="104" spans="1:8" ht="12" thickTop="1" x14ac:dyDescent="0.2">
      <c r="A104" s="82">
        <v>37196</v>
      </c>
      <c r="B104" s="126">
        <v>134898</v>
      </c>
      <c r="C104" s="275">
        <f>140021-108467</f>
        <v>31554</v>
      </c>
      <c r="E104" s="271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1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>
        <v>14484</v>
      </c>
      <c r="C116" s="126">
        <v>114081</v>
      </c>
      <c r="E116" s="126">
        <v>114081</v>
      </c>
    </row>
    <row r="117" spans="1:5" x14ac:dyDescent="0.2">
      <c r="A117" s="82">
        <v>37215</v>
      </c>
      <c r="B117" s="126">
        <v>-688</v>
      </c>
      <c r="C117" s="126">
        <v>-15635</v>
      </c>
      <c r="E117" s="126">
        <v>-15635</v>
      </c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2" thickBot="1" x14ac:dyDescent="0.25">
      <c r="A123" s="154">
        <v>37225</v>
      </c>
      <c r="B123" s="155"/>
      <c r="C123" s="155"/>
    </row>
    <row r="124" spans="1:5" ht="12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/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211</v>
      </c>
    </row>
    <row r="4" spans="1:7" x14ac:dyDescent="0.2">
      <c r="A4" s="277" t="s">
        <v>204</v>
      </c>
      <c r="B4" s="277" t="s">
        <v>205</v>
      </c>
      <c r="C4" s="277" t="s">
        <v>206</v>
      </c>
      <c r="D4" s="277" t="s">
        <v>207</v>
      </c>
      <c r="E4" s="278"/>
      <c r="F4" s="280">
        <f>'POWER SUM'!C24</f>
        <v>-61600</v>
      </c>
    </row>
    <row r="5" spans="1:7" x14ac:dyDescent="0.2">
      <c r="A5" s="277" t="s">
        <v>204</v>
      </c>
      <c r="B5" s="277" t="s">
        <v>208</v>
      </c>
      <c r="C5" s="277" t="s">
        <v>206</v>
      </c>
      <c r="D5" s="277" t="s">
        <v>209</v>
      </c>
      <c r="E5" s="279"/>
      <c r="F5" s="281">
        <v>-15635</v>
      </c>
      <c r="G5" s="69" t="s">
        <v>214</v>
      </c>
    </row>
    <row r="6" spans="1:7" x14ac:dyDescent="0.2">
      <c r="A6" s="277" t="s">
        <v>204</v>
      </c>
      <c r="B6" s="277" t="s">
        <v>208</v>
      </c>
      <c r="C6" s="277" t="s">
        <v>210</v>
      </c>
      <c r="D6" s="277" t="s">
        <v>209</v>
      </c>
      <c r="E6" s="279"/>
      <c r="F6" s="280">
        <f>'5-DAY'!G102</f>
        <v>330061.59999999998</v>
      </c>
    </row>
    <row r="7" spans="1:7" x14ac:dyDescent="0.2">
      <c r="A7" s="277" t="s">
        <v>204</v>
      </c>
      <c r="B7" s="277" t="s">
        <v>208</v>
      </c>
      <c r="C7" s="277" t="s">
        <v>110</v>
      </c>
      <c r="D7" s="277" t="s">
        <v>209</v>
      </c>
      <c r="E7" s="279"/>
      <c r="F7" s="280">
        <f>'5-DAY'!G101</f>
        <v>812734.6</v>
      </c>
    </row>
    <row r="8" spans="1:7" x14ac:dyDescent="0.2">
      <c r="A8" s="277" t="s">
        <v>204</v>
      </c>
      <c r="B8" s="277" t="s">
        <v>208</v>
      </c>
      <c r="C8" s="277" t="s">
        <v>111</v>
      </c>
      <c r="D8" s="277" t="s">
        <v>209</v>
      </c>
      <c r="E8" s="279"/>
      <c r="F8" s="280">
        <f>'POWER SUM'!C29</f>
        <v>693710.01000000013</v>
      </c>
    </row>
    <row r="9" spans="1:7" x14ac:dyDescent="0.2">
      <c r="A9" s="277" t="s">
        <v>204</v>
      </c>
      <c r="B9" s="277" t="s">
        <v>208</v>
      </c>
      <c r="C9" s="277" t="s">
        <v>112</v>
      </c>
      <c r="D9" s="277" t="s">
        <v>209</v>
      </c>
      <c r="E9" s="279"/>
      <c r="F9" s="280">
        <f>'POWER SUM'!C30</f>
        <v>-13448567.597999997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pane="bottomLeft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>
        <v>37214</v>
      </c>
      <c r="B79" s="68">
        <v>3474065</v>
      </c>
      <c r="C79" s="68">
        <v>56093</v>
      </c>
      <c r="D79" s="68">
        <v>3488022</v>
      </c>
    </row>
    <row r="80" spans="1:4" x14ac:dyDescent="0.2">
      <c r="A80" s="127">
        <v>37215</v>
      </c>
      <c r="B80" s="68">
        <v>3825623</v>
      </c>
      <c r="C80" s="68">
        <v>65780</v>
      </c>
      <c r="D80" s="68">
        <v>3825623</v>
      </c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/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-51658.122000000032</v>
      </c>
      <c r="C3" s="177">
        <f>MWH!D41</f>
        <v>-42257.891999999993</v>
      </c>
      <c r="D3" s="177">
        <f>MWH!E41</f>
        <v>-5625.8950000000186</v>
      </c>
      <c r="E3" s="177">
        <f>MWH!F41</f>
        <v>-15913.987999999954</v>
      </c>
      <c r="F3" s="177">
        <f>MWH!G41</f>
        <v>-35618.277999999933</v>
      </c>
      <c r="G3" s="177">
        <f>MWH!H41</f>
        <v>-28750.880000000121</v>
      </c>
      <c r="H3" s="177">
        <f>MWH!I41</f>
        <v>-100220.09900000005</v>
      </c>
      <c r="I3" s="177">
        <f>MWH!J41</f>
        <v>98971.989000000118</v>
      </c>
      <c r="J3" s="177">
        <f>MWH!K41</f>
        <v>50749.46399999992</v>
      </c>
      <c r="K3" s="177">
        <f>MWH!L41</f>
        <v>-24153.344999999972</v>
      </c>
      <c r="L3" s="177">
        <f>MWH!M41</f>
        <v>-82943.075000000012</v>
      </c>
      <c r="M3" s="177">
        <f>MWH!N41</f>
        <v>-97365.516999999993</v>
      </c>
      <c r="N3" s="177">
        <f>MWH!O41</f>
        <v>-84194.396999999997</v>
      </c>
      <c r="O3" s="177">
        <f>MWH!P41</f>
        <v>-494788.16899999994</v>
      </c>
      <c r="P3" s="177">
        <f>MWH!Q41</f>
        <v>-414932.897</v>
      </c>
      <c r="Q3" s="177">
        <f>MWH!R41</f>
        <v>-329974.55499999993</v>
      </c>
      <c r="R3" s="177">
        <f>MWH!S41</f>
        <v>-365117.08299999998</v>
      </c>
      <c r="S3" s="177">
        <f>MWH!T41</f>
        <v>-384487.28599999996</v>
      </c>
      <c r="T3" s="177">
        <f>MWH!U41</f>
        <v>-452674.05899999995</v>
      </c>
      <c r="U3" s="177">
        <f>MWH!V41</f>
        <v>-274582.09799999994</v>
      </c>
      <c r="V3" s="177">
        <f>MWH!W41</f>
        <v>-334161.18299999996</v>
      </c>
      <c r="W3" s="177">
        <f>MWH!X41</f>
        <v>-332931.55399999995</v>
      </c>
      <c r="X3" s="177">
        <f>MWH!Y41</f>
        <v>-397487.75920000009</v>
      </c>
      <c r="Y3" s="177">
        <f>MWH!Z41</f>
        <v>-464609.39399999997</v>
      </c>
    </row>
    <row r="5" spans="1:26" x14ac:dyDescent="0.2">
      <c r="A5" t="s">
        <v>130</v>
      </c>
      <c r="M5" s="177">
        <f>SUM(B3:M3)</f>
        <v>-334785.63800000004</v>
      </c>
      <c r="N5" s="177">
        <f t="shared" ref="N5:Y5" si="0">SUM(C3:N3)</f>
        <v>-367321.913</v>
      </c>
      <c r="O5" s="177">
        <f t="shared" si="0"/>
        <v>-819852.19</v>
      </c>
      <c r="P5" s="177">
        <f t="shared" si="0"/>
        <v>-1229159.1919999998</v>
      </c>
      <c r="Q5" s="177">
        <f t="shared" si="0"/>
        <v>-1543219.7589999998</v>
      </c>
      <c r="R5" s="177">
        <f t="shared" si="0"/>
        <v>-1872718.5639999998</v>
      </c>
      <c r="S5" s="177">
        <f t="shared" si="0"/>
        <v>-2228454.9699999997</v>
      </c>
      <c r="T5" s="177">
        <f t="shared" si="0"/>
        <v>-2580908.9299999992</v>
      </c>
      <c r="U5" s="177">
        <f t="shared" si="0"/>
        <v>-2954463.0169999995</v>
      </c>
      <c r="V5" s="177">
        <f t="shared" si="0"/>
        <v>-3339373.6639999989</v>
      </c>
      <c r="W5" s="177">
        <f t="shared" si="0"/>
        <v>-3648151.8729999992</v>
      </c>
      <c r="X5" s="177">
        <f t="shared" si="0"/>
        <v>-3962696.5571999992</v>
      </c>
      <c r="Y5" s="177">
        <f t="shared" si="0"/>
        <v>-4329940.4341999991</v>
      </c>
    </row>
    <row r="7" spans="1:26" x14ac:dyDescent="0.2">
      <c r="A7" t="s">
        <v>131</v>
      </c>
      <c r="B7" s="178">
        <f>MAX(B5:Y5)</f>
        <v>-334785.63800000004</v>
      </c>
      <c r="C7" s="177">
        <f>MIN(M5:Y5)</f>
        <v>-4329940.4341999991</v>
      </c>
    </row>
    <row r="8" spans="1:26" x14ac:dyDescent="0.2">
      <c r="B8" s="179">
        <f>IF(ABS(C7)&gt;ABS(B7),C7,B7)</f>
        <v>-4329940.4341999991</v>
      </c>
    </row>
    <row r="10" spans="1:26" x14ac:dyDescent="0.2">
      <c r="A10" s="69" t="s">
        <v>132</v>
      </c>
      <c r="B10" s="177">
        <f>MWH!C26</f>
        <v>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-61600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-61600</v>
      </c>
    </row>
    <row r="15" spans="1:26" x14ac:dyDescent="0.2">
      <c r="B15" s="179">
        <f>IF(ABS(C14)&gt;ABS(B14),C14,B14)</f>
        <v>-61600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5" x14ac:dyDescent="0.15">
      <c r="A1" s="133" t="s">
        <v>114</v>
      </c>
      <c r="C1" s="135"/>
      <c r="G1" s="144"/>
    </row>
    <row r="2" spans="1:19" ht="10.5" x14ac:dyDescent="0.15">
      <c r="A2" s="133" t="str">
        <f>'POWER SUM'!A3</f>
        <v>As of November 20, 2001</v>
      </c>
    </row>
    <row r="3" spans="1:19" x14ac:dyDescent="0.15">
      <c r="N3" s="139"/>
      <c r="O3" s="134"/>
    </row>
    <row r="4" spans="1:19" x14ac:dyDescent="0.15">
      <c r="N4" s="139"/>
      <c r="O4" s="134"/>
    </row>
    <row r="5" spans="1:19" x14ac:dyDescent="0.15">
      <c r="N5" s="139" t="s">
        <v>113</v>
      </c>
      <c r="O5" s="134"/>
    </row>
    <row r="6" spans="1:19" x14ac:dyDescent="0.15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15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15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15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15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15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15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15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15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15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15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15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15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15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15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15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15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15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15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15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15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15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15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15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15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15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15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15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15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15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15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15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15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15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15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15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15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15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15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15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15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15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15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15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15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15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15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15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15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15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15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15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15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15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15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15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15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15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15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15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15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15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15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15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15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15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15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15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15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15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15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15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15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15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15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15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15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15">
      <c r="N83" s="197">
        <f>'5-DAY'!A116</f>
        <v>37214</v>
      </c>
      <c r="O83" s="198">
        <f>'5-DAY'!B116/1000</f>
        <v>14.484</v>
      </c>
      <c r="P83" s="198">
        <f t="shared" si="9"/>
        <v>5056.7420000000002</v>
      </c>
      <c r="Q83" s="198">
        <f>VAR!B79/1000</f>
        <v>3474.0650000000001</v>
      </c>
    </row>
    <row r="84" spans="14:17" x14ac:dyDescent="0.15">
      <c r="N84" s="197">
        <f>'5-DAY'!A117</f>
        <v>37215</v>
      </c>
      <c r="O84" s="198">
        <f>'5-DAY'!B117/1000</f>
        <v>-0.68799999999999994</v>
      </c>
      <c r="P84" s="198">
        <f t="shared" si="9"/>
        <v>3808.0809999999997</v>
      </c>
      <c r="Q84" s="198">
        <f>VAR!B80/1000</f>
        <v>3825.623</v>
      </c>
    </row>
    <row r="85" spans="14:17" x14ac:dyDescent="0.15">
      <c r="N85" s="197">
        <f>'5-DAY'!A118</f>
        <v>37216</v>
      </c>
      <c r="O85" s="198">
        <f>'5-DAY'!B118/1000</f>
        <v>0</v>
      </c>
      <c r="P85" s="198">
        <f t="shared" si="9"/>
        <v>3610.7149999999997</v>
      </c>
      <c r="Q85" s="198">
        <f>VAR!B81/1000</f>
        <v>0</v>
      </c>
    </row>
    <row r="86" spans="14:17" x14ac:dyDescent="0.15">
      <c r="N86" s="197">
        <f>'5-DAY'!A119</f>
        <v>37221</v>
      </c>
      <c r="O86" s="198">
        <f>'5-DAY'!B119/1000</f>
        <v>0</v>
      </c>
      <c r="P86" s="198">
        <f t="shared" si="9"/>
        <v>451.47899999999998</v>
      </c>
      <c r="Q86" s="198">
        <f>VAR!B82/1000</f>
        <v>0</v>
      </c>
    </row>
    <row r="87" spans="14:17" x14ac:dyDescent="0.15">
      <c r="N87" s="197">
        <f>'5-DAY'!A120</f>
        <v>37222</v>
      </c>
      <c r="O87" s="198">
        <f>'5-DAY'!B120/1000</f>
        <v>0</v>
      </c>
      <c r="P87" s="198">
        <f t="shared" si="9"/>
        <v>13.795999999999999</v>
      </c>
      <c r="Q87" s="198">
        <f>VAR!B83/1000</f>
        <v>0</v>
      </c>
    </row>
    <row r="88" spans="14:17" x14ac:dyDescent="0.15">
      <c r="N88" s="197">
        <f>'5-DAY'!A121</f>
        <v>37223</v>
      </c>
      <c r="O88" s="198">
        <f>'5-DAY'!B121/1000</f>
        <v>0</v>
      </c>
      <c r="P88" s="198">
        <f t="shared" si="9"/>
        <v>-0.68799999999999994</v>
      </c>
      <c r="Q88" s="198">
        <f>VAR!B84/1000</f>
        <v>0</v>
      </c>
    </row>
    <row r="89" spans="14:17" x14ac:dyDescent="0.15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15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15">
      <c r="N91" s="197"/>
    </row>
    <row r="92" spans="14:17" x14ac:dyDescent="0.15">
      <c r="N92" s="197"/>
    </row>
    <row r="93" spans="14:17" x14ac:dyDescent="0.15">
      <c r="N93" s="197"/>
    </row>
    <row r="94" spans="14:17" x14ac:dyDescent="0.15">
      <c r="N94" s="197"/>
    </row>
    <row r="95" spans="14:17" x14ac:dyDescent="0.15">
      <c r="N95" s="197"/>
    </row>
    <row r="96" spans="14:17" x14ac:dyDescent="0.15">
      <c r="N96" s="197"/>
    </row>
    <row r="97" spans="14:14" x14ac:dyDescent="0.15">
      <c r="N97" s="197"/>
    </row>
    <row r="98" spans="14:14" x14ac:dyDescent="0.15">
      <c r="N98" s="197"/>
    </row>
    <row r="99" spans="14:14" x14ac:dyDescent="0.15">
      <c r="N99" s="197"/>
    </row>
    <row r="100" spans="14:14" x14ac:dyDescent="0.15">
      <c r="N100" s="197"/>
    </row>
    <row r="101" spans="14:14" x14ac:dyDescent="0.15">
      <c r="N101" s="197"/>
    </row>
    <row r="102" spans="14:14" x14ac:dyDescent="0.15">
      <c r="N102" s="197"/>
    </row>
    <row r="103" spans="14:14" x14ac:dyDescent="0.15">
      <c r="N103" s="197"/>
    </row>
    <row r="104" spans="14:14" x14ac:dyDescent="0.15">
      <c r="N104" s="197"/>
    </row>
    <row r="105" spans="14:14" x14ac:dyDescent="0.15">
      <c r="N105" s="197"/>
    </row>
    <row r="106" spans="14:14" x14ac:dyDescent="0.15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5" x14ac:dyDescent="0.15">
      <c r="A1" s="69" t="s">
        <v>115</v>
      </c>
      <c r="C1" s="135"/>
    </row>
    <row r="2" spans="1:20" ht="10.5" x14ac:dyDescent="0.15">
      <c r="A2" s="133" t="str">
        <f>'POWER SUM'!A3</f>
        <v>As of November 20, 2001</v>
      </c>
      <c r="C2" s="135"/>
    </row>
    <row r="4" spans="1:20" x14ac:dyDescent="0.15">
      <c r="N4" s="139"/>
      <c r="O4" s="134"/>
    </row>
    <row r="5" spans="1:20" x14ac:dyDescent="0.15">
      <c r="N5" s="139"/>
      <c r="O5" s="134"/>
    </row>
    <row r="6" spans="1:20" x14ac:dyDescent="0.15">
      <c r="N6" s="139" t="s">
        <v>106</v>
      </c>
      <c r="O6" s="134"/>
    </row>
    <row r="7" spans="1:20" x14ac:dyDescent="0.15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15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15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15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15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15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15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15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15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15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15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15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15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15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15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15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15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15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15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15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15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15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15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15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15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15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15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15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15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15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15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15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15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15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15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15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15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15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15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15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15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15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15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15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15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15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15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15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15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15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15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15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15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15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15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15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15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15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15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15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15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15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15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15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15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15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15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15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15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15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15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15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15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 t="shared" ref="Q79:Q84" si="40"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15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 t="shared" si="40"/>
        <v>448.64900000000011</v>
      </c>
      <c r="R80" s="198">
        <f t="shared" ref="R80:R85" si="41"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15">
      <c r="N81" s="196">
        <f>'5-DAY'!A113</f>
        <v>37209</v>
      </c>
      <c r="O81" s="198">
        <f>'5-DAY'!C113/1000</f>
        <v>84.805000000000007</v>
      </c>
      <c r="P81" s="198">
        <f>SUM(O77:O81)</f>
        <v>-46.296999999999997</v>
      </c>
      <c r="Q81" s="160">
        <f t="shared" si="40"/>
        <v>533.45400000000018</v>
      </c>
      <c r="R81" s="198">
        <f t="shared" si="41"/>
        <v>448.45341000000025</v>
      </c>
      <c r="S81" s="198">
        <f>S80+O81</f>
        <v>-13693.78859</v>
      </c>
      <c r="T81" s="198">
        <f>VAR!C76/1000</f>
        <v>112.358</v>
      </c>
    </row>
    <row r="82" spans="14:20" x14ac:dyDescent="0.15">
      <c r="N82" s="196">
        <f>'5-DAY'!A114</f>
        <v>37210</v>
      </c>
      <c r="O82" s="198">
        <f>'5-DAY'!C114/1000</f>
        <v>111.452</v>
      </c>
      <c r="P82" s="198">
        <f>SUM(O78:O82)</f>
        <v>173.179</v>
      </c>
      <c r="Q82" s="160">
        <f t="shared" si="40"/>
        <v>644.90600000000018</v>
      </c>
      <c r="R82" s="198">
        <f t="shared" si="41"/>
        <v>559.9054100000003</v>
      </c>
      <c r="S82" s="198">
        <f>S81+O82</f>
        <v>-13582.336590000001</v>
      </c>
      <c r="T82" s="198">
        <f>VAR!C77/1000</f>
        <v>162.00399999999999</v>
      </c>
    </row>
    <row r="83" spans="14:20" x14ac:dyDescent="0.15">
      <c r="N83" s="196">
        <f>'5-DAY'!A115</f>
        <v>37211</v>
      </c>
      <c r="O83" s="198">
        <f>'5-DAY'!C115/1000</f>
        <v>35.358599999999996</v>
      </c>
      <c r="P83" s="198">
        <f>SUM(O79:O83)</f>
        <v>203.64760000000001</v>
      </c>
      <c r="Q83" s="160">
        <f t="shared" si="40"/>
        <v>680.2646000000002</v>
      </c>
      <c r="R83" s="198">
        <f t="shared" si="41"/>
        <v>595.26401000000033</v>
      </c>
      <c r="S83" s="198">
        <f>S82+O83</f>
        <v>-13546.977990000001</v>
      </c>
      <c r="T83" s="198">
        <f>VAR!C78/1000</f>
        <v>81.832999999999998</v>
      </c>
    </row>
    <row r="84" spans="14:20" x14ac:dyDescent="0.15">
      <c r="N84" s="196">
        <f>'5-DAY'!A116</f>
        <v>37214</v>
      </c>
      <c r="O84" s="198">
        <f>'5-DAY'!C116/1000</f>
        <v>114.081</v>
      </c>
      <c r="P84" s="198">
        <f>SUM(O80:O84)</f>
        <v>379.40960000000001</v>
      </c>
      <c r="Q84" s="160">
        <f t="shared" si="40"/>
        <v>794.34560000000022</v>
      </c>
      <c r="R84" s="198">
        <f t="shared" si="41"/>
        <v>709.34501000000034</v>
      </c>
      <c r="S84" s="198">
        <f>S83+O84</f>
        <v>-13432.896990000001</v>
      </c>
      <c r="T84" s="198">
        <f>VAR!C79/1000</f>
        <v>56.093000000000004</v>
      </c>
    </row>
    <row r="85" spans="14:20" x14ac:dyDescent="0.15">
      <c r="N85" s="196">
        <f>'5-DAY'!A117</f>
        <v>37215</v>
      </c>
      <c r="O85" s="198">
        <f>'5-DAY'!C117/1000</f>
        <v>-15.635</v>
      </c>
      <c r="P85" s="198">
        <f>SUM(O81:O85)</f>
        <v>330.0616</v>
      </c>
      <c r="Q85" s="160">
        <f>Q84+O85</f>
        <v>778.71060000000023</v>
      </c>
      <c r="R85" s="198">
        <f t="shared" si="41"/>
        <v>693.71001000000035</v>
      </c>
      <c r="S85" s="198">
        <f>S84+O85</f>
        <v>-13448.531990000001</v>
      </c>
      <c r="T85" s="198">
        <f>VAR!C80/1000</f>
        <v>65.78</v>
      </c>
    </row>
    <row r="86" spans="14:20" x14ac:dyDescent="0.15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15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15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15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15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15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15">
      <c r="N92" s="196"/>
    </row>
    <row r="93" spans="14:20" x14ac:dyDescent="0.15">
      <c r="N93" s="196"/>
    </row>
    <row r="94" spans="14:20" x14ac:dyDescent="0.15">
      <c r="N94" s="196"/>
    </row>
    <row r="95" spans="14:20" x14ac:dyDescent="0.15">
      <c r="N95" s="196"/>
    </row>
    <row r="96" spans="14:20" x14ac:dyDescent="0.15">
      <c r="N96" s="196"/>
    </row>
    <row r="97" spans="14:14" x14ac:dyDescent="0.15">
      <c r="N97" s="196"/>
    </row>
    <row r="98" spans="14:14" x14ac:dyDescent="0.15">
      <c r="N98" s="196"/>
    </row>
    <row r="99" spans="14:14" x14ac:dyDescent="0.15">
      <c r="N99" s="196"/>
    </row>
    <row r="100" spans="14:14" x14ac:dyDescent="0.15">
      <c r="N100" s="196"/>
    </row>
    <row r="101" spans="14:14" x14ac:dyDescent="0.15">
      <c r="N101" s="196"/>
    </row>
    <row r="102" spans="14:14" x14ac:dyDescent="0.15">
      <c r="N102" s="196"/>
    </row>
    <row r="103" spans="14:14" x14ac:dyDescent="0.15">
      <c r="N103" s="196"/>
    </row>
    <row r="104" spans="14:14" x14ac:dyDescent="0.15">
      <c r="N104" s="196"/>
    </row>
    <row r="105" spans="14:14" x14ac:dyDescent="0.15">
      <c r="N105" s="196"/>
    </row>
    <row r="106" spans="14:14" x14ac:dyDescent="0.15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C1" sqref="C1"/>
    </sheetView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229</v>
      </c>
    </row>
    <row r="3" spans="1:27" ht="12" customHeight="1" x14ac:dyDescent="0.15">
      <c r="A3" s="161" t="s">
        <v>230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227</v>
      </c>
      <c r="D5" s="166" t="s">
        <v>231</v>
      </c>
      <c r="E5" s="166" t="s">
        <v>232</v>
      </c>
      <c r="F5" s="166" t="s">
        <v>233</v>
      </c>
      <c r="G5" s="166" t="s">
        <v>234</v>
      </c>
      <c r="H5" s="166" t="s">
        <v>235</v>
      </c>
      <c r="I5" s="166" t="s">
        <v>236</v>
      </c>
      <c r="J5" s="166" t="s">
        <v>237</v>
      </c>
      <c r="K5" s="166" t="s">
        <v>238</v>
      </c>
      <c r="L5" s="166" t="s">
        <v>239</v>
      </c>
      <c r="M5" s="166" t="s">
        <v>240</v>
      </c>
      <c r="N5" s="166" t="s">
        <v>241</v>
      </c>
      <c r="O5" s="166" t="s">
        <v>242</v>
      </c>
      <c r="P5" s="166" t="s">
        <v>243</v>
      </c>
      <c r="Q5" s="166" t="s">
        <v>244</v>
      </c>
      <c r="R5" s="166" t="s">
        <v>245</v>
      </c>
      <c r="S5" s="166" t="s">
        <v>246</v>
      </c>
      <c r="T5" s="166" t="s">
        <v>247</v>
      </c>
      <c r="U5" s="166" t="s">
        <v>248</v>
      </c>
      <c r="V5" s="166" t="s">
        <v>249</v>
      </c>
      <c r="W5" s="166" t="s">
        <v>250</v>
      </c>
      <c r="X5" s="166" t="s">
        <v>251</v>
      </c>
      <c r="Y5" s="166" t="s">
        <v>252</v>
      </c>
      <c r="Z5" s="166" t="s">
        <v>253</v>
      </c>
      <c r="AA5" s="167" t="s">
        <v>74</v>
      </c>
    </row>
    <row r="6" spans="1:27" ht="11.25" customHeight="1" x14ac:dyDescent="0.15">
      <c r="A6" s="168" t="s">
        <v>134</v>
      </c>
      <c r="C6" s="169">
        <v>1065.653</v>
      </c>
      <c r="D6" s="169">
        <v>1163.3747000000001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862.18399999999997</v>
      </c>
    </row>
    <row r="7" spans="1:27" ht="11.25" customHeight="1" x14ac:dyDescent="0.15">
      <c r="A7" s="168" t="s">
        <v>135</v>
      </c>
      <c r="C7" s="169">
        <v>-2824.23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-2661.6021999999998</v>
      </c>
    </row>
    <row r="8" spans="1:27" ht="11.25" customHeight="1" x14ac:dyDescent="0.15">
      <c r="A8" s="168" t="s">
        <v>136</v>
      </c>
      <c r="C8" s="169">
        <v>1942.2825</v>
      </c>
      <c r="D8" s="169">
        <v>1781.7562</v>
      </c>
      <c r="E8" s="169">
        <v>1734.0927999999999</v>
      </c>
      <c r="F8" s="169">
        <v>1476.9721999999999</v>
      </c>
      <c r="G8" s="169">
        <v>1521.8466000000001</v>
      </c>
      <c r="H8" s="169">
        <v>1408.3071</v>
      </c>
      <c r="I8" s="169">
        <v>1385.8112000000001</v>
      </c>
      <c r="J8" s="169">
        <v>1736.2149999999999</v>
      </c>
      <c r="K8" s="169">
        <v>1649.4857999999999</v>
      </c>
      <c r="L8" s="169">
        <v>1565.1712</v>
      </c>
      <c r="M8" s="169">
        <v>1499.9081000000001</v>
      </c>
      <c r="N8" s="169">
        <v>1688.2443000000001</v>
      </c>
      <c r="O8" s="169">
        <v>1819.8447000000001</v>
      </c>
      <c r="P8" s="169">
        <v>1828.7546</v>
      </c>
      <c r="Q8" s="169">
        <v>1805.6356000000001</v>
      </c>
      <c r="R8" s="169">
        <v>1678.7879</v>
      </c>
      <c r="S8" s="169">
        <v>1611.5941</v>
      </c>
      <c r="T8" s="169">
        <v>1448.7570000000001</v>
      </c>
      <c r="U8" s="169">
        <v>1385.6343999999999</v>
      </c>
      <c r="V8" s="169">
        <v>1689.355</v>
      </c>
      <c r="W8" s="169">
        <v>1633.7714000000001</v>
      </c>
      <c r="X8" s="169">
        <v>1553.5116</v>
      </c>
      <c r="Y8" s="169">
        <v>1573.4570000000001</v>
      </c>
      <c r="Z8" s="169">
        <v>1696.9856</v>
      </c>
      <c r="AA8" s="170">
        <v>1628.6532999999999</v>
      </c>
    </row>
    <row r="9" spans="1:27" ht="11.25" customHeight="1" x14ac:dyDescent="0.15">
      <c r="A9" s="168" t="s">
        <v>137</v>
      </c>
      <c r="C9" s="171">
        <v>183.70550000000003</v>
      </c>
      <c r="D9" s="171">
        <v>56.960199999999986</v>
      </c>
      <c r="E9" s="171">
        <v>101.87329999999997</v>
      </c>
      <c r="F9" s="171">
        <v>108.17720000000008</v>
      </c>
      <c r="G9" s="171">
        <v>30.977100000000064</v>
      </c>
      <c r="H9" s="171">
        <v>29.025099999999838</v>
      </c>
      <c r="I9" s="171">
        <v>-89.753799999999956</v>
      </c>
      <c r="J9" s="171">
        <v>270.82579999999962</v>
      </c>
      <c r="K9" s="171">
        <v>174.94589999999994</v>
      </c>
      <c r="L9" s="171">
        <v>114.78189999999995</v>
      </c>
      <c r="M9" s="171">
        <v>97.535699999999906</v>
      </c>
      <c r="N9" s="171">
        <v>122.32680000000005</v>
      </c>
      <c r="O9" s="171">
        <v>17.089699999999993</v>
      </c>
      <c r="P9" s="171">
        <v>-586.29729999999995</v>
      </c>
      <c r="Q9" s="171">
        <v>-516.49559999999974</v>
      </c>
      <c r="R9" s="171">
        <v>-388.27119999999991</v>
      </c>
      <c r="S9" s="171">
        <v>-434.28939999999989</v>
      </c>
      <c r="T9" s="171">
        <v>-447.2659000000001</v>
      </c>
      <c r="U9" s="171">
        <v>-548.40309999999999</v>
      </c>
      <c r="V9" s="171">
        <v>-416.60780000000022</v>
      </c>
      <c r="W9" s="171">
        <v>-488.83089999999947</v>
      </c>
      <c r="X9" s="171">
        <v>-498.14839999999981</v>
      </c>
      <c r="Y9" s="171">
        <v>-483.72829999999999</v>
      </c>
      <c r="Z9" s="171">
        <v>-522.66409999999996</v>
      </c>
      <c r="AA9" s="170">
        <v>-170.7648999999999</v>
      </c>
    </row>
    <row r="11" spans="1:27" ht="11.25" customHeight="1" x14ac:dyDescent="0.15">
      <c r="A11" s="168" t="s">
        <v>138</v>
      </c>
      <c r="C11" s="169">
        <v>755.88969999999995</v>
      </c>
      <c r="D11" s="169">
        <v>883.73119999999994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531.54629999999997</v>
      </c>
    </row>
    <row r="12" spans="1:27" ht="11.25" customHeight="1" x14ac:dyDescent="0.15">
      <c r="A12" s="168" t="s">
        <v>139</v>
      </c>
      <c r="C12" s="169">
        <v>-2335.7703000000001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-2184.3002000000001</v>
      </c>
    </row>
    <row r="13" spans="1:27" ht="11.25" customHeight="1" x14ac:dyDescent="0.15">
      <c r="A13" s="168" t="s">
        <v>140</v>
      </c>
      <c r="C13" s="169">
        <v>1216.1007</v>
      </c>
      <c r="D13" s="169">
        <v>1357.3286000000001</v>
      </c>
      <c r="E13" s="169">
        <v>1342.4962</v>
      </c>
      <c r="F13" s="169">
        <v>1157.3970999999999</v>
      </c>
      <c r="G13" s="169">
        <v>1219.1101000000001</v>
      </c>
      <c r="H13" s="169">
        <v>1147.5074999999999</v>
      </c>
      <c r="I13" s="169">
        <v>986.62750000000005</v>
      </c>
      <c r="J13" s="169">
        <v>1301.2745</v>
      </c>
      <c r="K13" s="169">
        <v>1286.3510000000001</v>
      </c>
      <c r="L13" s="169">
        <v>1200.7045000000001</v>
      </c>
      <c r="M13" s="169">
        <v>1067.0155999999999</v>
      </c>
      <c r="N13" s="169">
        <v>1231.6067</v>
      </c>
      <c r="O13" s="169">
        <v>1561.3308</v>
      </c>
      <c r="P13" s="169">
        <v>1394.0990999999999</v>
      </c>
      <c r="Q13" s="169">
        <v>1344.6057000000001</v>
      </c>
      <c r="R13" s="169">
        <v>1399.1288999999999</v>
      </c>
      <c r="S13" s="169">
        <v>1298.3751</v>
      </c>
      <c r="T13" s="169">
        <v>1178.2295999999999</v>
      </c>
      <c r="U13" s="169">
        <v>975.86310000000003</v>
      </c>
      <c r="V13" s="169">
        <v>1361.5845999999999</v>
      </c>
      <c r="W13" s="169">
        <v>1302.5776000000001</v>
      </c>
      <c r="X13" s="169">
        <v>1281.9493</v>
      </c>
      <c r="Y13" s="169">
        <v>1254.0482999999999</v>
      </c>
      <c r="Z13" s="169">
        <v>1292.0762</v>
      </c>
      <c r="AA13" s="170">
        <v>1257.0764999999999</v>
      </c>
    </row>
    <row r="14" spans="1:27" ht="11.25" customHeight="1" x14ac:dyDescent="0.15">
      <c r="A14" s="168" t="s">
        <v>141</v>
      </c>
      <c r="C14" s="171">
        <v>-363.77990000000023</v>
      </c>
      <c r="D14" s="171">
        <v>-201.07740000000013</v>
      </c>
      <c r="E14" s="171">
        <v>-155.36549999999988</v>
      </c>
      <c r="F14" s="171">
        <v>-185.71860000000038</v>
      </c>
      <c r="G14" s="171">
        <v>-227.97610000000009</v>
      </c>
      <c r="H14" s="171">
        <v>-187.88200000000029</v>
      </c>
      <c r="I14" s="171">
        <v>-263.49559999999997</v>
      </c>
      <c r="J14" s="171">
        <v>-41.742400000000089</v>
      </c>
      <c r="K14" s="171">
        <v>-79.574099999999817</v>
      </c>
      <c r="L14" s="171">
        <v>-203.06439999999998</v>
      </c>
      <c r="M14" s="171">
        <v>-400.8925999999999</v>
      </c>
      <c r="N14" s="171">
        <v>-457.17579999999975</v>
      </c>
      <c r="O14" s="171">
        <v>-264.62299999999982</v>
      </c>
      <c r="P14" s="171">
        <v>-764.904</v>
      </c>
      <c r="Q14" s="171">
        <v>-752.07839999999987</v>
      </c>
      <c r="R14" s="171">
        <v>-513.5784000000001</v>
      </c>
      <c r="S14" s="171">
        <v>-606.75229999999988</v>
      </c>
      <c r="T14" s="171">
        <v>-604.95330000000013</v>
      </c>
      <c r="U14" s="171">
        <v>-729.10259999999994</v>
      </c>
      <c r="V14" s="171">
        <v>-308.75990000000002</v>
      </c>
      <c r="W14" s="171">
        <v>-398.80349999999976</v>
      </c>
      <c r="X14" s="171">
        <v>-417.72569999999996</v>
      </c>
      <c r="Y14" s="171">
        <v>-604.22160000000008</v>
      </c>
      <c r="Z14" s="171">
        <v>-785.4357</v>
      </c>
      <c r="AA14" s="170">
        <v>-395.67740000000026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-69.433000000000007</v>
      </c>
      <c r="D16" s="172">
        <v>-56.798200000000001</v>
      </c>
      <c r="E16" s="172">
        <v>-8.3719000000000001</v>
      </c>
      <c r="F16" s="172">
        <v>-21.389800000000001</v>
      </c>
      <c r="G16" s="172">
        <v>-78.358699999999999</v>
      </c>
      <c r="H16" s="172">
        <v>-66.600700000000003</v>
      </c>
      <c r="I16" s="172">
        <v>-166.97239999999999</v>
      </c>
      <c r="J16" s="172">
        <v>133.02690000000001</v>
      </c>
      <c r="K16" s="172">
        <v>68.211600000000004</v>
      </c>
      <c r="L16" s="172">
        <v>-33.546300000000002</v>
      </c>
      <c r="M16" s="172">
        <v>-111.48260000000001</v>
      </c>
      <c r="N16" s="172">
        <v>-135.22989999999999</v>
      </c>
      <c r="O16" s="172">
        <v>-113.1645</v>
      </c>
      <c r="P16" s="172">
        <v>-665.03790000000004</v>
      </c>
      <c r="Q16" s="172">
        <v>-617.4597</v>
      </c>
      <c r="R16" s="172">
        <v>-443.51420000000002</v>
      </c>
      <c r="S16" s="172">
        <v>-507.1071</v>
      </c>
      <c r="T16" s="172">
        <v>-516.78399999999999</v>
      </c>
      <c r="U16" s="172">
        <v>-628.71400000000006</v>
      </c>
      <c r="V16" s="172">
        <v>-369.06200000000001</v>
      </c>
      <c r="W16" s="172">
        <v>-449.14139999999998</v>
      </c>
      <c r="X16" s="172">
        <v>-462.4049</v>
      </c>
      <c r="Y16" s="172">
        <v>-534.2577</v>
      </c>
      <c r="Z16" s="172">
        <v>-645.29079999999999</v>
      </c>
      <c r="AA16" s="173">
        <v>-269.76749999999998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254</v>
      </c>
    </row>
    <row r="20" spans="1:27" ht="11.25" customHeight="1" x14ac:dyDescent="0.15">
      <c r="A20" s="168" t="s">
        <v>134</v>
      </c>
      <c r="C20" s="169">
        <v>0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-6.2805999999999997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0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-3.516</v>
      </c>
    </row>
    <row r="27" spans="1:27" ht="11.25" customHeight="1" thickBot="1" x14ac:dyDescent="0.2">
      <c r="A27" s="168" t="s">
        <v>255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256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257</v>
      </c>
    </row>
    <row r="33" spans="1:27" ht="11.25" customHeight="1" x14ac:dyDescent="0.15">
      <c r="A33" s="168" t="s">
        <v>134</v>
      </c>
      <c r="C33" s="169">
        <v>1065.653</v>
      </c>
      <c r="D33" s="169">
        <v>1163.3747000000001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868.46460000000002</v>
      </c>
    </row>
    <row r="34" spans="1:27" ht="11.25" customHeight="1" x14ac:dyDescent="0.15">
      <c r="A34" s="168" t="s">
        <v>135</v>
      </c>
      <c r="C34" s="169">
        <v>-2824.23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-2661.6021999999998</v>
      </c>
    </row>
    <row r="35" spans="1:27" ht="11.25" customHeight="1" x14ac:dyDescent="0.15">
      <c r="A35" s="168" t="s">
        <v>136</v>
      </c>
      <c r="C35" s="169">
        <v>1942.2825</v>
      </c>
      <c r="D35" s="169">
        <v>1781.7562</v>
      </c>
      <c r="E35" s="169">
        <v>1734.0927999999999</v>
      </c>
      <c r="F35" s="169">
        <v>1476.9721999999999</v>
      </c>
      <c r="G35" s="169">
        <v>1521.8466000000001</v>
      </c>
      <c r="H35" s="169">
        <v>1408.3071</v>
      </c>
      <c r="I35" s="169">
        <v>1385.8112000000001</v>
      </c>
      <c r="J35" s="169">
        <v>1736.2149999999999</v>
      </c>
      <c r="K35" s="169">
        <v>1649.4857999999999</v>
      </c>
      <c r="L35" s="169">
        <v>1565.1712</v>
      </c>
      <c r="M35" s="169">
        <v>1499.9081000000001</v>
      </c>
      <c r="N35" s="169">
        <v>1688.2443000000001</v>
      </c>
      <c r="O35" s="169">
        <v>1819.8447000000001</v>
      </c>
      <c r="P35" s="169">
        <v>1828.7546</v>
      </c>
      <c r="Q35" s="169">
        <v>1805.6356000000001</v>
      </c>
      <c r="R35" s="169">
        <v>1678.7879</v>
      </c>
      <c r="S35" s="169">
        <v>1611.5941</v>
      </c>
      <c r="T35" s="169">
        <v>1448.7570000000001</v>
      </c>
      <c r="U35" s="169">
        <v>1385.6343999999999</v>
      </c>
      <c r="V35" s="169">
        <v>1689.355</v>
      </c>
      <c r="W35" s="169">
        <v>1633.7714000000001</v>
      </c>
      <c r="X35" s="169">
        <v>1553.5116</v>
      </c>
      <c r="Y35" s="169">
        <v>1573.4570000000001</v>
      </c>
      <c r="Z35" s="169">
        <v>1696.9856</v>
      </c>
      <c r="AA35" s="170">
        <v>1628.6532999999999</v>
      </c>
    </row>
    <row r="36" spans="1:27" ht="11.25" customHeight="1" x14ac:dyDescent="0.15">
      <c r="A36" s="168" t="s">
        <v>137</v>
      </c>
      <c r="C36" s="171">
        <v>183.70550000000003</v>
      </c>
      <c r="D36" s="171">
        <v>56.960199999999986</v>
      </c>
      <c r="E36" s="171">
        <v>101.87329999999997</v>
      </c>
      <c r="F36" s="171">
        <v>108.17720000000008</v>
      </c>
      <c r="G36" s="171">
        <v>80.977100000000064</v>
      </c>
      <c r="H36" s="171">
        <v>79.025099999999838</v>
      </c>
      <c r="I36" s="171">
        <v>-39.753799999999956</v>
      </c>
      <c r="J36" s="171">
        <v>270.82579999999962</v>
      </c>
      <c r="K36" s="171">
        <v>174.94589999999994</v>
      </c>
      <c r="L36" s="171">
        <v>114.78189999999995</v>
      </c>
      <c r="M36" s="171">
        <v>97.535699999999906</v>
      </c>
      <c r="N36" s="171">
        <v>122.32680000000005</v>
      </c>
      <c r="O36" s="171">
        <v>17.089699999999993</v>
      </c>
      <c r="P36" s="171">
        <v>-586.29729999999995</v>
      </c>
      <c r="Q36" s="171">
        <v>-516.49559999999974</v>
      </c>
      <c r="R36" s="171">
        <v>-388.27119999999991</v>
      </c>
      <c r="S36" s="171">
        <v>-434.28939999999989</v>
      </c>
      <c r="T36" s="171">
        <v>-447.2659000000001</v>
      </c>
      <c r="U36" s="171">
        <v>-548.40309999999999</v>
      </c>
      <c r="V36" s="171">
        <v>-416.60780000000022</v>
      </c>
      <c r="W36" s="171">
        <v>-488.83089999999947</v>
      </c>
      <c r="X36" s="171">
        <v>-498.14839999999981</v>
      </c>
      <c r="Y36" s="171">
        <v>-483.72829999999999</v>
      </c>
      <c r="Z36" s="171">
        <v>-522.66409999999996</v>
      </c>
      <c r="AA36" s="170">
        <v>-164.48429999999985</v>
      </c>
    </row>
    <row r="38" spans="1:27" ht="11.25" customHeight="1" x14ac:dyDescent="0.15">
      <c r="A38" s="168" t="s">
        <v>138</v>
      </c>
      <c r="C38" s="169">
        <v>755.88969999999995</v>
      </c>
      <c r="D38" s="169">
        <v>883.73119999999994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531.54629999999997</v>
      </c>
    </row>
    <row r="39" spans="1:27" ht="11.25" customHeight="1" x14ac:dyDescent="0.15">
      <c r="A39" s="168" t="s">
        <v>139</v>
      </c>
      <c r="C39" s="169">
        <v>-2335.7703000000001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-2184.3002000000001</v>
      </c>
    </row>
    <row r="40" spans="1:27" ht="11.25" customHeight="1" x14ac:dyDescent="0.15">
      <c r="A40" s="168" t="s">
        <v>140</v>
      </c>
      <c r="C40" s="169">
        <v>1216.1007</v>
      </c>
      <c r="D40" s="169">
        <v>1357.3286000000001</v>
      </c>
      <c r="E40" s="169">
        <v>1342.4962</v>
      </c>
      <c r="F40" s="169">
        <v>1157.3970999999999</v>
      </c>
      <c r="G40" s="169">
        <v>1219.1101000000001</v>
      </c>
      <c r="H40" s="169">
        <v>1147.5074999999999</v>
      </c>
      <c r="I40" s="169">
        <v>986.62750000000005</v>
      </c>
      <c r="J40" s="169">
        <v>1301.2745</v>
      </c>
      <c r="K40" s="169">
        <v>1286.3510000000001</v>
      </c>
      <c r="L40" s="169">
        <v>1200.7045000000001</v>
      </c>
      <c r="M40" s="169">
        <v>1067.0155999999999</v>
      </c>
      <c r="N40" s="169">
        <v>1231.6067</v>
      </c>
      <c r="O40" s="169">
        <v>1561.3308</v>
      </c>
      <c r="P40" s="169">
        <v>1394.0990999999999</v>
      </c>
      <c r="Q40" s="169">
        <v>1344.6057000000001</v>
      </c>
      <c r="R40" s="169">
        <v>1399.1288999999999</v>
      </c>
      <c r="S40" s="169">
        <v>1298.3751</v>
      </c>
      <c r="T40" s="169">
        <v>1178.2295999999999</v>
      </c>
      <c r="U40" s="169">
        <v>975.86310000000003</v>
      </c>
      <c r="V40" s="169">
        <v>1361.5845999999999</v>
      </c>
      <c r="W40" s="169">
        <v>1302.5776000000001</v>
      </c>
      <c r="X40" s="169">
        <v>1281.9493</v>
      </c>
      <c r="Y40" s="169">
        <v>1254.0482999999999</v>
      </c>
      <c r="Z40" s="169">
        <v>1292.0762</v>
      </c>
      <c r="AA40" s="170">
        <v>1257.0764999999999</v>
      </c>
    </row>
    <row r="41" spans="1:27" ht="11.25" customHeight="1" x14ac:dyDescent="0.15">
      <c r="A41" s="168" t="s">
        <v>141</v>
      </c>
      <c r="C41" s="171">
        <v>-363.77990000000023</v>
      </c>
      <c r="D41" s="171">
        <v>-201.07740000000013</v>
      </c>
      <c r="E41" s="171">
        <v>-155.36549999999988</v>
      </c>
      <c r="F41" s="171">
        <v>-185.71860000000038</v>
      </c>
      <c r="G41" s="171">
        <v>-227.97610000000009</v>
      </c>
      <c r="H41" s="171">
        <v>-187.88200000000029</v>
      </c>
      <c r="I41" s="171">
        <v>-263.49559999999997</v>
      </c>
      <c r="J41" s="171">
        <v>-41.742400000000089</v>
      </c>
      <c r="K41" s="171">
        <v>-79.574099999999817</v>
      </c>
      <c r="L41" s="171">
        <v>-203.06439999999998</v>
      </c>
      <c r="M41" s="171">
        <v>-400.8925999999999</v>
      </c>
      <c r="N41" s="171">
        <v>-457.17579999999975</v>
      </c>
      <c r="O41" s="171">
        <v>-264.62299999999982</v>
      </c>
      <c r="P41" s="171">
        <v>-764.904</v>
      </c>
      <c r="Q41" s="171">
        <v>-752.07839999999987</v>
      </c>
      <c r="R41" s="171">
        <v>-513.5784000000001</v>
      </c>
      <c r="S41" s="171">
        <v>-606.75229999999988</v>
      </c>
      <c r="T41" s="171">
        <v>-604.95330000000013</v>
      </c>
      <c r="U41" s="171">
        <v>-729.10259999999994</v>
      </c>
      <c r="V41" s="171">
        <v>-308.75990000000002</v>
      </c>
      <c r="W41" s="171">
        <v>-398.80349999999976</v>
      </c>
      <c r="X41" s="171">
        <v>-417.72569999999996</v>
      </c>
      <c r="Y41" s="171">
        <v>-604.22160000000008</v>
      </c>
      <c r="Z41" s="171">
        <v>-785.4357</v>
      </c>
      <c r="AA41" s="170">
        <v>-395.67740000000026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-69.433000000000007</v>
      </c>
      <c r="D43" s="172">
        <v>-56.798200000000001</v>
      </c>
      <c r="E43" s="172">
        <v>-8.3719000000000001</v>
      </c>
      <c r="F43" s="172">
        <v>-21.389800000000001</v>
      </c>
      <c r="G43" s="172">
        <v>-49.469799999999999</v>
      </c>
      <c r="H43" s="172">
        <v>-38.643700000000003</v>
      </c>
      <c r="I43" s="172">
        <v>-139.19460000000001</v>
      </c>
      <c r="J43" s="172">
        <v>133.02690000000001</v>
      </c>
      <c r="K43" s="172">
        <v>68.211600000000004</v>
      </c>
      <c r="L43" s="172">
        <v>-33.546300000000002</v>
      </c>
      <c r="M43" s="172">
        <v>-111.48260000000001</v>
      </c>
      <c r="N43" s="172">
        <v>-135.22989999999999</v>
      </c>
      <c r="O43" s="172">
        <v>-113.1645</v>
      </c>
      <c r="P43" s="172">
        <v>-665.03790000000004</v>
      </c>
      <c r="Q43" s="172">
        <v>-617.4597</v>
      </c>
      <c r="R43" s="172">
        <v>-443.51420000000002</v>
      </c>
      <c r="S43" s="172">
        <v>-507.1071</v>
      </c>
      <c r="T43" s="172">
        <v>-516.78399999999999</v>
      </c>
      <c r="U43" s="172">
        <v>-628.71400000000006</v>
      </c>
      <c r="V43" s="172">
        <v>-369.06200000000001</v>
      </c>
      <c r="W43" s="172">
        <v>-449.14139999999998</v>
      </c>
      <c r="X43" s="172">
        <v>-462.4049</v>
      </c>
      <c r="Y43" s="172">
        <v>-534.2577</v>
      </c>
      <c r="Z43" s="172">
        <v>-645.29079999999999</v>
      </c>
      <c r="AA43" s="173">
        <v>-266.25150000000002</v>
      </c>
    </row>
    <row r="45" spans="1:27" ht="11.25" customHeight="1" thickBot="1" x14ac:dyDescent="0.2">
      <c r="A45" s="168" t="s">
        <v>258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256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-265.03790000000004</v>
      </c>
      <c r="Q46" s="175">
        <v>-217.4597</v>
      </c>
      <c r="R46" s="175">
        <v>-43.514200000000017</v>
      </c>
      <c r="S46" s="175">
        <v>0</v>
      </c>
      <c r="T46" s="175">
        <v>0</v>
      </c>
      <c r="U46" s="175">
        <v>-28.714000000000055</v>
      </c>
      <c r="V46" s="175">
        <v>0</v>
      </c>
      <c r="W46" s="175">
        <v>-49.141399999999976</v>
      </c>
      <c r="X46" s="175">
        <v>-62.404899999999998</v>
      </c>
      <c r="Y46" s="175">
        <v>-134.2577</v>
      </c>
      <c r="Z46" s="175">
        <v>-245.29079999999999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[2]Summary!E59</f>
        <v>0.88091212096946936</v>
      </c>
      <c r="D50" s="176">
        <f>[2]Summary!F59</f>
        <v>0.69233545271645458</v>
      </c>
      <c r="E50" s="176">
        <f>[2]Summary!G59</f>
        <v>0.70848076293934448</v>
      </c>
      <c r="F50" s="176">
        <f>[2]Summary!H59</f>
        <v>0.27582720992509691</v>
      </c>
      <c r="G50" s="176">
        <f>[2]Summary!I59</f>
        <v>0.20914207537357787</v>
      </c>
      <c r="H50" s="176">
        <f>[2]Summary!J59</f>
        <v>0.4610269794068691</v>
      </c>
      <c r="I50" s="176">
        <f>[2]Summary!K59</f>
        <v>0.59877365032756491</v>
      </c>
      <c r="J50" s="176">
        <f>[2]Summary!L59</f>
        <v>0.92138706274883897</v>
      </c>
      <c r="K50" s="176">
        <f>[2]Summary!M59</f>
        <v>0.96751100962762648</v>
      </c>
      <c r="L50" s="176">
        <f>[2]Summary!N59</f>
        <v>0.87103613270239444</v>
      </c>
      <c r="M50" s="176">
        <f>[2]Summary!O59</f>
        <v>0.7357114139035551</v>
      </c>
      <c r="N50" s="176">
        <f>[2]Summary!P59</f>
        <v>0.64665222961273094</v>
      </c>
      <c r="O50" s="176">
        <f>[2]Summary!Q59</f>
        <v>0.66232770059683843</v>
      </c>
      <c r="P50" s="176">
        <f>[2]Summary!R59</f>
        <v>0.67827367931071414</v>
      </c>
      <c r="Q50" s="176">
        <f>[2]Summary!S59</f>
        <v>0.62156183792813779</v>
      </c>
      <c r="R50" s="176">
        <f>[2]Summary!T59</f>
        <v>0.5343782959799811</v>
      </c>
      <c r="S50" s="176">
        <f>[2]Summary!U59</f>
        <v>0.58352327809127302</v>
      </c>
      <c r="T50" s="176">
        <f>[2]Summary!V59</f>
        <v>0.49511227456333018</v>
      </c>
      <c r="U50" s="176">
        <f>[2]Summary!W59</f>
        <v>0.54643149191854268</v>
      </c>
      <c r="V50" s="176">
        <f>[2]Summary!X59</f>
        <v>0.82483712152030575</v>
      </c>
      <c r="W50" s="176">
        <f>[2]Summary!Y59</f>
        <v>0.87069495957880627</v>
      </c>
      <c r="X50" s="176">
        <f>[2]Summary!Z59</f>
        <v>0.80640836307949804</v>
      </c>
      <c r="Y50" s="176">
        <f>[2]Summary!AA59</f>
        <v>0.67645314925310618</v>
      </c>
      <c r="Z50" s="176">
        <f>[2]Summary!AB59</f>
        <v>0.62554428216504243</v>
      </c>
      <c r="AA50" s="176">
        <f>[2]Summary!AC59</f>
        <v>0.67714007880851013</v>
      </c>
    </row>
    <row r="51" spans="1:27" ht="13.5" customHeight="1" x14ac:dyDescent="0.15">
      <c r="A51" s="168" t="s">
        <v>125</v>
      </c>
      <c r="C51" s="176">
        <f>[2]Summary!E60</f>
        <v>4.1694200096589307E-2</v>
      </c>
      <c r="D51" s="176">
        <f>[2]Summary!F60</f>
        <v>0.16266956736832838</v>
      </c>
      <c r="E51" s="176">
        <f>[2]Summary!G60</f>
        <v>0.27294574807117089</v>
      </c>
      <c r="F51" s="176">
        <f>[2]Summary!H60</f>
        <v>4.5492820584045128E-2</v>
      </c>
      <c r="G51" s="176">
        <f>[2]Summary!I60</f>
        <v>2.499654932385531E-2</v>
      </c>
      <c r="H51" s="176">
        <f>[2]Summary!J60</f>
        <v>0.13999748290922698</v>
      </c>
      <c r="I51" s="176">
        <f>[2]Summary!K60</f>
        <v>0.25579893822767663</v>
      </c>
      <c r="J51" s="176">
        <f>[2]Summary!L60</f>
        <v>0.4057283947284207</v>
      </c>
      <c r="K51" s="176">
        <f>[2]Summary!M60</f>
        <v>0.54974576733345193</v>
      </c>
      <c r="L51" s="176">
        <f>[2]Summary!N60</f>
        <v>0.43522272233016479</v>
      </c>
      <c r="M51" s="176">
        <f>[2]Summary!O60</f>
        <v>0.27910826297534747</v>
      </c>
      <c r="N51" s="176">
        <f>[2]Summary!P60</f>
        <v>0.15798359754352284</v>
      </c>
      <c r="O51" s="176">
        <f>[2]Summary!Q60</f>
        <v>0.48928139211050781</v>
      </c>
      <c r="P51" s="176">
        <f>[2]Summary!R60</f>
        <v>0.23644402975724824</v>
      </c>
      <c r="Q51" s="176">
        <f>[2]Summary!S60</f>
        <v>0.1611875093201135</v>
      </c>
      <c r="R51" s="176">
        <f>[2]Summary!T60</f>
        <v>0.40878599436916879</v>
      </c>
      <c r="S51" s="176">
        <f>[2]Summary!U60</f>
        <v>0.29617804217516241</v>
      </c>
      <c r="T51" s="176">
        <f>[2]Summary!V60</f>
        <v>0.28159992993065835</v>
      </c>
      <c r="U51" s="176">
        <f>[2]Summary!W60</f>
        <v>0.18955412829230045</v>
      </c>
      <c r="V51" s="176">
        <f>[2]Summary!X60</f>
        <v>0.50572029424766829</v>
      </c>
      <c r="W51" s="176">
        <f>[2]Summary!Y60</f>
        <v>0.53829625224053645</v>
      </c>
      <c r="X51" s="176">
        <f>[2]Summary!Z60</f>
        <v>0.51323474984594197</v>
      </c>
      <c r="Y51" s="176">
        <f>[2]Summary!AA60</f>
        <v>0.40187692058794605</v>
      </c>
      <c r="Z51" s="176">
        <f>[2]Summary!AB60</f>
        <v>0.21953870441076781</v>
      </c>
      <c r="AA51" s="176">
        <f>[2]Summary!AC60</f>
        <v>0.255540632131109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[2]Summary!E62</f>
        <v>0.99820821744665378</v>
      </c>
      <c r="D53" s="176">
        <f>[2]Summary!F62</f>
        <v>0.97876358146434961</v>
      </c>
      <c r="E53" s="176">
        <f>[2]Summary!G62</f>
        <v>0.92813732256005799</v>
      </c>
      <c r="F53" s="176">
        <f>[2]Summary!H62</f>
        <v>0.91219597108405093</v>
      </c>
      <c r="G53" s="176">
        <f>[2]Summary!I62</f>
        <v>0.78015724268019426</v>
      </c>
      <c r="H53" s="176">
        <f>[2]Summary!J62</f>
        <v>0.77407184001717588</v>
      </c>
      <c r="I53" s="176">
        <f>[2]Summary!K62</f>
        <v>0.74364592529490459</v>
      </c>
      <c r="J53" s="176">
        <f>[2]Summary!L62</f>
        <v>0.97956286203002507</v>
      </c>
      <c r="K53" s="176">
        <f>[2]Summary!M62</f>
        <v>0.99279595678838051</v>
      </c>
      <c r="L53" s="176">
        <f>[2]Summary!N62</f>
        <v>0.95242604381015317</v>
      </c>
      <c r="M53" s="176">
        <f>[2]Summary!O62</f>
        <v>0.86473334997457341</v>
      </c>
      <c r="N53" s="176">
        <f>[2]Summary!P62</f>
        <v>0.87390077148152601</v>
      </c>
      <c r="O53" s="176">
        <f>[2]Summary!Q62</f>
        <v>0.88499797269456659</v>
      </c>
      <c r="P53" s="176">
        <f>[2]Summary!R62</f>
        <v>0.90677825805631729</v>
      </c>
      <c r="Q53" s="176">
        <f>[2]Summary!S62</f>
        <v>0.87179121775124924</v>
      </c>
      <c r="R53" s="176">
        <f>[2]Summary!T62</f>
        <v>0.81376698016563509</v>
      </c>
      <c r="S53" s="176">
        <f>[2]Summary!U62</f>
        <v>0.78071318481828789</v>
      </c>
      <c r="T53" s="176">
        <f>[2]Summary!V62</f>
        <v>0.69784016157977791</v>
      </c>
      <c r="U53" s="176">
        <f>[2]Summary!W62</f>
        <v>0.73997537280140069</v>
      </c>
      <c r="V53" s="176">
        <f>[2]Summary!X62</f>
        <v>0.90695334202599176</v>
      </c>
      <c r="W53" s="176">
        <f>[2]Summary!Y62</f>
        <v>0.94533342211318738</v>
      </c>
      <c r="X53" s="176">
        <f>[2]Summary!Z62</f>
        <v>0.90497486865644972</v>
      </c>
      <c r="Y53" s="176">
        <f>[2]Summary!AA62</f>
        <v>0.83537832528272071</v>
      </c>
      <c r="Z53" s="176">
        <f>[2]Summary!AB62</f>
        <v>0.85250442842830554</v>
      </c>
      <c r="AA53" s="176">
        <f>[2]Summary!AC62</f>
        <v>0.87777440259248274</v>
      </c>
    </row>
    <row r="54" spans="1:27" ht="13.5" customHeight="1" x14ac:dyDescent="0.15">
      <c r="A54" s="168" t="s">
        <v>125</v>
      </c>
      <c r="C54" s="176">
        <f>[2]Summary!E63</f>
        <v>0.60211265763068</v>
      </c>
      <c r="D54" s="176">
        <f>[2]Summary!F63</f>
        <v>0.70291603401890068</v>
      </c>
      <c r="E54" s="176">
        <f>[2]Summary!G63</f>
        <v>0.62977202947150956</v>
      </c>
      <c r="F54" s="176">
        <f>[2]Summary!H63</f>
        <v>0.51939340939867051</v>
      </c>
      <c r="G54" s="176">
        <f>[2]Summary!I63</f>
        <v>0.31930532897483049</v>
      </c>
      <c r="H54" s="176">
        <f>[2]Summary!J63</f>
        <v>0.31034072675983004</v>
      </c>
      <c r="I54" s="176">
        <f>[2]Summary!K63</f>
        <v>0.39777026060463266</v>
      </c>
      <c r="J54" s="176">
        <f>[2]Summary!L63</f>
        <v>0.65813772181057084</v>
      </c>
      <c r="K54" s="176">
        <f>[2]Summary!M63</f>
        <v>0.77466886214487729</v>
      </c>
      <c r="L54" s="176">
        <f>[2]Summary!N63</f>
        <v>0.6432197049836027</v>
      </c>
      <c r="M54" s="176">
        <f>[2]Summary!O63</f>
        <v>0.49330766822739752</v>
      </c>
      <c r="N54" s="176">
        <f>[2]Summary!P63</f>
        <v>0.48910655468890168</v>
      </c>
      <c r="O54" s="176">
        <f>[2]Summary!Q63</f>
        <v>0.64752703891040042</v>
      </c>
      <c r="P54" s="176">
        <f>[2]Summary!R63</f>
        <v>0.54230605940774779</v>
      </c>
      <c r="Q54" s="176">
        <f>[2]Summary!S63</f>
        <v>0.45107931024260028</v>
      </c>
      <c r="R54" s="176">
        <f>[2]Summary!T63</f>
        <v>0.57442459260683298</v>
      </c>
      <c r="S54" s="176">
        <f>[2]Summary!U63</f>
        <v>0.46409340038306351</v>
      </c>
      <c r="T54" s="176">
        <f>[2]Summary!V63</f>
        <v>0.43751908588648847</v>
      </c>
      <c r="U54" s="176">
        <f>[2]Summary!W63</f>
        <v>0.34234294301469004</v>
      </c>
      <c r="V54" s="176">
        <f>[2]Summary!X63</f>
        <v>0.70334438793255227</v>
      </c>
      <c r="W54" s="176">
        <f>[2]Summary!Y63</f>
        <v>0.77193267318751635</v>
      </c>
      <c r="X54" s="176">
        <f>[2]Summary!Z63</f>
        <v>0.71709759205366252</v>
      </c>
      <c r="Y54" s="176">
        <f>[2]Summary!AA63</f>
        <v>0.56879313285559197</v>
      </c>
      <c r="Z54" s="176">
        <f>[2]Summary!AB63</f>
        <v>0.52937314687964809</v>
      </c>
      <c r="AA54" s="176">
        <f>[2]Summary!AC63</f>
        <v>0.58298298406027815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27" sqref="C27"/>
    </sheetView>
  </sheetViews>
  <sheetFormatPr defaultColWidth="12" defaultRowHeight="13.5" customHeight="1" x14ac:dyDescent="0.15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15">
      <c r="A1" s="180" t="s">
        <v>133</v>
      </c>
    </row>
    <row r="2" spans="1:5" ht="12" customHeight="1" x14ac:dyDescent="0.15">
      <c r="A2" s="180" t="s">
        <v>151</v>
      </c>
    </row>
    <row r="3" spans="1:5" ht="12" customHeight="1" x14ac:dyDescent="0.15">
      <c r="A3" s="180" t="str">
        <f>MWA!A2</f>
        <v>Valuation Date:  11/20/2001</v>
      </c>
    </row>
    <row r="4" spans="1:5" ht="12" customHeight="1" x14ac:dyDescent="0.15">
      <c r="A4" s="180" t="str">
        <f>MWA!A3</f>
        <v>As of:                11/20/2001</v>
      </c>
    </row>
    <row r="6" spans="1:5" ht="13.5" customHeight="1" thickBot="1" x14ac:dyDescent="0.2">
      <c r="A6" s="183"/>
    </row>
    <row r="7" spans="1:5" ht="13.5" customHeight="1" thickBot="1" x14ac:dyDescent="0.2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15">
      <c r="A8" s="183" t="s">
        <v>134</v>
      </c>
      <c r="C8" s="186">
        <f>MWA!C33</f>
        <v>1065.653</v>
      </c>
      <c r="D8" s="186">
        <f>MWA!D33</f>
        <v>1163.3747000000001</v>
      </c>
      <c r="E8" s="186">
        <f>MWA!E33</f>
        <v>1184.2023999999999</v>
      </c>
    </row>
    <row r="9" spans="1:5" ht="13.5" customHeight="1" x14ac:dyDescent="0.15">
      <c r="A9" s="183" t="s">
        <v>135</v>
      </c>
      <c r="C9" s="186">
        <f>MWA!C34</f>
        <v>-2824.23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15">
      <c r="A10" s="183" t="s">
        <v>136</v>
      </c>
      <c r="C10" s="187">
        <f>MWA!C35</f>
        <v>1942.2825</v>
      </c>
      <c r="D10" s="187">
        <f>MWA!D35</f>
        <v>1781.7562</v>
      </c>
      <c r="E10" s="187">
        <f>MWA!E35</f>
        <v>1734.0927999999999</v>
      </c>
    </row>
    <row r="11" spans="1:5" ht="13.5" customHeight="1" x14ac:dyDescent="0.15">
      <c r="A11" s="183" t="s">
        <v>137</v>
      </c>
      <c r="C11" s="186">
        <f>MWA!C36</f>
        <v>183.70550000000003</v>
      </c>
      <c r="D11" s="186">
        <f>MWA!D36</f>
        <v>56.960199999999986</v>
      </c>
      <c r="E11" s="186">
        <f>MWA!E36</f>
        <v>101.87329999999997</v>
      </c>
    </row>
    <row r="12" spans="1:5" ht="13.5" customHeight="1" x14ac:dyDescent="0.15">
      <c r="C12" s="186"/>
      <c r="D12" s="186"/>
      <c r="E12" s="186"/>
    </row>
    <row r="13" spans="1:5" ht="13.5" customHeight="1" x14ac:dyDescent="0.15">
      <c r="A13" s="183" t="s">
        <v>138</v>
      </c>
      <c r="C13" s="186">
        <f>MWA!C38</f>
        <v>755.88969999999995</v>
      </c>
      <c r="D13" s="186">
        <f>MWA!D38</f>
        <v>883.73119999999994</v>
      </c>
      <c r="E13" s="186">
        <f>MWA!E38</f>
        <v>851.4751</v>
      </c>
    </row>
    <row r="14" spans="1:5" ht="13.5" customHeight="1" x14ac:dyDescent="0.15">
      <c r="A14" s="183" t="s">
        <v>139</v>
      </c>
      <c r="C14" s="186">
        <f>MWA!C39</f>
        <v>-2335.7703000000001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15">
      <c r="A15" s="183" t="s">
        <v>140</v>
      </c>
      <c r="C15" s="187">
        <f>MWA!C40</f>
        <v>1216.1007</v>
      </c>
      <c r="D15" s="187">
        <f>MWA!D40</f>
        <v>1357.3286000000001</v>
      </c>
      <c r="E15" s="187">
        <f>MWA!E40</f>
        <v>1342.4962</v>
      </c>
    </row>
    <row r="16" spans="1:5" ht="13.5" customHeight="1" x14ac:dyDescent="0.15">
      <c r="A16" s="183" t="s">
        <v>141</v>
      </c>
      <c r="C16" s="186">
        <f>MWA!C41</f>
        <v>-363.77990000000023</v>
      </c>
      <c r="D16" s="186">
        <f>MWA!D41</f>
        <v>-201.07740000000013</v>
      </c>
      <c r="E16" s="186">
        <f>MWA!E41</f>
        <v>-155.36549999999988</v>
      </c>
    </row>
    <row r="17" spans="1:18" ht="13.5" customHeight="1" thickBot="1" x14ac:dyDescent="0.2"/>
    <row r="18" spans="1:18" ht="13.5" customHeight="1" thickBot="1" x14ac:dyDescent="0.2">
      <c r="A18" s="180" t="s">
        <v>142</v>
      </c>
      <c r="C18" s="189">
        <f>MWA!C43</f>
        <v>-69.433000000000007</v>
      </c>
      <c r="D18" s="189">
        <f>MWA!D43</f>
        <v>-56.798200000000001</v>
      </c>
      <c r="E18" s="189">
        <f>MWA!E43</f>
        <v>-8.3719000000000001</v>
      </c>
    </row>
    <row r="20" spans="1:18" ht="13.5" customHeight="1" x14ac:dyDescent="0.15">
      <c r="A20" s="183" t="s">
        <v>123</v>
      </c>
    </row>
    <row r="21" spans="1:18" ht="13.5" customHeight="1" x14ac:dyDescent="0.15">
      <c r="A21" s="183" t="s">
        <v>124</v>
      </c>
      <c r="C21" s="190">
        <f>MWA!C50</f>
        <v>0.88091212096946936</v>
      </c>
      <c r="D21" s="190">
        <f>MWA!D50</f>
        <v>0.69233545271645458</v>
      </c>
      <c r="E21" s="190">
        <f>MWA!E50</f>
        <v>0.70848076293934448</v>
      </c>
    </row>
    <row r="22" spans="1:18" ht="13.5" customHeight="1" x14ac:dyDescent="0.15">
      <c r="A22" s="183" t="s">
        <v>125</v>
      </c>
      <c r="C22" s="190">
        <f>MWA!C51</f>
        <v>4.1694200096589307E-2</v>
      </c>
      <c r="D22" s="190">
        <f>MWA!D51</f>
        <v>0.16266956736832838</v>
      </c>
      <c r="E22" s="190">
        <f>MWA!E51</f>
        <v>0.27294574807117089</v>
      </c>
    </row>
    <row r="23" spans="1:18" ht="13.5" customHeight="1" x14ac:dyDescent="0.15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15">
      <c r="A24" s="183" t="s">
        <v>124</v>
      </c>
      <c r="C24" s="190">
        <f>MWA!C53</f>
        <v>0.99820821744665378</v>
      </c>
      <c r="D24" s="190">
        <f>MWA!D53</f>
        <v>0.97876358146434961</v>
      </c>
      <c r="E24" s="190">
        <f>MWA!E53</f>
        <v>0.92813732256005799</v>
      </c>
    </row>
    <row r="25" spans="1:18" ht="13.5" customHeight="1" x14ac:dyDescent="0.15">
      <c r="A25" s="183" t="s">
        <v>125</v>
      </c>
      <c r="C25" s="190">
        <f>MWA!C54</f>
        <v>0.60211265763068</v>
      </c>
      <c r="D25" s="190">
        <f>MWA!D54</f>
        <v>0.70291603401890068</v>
      </c>
      <c r="E25" s="190">
        <f>MWA!E54</f>
        <v>0.62977202947150956</v>
      </c>
    </row>
    <row r="26" spans="1:18" ht="13.5" customHeight="1" thickBot="1" x14ac:dyDescent="0.2">
      <c r="H26" s="286" t="s">
        <v>153</v>
      </c>
      <c r="I26" s="286"/>
      <c r="J26" s="286"/>
      <c r="L26" s="286" t="s">
        <v>154</v>
      </c>
      <c r="M26" s="286"/>
      <c r="N26" s="286"/>
      <c r="P26" s="286" t="s">
        <v>199</v>
      </c>
      <c r="Q26" s="286"/>
      <c r="R26" s="286"/>
    </row>
    <row r="27" spans="1:18" ht="13.5" customHeight="1" thickBot="1" x14ac:dyDescent="0.2">
      <c r="A27" s="184" t="s">
        <v>164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15">
      <c r="A28" s="183" t="s">
        <v>134</v>
      </c>
      <c r="C28" s="186">
        <f t="shared" si="0"/>
        <v>1065.653</v>
      </c>
      <c r="D28" s="186">
        <f t="shared" si="0"/>
        <v>1163.3747000000001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15">
      <c r="A29" s="183" t="s">
        <v>135</v>
      </c>
      <c r="C29" s="186">
        <f t="shared" si="0"/>
        <v>-2824.23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'[1]Output for Upload'!$F$9</f>
        <v>401.69592716207802</v>
      </c>
      <c r="I29" s="191">
        <f>[1]BEAVER!$D$10</f>
        <v>456</v>
      </c>
      <c r="J29" s="192">
        <f>I29-H29</f>
        <v>54.304072837921979</v>
      </c>
      <c r="L29" s="191">
        <f>'[1]Output for Upload'!$G$9</f>
        <v>315.70496643870331</v>
      </c>
      <c r="M29" s="191">
        <f>[1]BEAVER!$E$10</f>
        <v>446</v>
      </c>
      <c r="N29" s="192">
        <f>M29-L29</f>
        <v>130.29503356129669</v>
      </c>
      <c r="P29" s="191">
        <f>'[1]Output for Upload'!$H$9</f>
        <v>290.47711280513124</v>
      </c>
      <c r="Q29" s="191">
        <f>[1]BEAVER!$F$10</f>
        <v>410</v>
      </c>
      <c r="R29" s="192">
        <f>Q29-P29</f>
        <v>119.52288719486876</v>
      </c>
    </row>
    <row r="30" spans="1:18" ht="13.5" customHeight="1" x14ac:dyDescent="0.15">
      <c r="A30" s="183" t="s">
        <v>136</v>
      </c>
      <c r="C30" s="187">
        <f>C10+J29+J33</f>
        <v>1997.000474607745</v>
      </c>
      <c r="D30" s="187">
        <f>D10+N29+N33</f>
        <v>1916.9993190801031</v>
      </c>
      <c r="E30" s="193">
        <f>E10+R29+R33</f>
        <v>1870.0003776511755</v>
      </c>
      <c r="G30" s="181" t="s">
        <v>145</v>
      </c>
      <c r="H30" s="191">
        <f>'[1]Output for Upload'!$F$10</f>
        <v>19.012555244044723</v>
      </c>
      <c r="I30" s="191">
        <f>I29</f>
        <v>456</v>
      </c>
      <c r="J30" s="192">
        <f>I30-H30</f>
        <v>436.98744475595527</v>
      </c>
      <c r="L30" s="191">
        <f>'[1]Output for Upload'!$G$10</f>
        <v>72.550627046274457</v>
      </c>
      <c r="M30" s="191">
        <f>M29</f>
        <v>446</v>
      </c>
      <c r="N30" s="192">
        <f>M30-L30</f>
        <v>373.44937295372551</v>
      </c>
      <c r="P30" s="191">
        <f>'[1]Output for Upload'!$H$10</f>
        <v>111.90775670918006</v>
      </c>
      <c r="Q30" s="191">
        <f>Q29</f>
        <v>410</v>
      </c>
      <c r="R30" s="192">
        <f>Q30-P30</f>
        <v>298.09224329081997</v>
      </c>
    </row>
    <row r="31" spans="1:18" ht="13.5" customHeight="1" x14ac:dyDescent="0.15">
      <c r="A31" s="183" t="s">
        <v>137</v>
      </c>
      <c r="C31" s="186">
        <f>SUM(C28:C30)</f>
        <v>238.42347460774499</v>
      </c>
      <c r="D31" s="186">
        <f>SUM(D28:D30)</f>
        <v>192.20331908010303</v>
      </c>
      <c r="E31" s="186">
        <f>SUM(E28:E30)</f>
        <v>237.78087765117562</v>
      </c>
    </row>
    <row r="32" spans="1:18" ht="13.5" customHeight="1" x14ac:dyDescent="0.15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15">
      <c r="A33" s="183" t="s">
        <v>138</v>
      </c>
      <c r="C33" s="186">
        <f t="shared" ref="C33:E34" si="1">C13</f>
        <v>755.88969999999995</v>
      </c>
      <c r="D33" s="186">
        <f t="shared" si="1"/>
        <v>883.73119999999994</v>
      </c>
      <c r="E33" s="186">
        <f t="shared" si="1"/>
        <v>851.4751</v>
      </c>
      <c r="G33" s="181" t="s">
        <v>144</v>
      </c>
      <c r="H33" s="191">
        <f>'[1]Output for Upload'!$F$12</f>
        <v>230.58609823017702</v>
      </c>
      <c r="I33" s="191">
        <f>[1]COYOTE!$D$10</f>
        <v>231</v>
      </c>
      <c r="J33" s="192">
        <f>I33-H33</f>
        <v>0.41390176982298499</v>
      </c>
      <c r="L33" s="191">
        <f>'[1]Output for Upload'!$G$12</f>
        <v>228.05191448119345</v>
      </c>
      <c r="M33" s="191">
        <f>[1]COYOTE!$E$10</f>
        <v>233</v>
      </c>
      <c r="N33" s="192">
        <f>M33-L33</f>
        <v>4.9480855188065505</v>
      </c>
      <c r="P33" s="191">
        <f>'[1]Output for Upload'!$H$12</f>
        <v>211.61530954369323</v>
      </c>
      <c r="Q33" s="191">
        <f>[1]COYOTE!$F$10</f>
        <v>228</v>
      </c>
      <c r="R33" s="192">
        <f>Q33-P33</f>
        <v>16.384690456306771</v>
      </c>
    </row>
    <row r="34" spans="1:18" ht="13.5" customHeight="1" x14ac:dyDescent="0.15">
      <c r="A34" s="183" t="s">
        <v>139</v>
      </c>
      <c r="C34" s="186">
        <f t="shared" si="1"/>
        <v>-2335.7703000000001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'[1]Output for Upload'!$F$13</f>
        <v>139.08802391268708</v>
      </c>
      <c r="I34" s="191">
        <f>I33</f>
        <v>231</v>
      </c>
      <c r="J34" s="192">
        <f>I34-H34</f>
        <v>91.911976087312922</v>
      </c>
      <c r="L34" s="191">
        <f>'[1]Output for Upload'!$G$13</f>
        <v>163.77943592640386</v>
      </c>
      <c r="M34" s="191">
        <f>M33</f>
        <v>233</v>
      </c>
      <c r="N34" s="192">
        <f>M34-L34</f>
        <v>69.220564073596137</v>
      </c>
      <c r="P34" s="191">
        <f>'[1]Output for Upload'!$H$13</f>
        <v>143.58802271950418</v>
      </c>
      <c r="Q34" s="191">
        <f>Q33</f>
        <v>228</v>
      </c>
      <c r="R34" s="192">
        <f>Q34-P34</f>
        <v>84.411977280495819</v>
      </c>
    </row>
    <row r="35" spans="1:18" ht="13.5" customHeight="1" x14ac:dyDescent="0.15">
      <c r="A35" s="183" t="s">
        <v>140</v>
      </c>
      <c r="C35" s="187">
        <f>C15+J30+J34</f>
        <v>1745.0001208432682</v>
      </c>
      <c r="D35" s="187">
        <f>D15+N30+N34</f>
        <v>1799.9985370273216</v>
      </c>
      <c r="E35" s="193">
        <f>E15+R30+R34</f>
        <v>1725.000420571316</v>
      </c>
    </row>
    <row r="36" spans="1:18" ht="13.5" customHeight="1" x14ac:dyDescent="0.15">
      <c r="A36" s="183" t="s">
        <v>141</v>
      </c>
      <c r="C36" s="186">
        <f>SUM(C33:C35)</f>
        <v>165.11952084326799</v>
      </c>
      <c r="D36" s="186">
        <f>SUM(D33:D35)</f>
        <v>241.59253702732144</v>
      </c>
      <c r="E36" s="186">
        <f>SUM(E33:E35)</f>
        <v>227.13872057131607</v>
      </c>
    </row>
    <row r="37" spans="1:18" ht="13.5" customHeight="1" thickBot="1" x14ac:dyDescent="0.2"/>
    <row r="38" spans="1:18" ht="13.5" customHeight="1" thickBot="1" x14ac:dyDescent="0.2">
      <c r="A38" s="180" t="s">
        <v>142</v>
      </c>
      <c r="C38" s="189">
        <f>((C31*C41)+(C36*C42))/C43</f>
        <v>207.62597456978349</v>
      </c>
      <c r="D38" s="189">
        <f>((D31*D41)+(D36*D42))/D43</f>
        <v>214.15408261220009</v>
      </c>
      <c r="E38" s="189">
        <f>((E31*E41)+(E36*E42))/E43</f>
        <v>232.86031039919754</v>
      </c>
    </row>
    <row r="40" spans="1:18" ht="14.25" customHeight="1" x14ac:dyDescent="0.15">
      <c r="A40" s="188" t="s">
        <v>75</v>
      </c>
    </row>
    <row r="41" spans="1:18" ht="13.5" hidden="1" customHeight="1" x14ac:dyDescent="0.15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15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15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15">
      <c r="A44" s="188" t="s">
        <v>223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15">
      <c r="A45" s="188" t="s">
        <v>224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259</v>
      </c>
    </row>
    <row r="2" spans="1:27" ht="12" customHeight="1" x14ac:dyDescent="0.2">
      <c r="A2" s="201" t="s">
        <v>229</v>
      </c>
    </row>
    <row r="3" spans="1:27" ht="12" customHeight="1" x14ac:dyDescent="0.2">
      <c r="A3" s="201" t="s">
        <v>260</v>
      </c>
    </row>
    <row r="4" spans="1:27" ht="12" customHeight="1" x14ac:dyDescent="0.2">
      <c r="A4" s="201" t="s">
        <v>261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227</v>
      </c>
      <c r="D6" s="209" t="s">
        <v>231</v>
      </c>
      <c r="E6" s="209" t="s">
        <v>232</v>
      </c>
      <c r="F6" s="209" t="s">
        <v>233</v>
      </c>
      <c r="G6" s="209" t="s">
        <v>234</v>
      </c>
      <c r="H6" s="209" t="s">
        <v>235</v>
      </c>
      <c r="I6" s="209" t="s">
        <v>236</v>
      </c>
      <c r="J6" s="209" t="s">
        <v>237</v>
      </c>
      <c r="K6" s="209" t="s">
        <v>238</v>
      </c>
      <c r="L6" s="209" t="s">
        <v>239</v>
      </c>
      <c r="M6" s="209" t="s">
        <v>240</v>
      </c>
      <c r="N6" s="209" t="s">
        <v>241</v>
      </c>
      <c r="O6" s="209" t="s">
        <v>242</v>
      </c>
      <c r="P6" s="209" t="s">
        <v>243</v>
      </c>
      <c r="Q6" s="209" t="s">
        <v>244</v>
      </c>
      <c r="R6" s="209" t="s">
        <v>245</v>
      </c>
      <c r="S6" s="209" t="s">
        <v>246</v>
      </c>
      <c r="T6" s="209" t="s">
        <v>247</v>
      </c>
      <c r="U6" s="209" t="s">
        <v>248</v>
      </c>
      <c r="V6" s="209" t="s">
        <v>249</v>
      </c>
      <c r="W6" s="209" t="s">
        <v>250</v>
      </c>
      <c r="X6" s="209" t="s">
        <v>251</v>
      </c>
      <c r="Y6" s="209" t="s">
        <v>252</v>
      </c>
      <c r="Z6" s="209" t="s">
        <v>253</v>
      </c>
      <c r="AA6" s="209" t="s">
        <v>74</v>
      </c>
    </row>
    <row r="7" spans="1:27" ht="11.25" customHeight="1" x14ac:dyDescent="0.2">
      <c r="A7" s="204" t="s">
        <v>134</v>
      </c>
      <c r="C7" s="205">
        <v>426261.2</v>
      </c>
      <c r="D7" s="205">
        <v>483963.88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8456300.3200000022</v>
      </c>
    </row>
    <row r="8" spans="1:27" ht="11.25" customHeight="1" x14ac:dyDescent="0.2">
      <c r="A8" s="204" t="s">
        <v>135</v>
      </c>
      <c r="C8" s="205">
        <v>-1129692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-26104994</v>
      </c>
    </row>
    <row r="9" spans="1:27" ht="11.25" customHeight="1" x14ac:dyDescent="0.2">
      <c r="A9" s="204" t="s">
        <v>136</v>
      </c>
      <c r="C9" s="205">
        <v>776912.98199999996</v>
      </c>
      <c r="D9" s="205">
        <v>741210.598</v>
      </c>
      <c r="E9" s="205">
        <v>665891.63800000004</v>
      </c>
      <c r="F9" s="205">
        <v>614420.43000000005</v>
      </c>
      <c r="G9" s="205">
        <v>633088.18400000001</v>
      </c>
      <c r="H9" s="205">
        <v>585855.74899999995</v>
      </c>
      <c r="I9" s="205">
        <v>554324.5</v>
      </c>
      <c r="J9" s="205">
        <v>722265.43</v>
      </c>
      <c r="K9" s="205">
        <v>712577.84699999995</v>
      </c>
      <c r="L9" s="205">
        <v>601025.75300000003</v>
      </c>
      <c r="M9" s="205">
        <v>647960.30799999996</v>
      </c>
      <c r="N9" s="205">
        <v>675297.73400000005</v>
      </c>
      <c r="O9" s="205">
        <v>727937.88399999996</v>
      </c>
      <c r="P9" s="205">
        <v>760761.92500000005</v>
      </c>
      <c r="Q9" s="205">
        <v>693364.06700000004</v>
      </c>
      <c r="R9" s="205">
        <v>698375.75600000005</v>
      </c>
      <c r="S9" s="205">
        <v>670423.13199999998</v>
      </c>
      <c r="T9" s="205">
        <v>602682.91</v>
      </c>
      <c r="U9" s="205">
        <v>554253.74100000004</v>
      </c>
      <c r="V9" s="205">
        <v>702771.68500000006</v>
      </c>
      <c r="W9" s="205">
        <v>679648.89300000004</v>
      </c>
      <c r="X9" s="205">
        <v>621404.66</v>
      </c>
      <c r="Y9" s="205">
        <v>679733.44</v>
      </c>
      <c r="Z9" s="205">
        <v>651642.48100000003</v>
      </c>
      <c r="AA9" s="205">
        <v>15973831.727</v>
      </c>
    </row>
    <row r="10" spans="1:27" ht="11.25" customHeight="1" x14ac:dyDescent="0.2">
      <c r="A10" s="204" t="s">
        <v>137</v>
      </c>
      <c r="C10" s="206">
        <v>73482.181999999913</v>
      </c>
      <c r="D10" s="206">
        <v>23695.478000000003</v>
      </c>
      <c r="E10" s="206">
        <v>39119.358000000007</v>
      </c>
      <c r="F10" s="206">
        <v>45001.710000000079</v>
      </c>
      <c r="G10" s="206">
        <v>12886.464000000036</v>
      </c>
      <c r="H10" s="206">
        <v>12074.428999999887</v>
      </c>
      <c r="I10" s="206">
        <v>-35901.5</v>
      </c>
      <c r="J10" s="206">
        <v>112663.51</v>
      </c>
      <c r="K10" s="206">
        <v>75576.60699999996</v>
      </c>
      <c r="L10" s="206">
        <v>44076.273000000045</v>
      </c>
      <c r="M10" s="206">
        <v>42135.427999999956</v>
      </c>
      <c r="N10" s="206">
        <v>48930.734000000055</v>
      </c>
      <c r="O10" s="206">
        <v>6835.8839999999618</v>
      </c>
      <c r="P10" s="206">
        <v>-243899.67499999993</v>
      </c>
      <c r="Q10" s="206">
        <v>-198334.33299999998</v>
      </c>
      <c r="R10" s="206">
        <v>-161520.84399999992</v>
      </c>
      <c r="S10" s="206">
        <v>-180664.38800000004</v>
      </c>
      <c r="T10" s="206">
        <v>-186062.61</v>
      </c>
      <c r="U10" s="206">
        <v>-219361.25899999996</v>
      </c>
      <c r="V10" s="206">
        <v>-173308.83499999996</v>
      </c>
      <c r="W10" s="206">
        <v>-203353.62699999998</v>
      </c>
      <c r="X10" s="206">
        <v>-199259.34</v>
      </c>
      <c r="Y10" s="206">
        <v>-208970.6</v>
      </c>
      <c r="Z10" s="206">
        <v>-200702.99899999995</v>
      </c>
      <c r="AA10" s="206">
        <v>-1674861.9529999997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260026.04</v>
      </c>
      <c r="D12" s="205">
        <v>289863.84000000003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4099285.0558000002</v>
      </c>
    </row>
    <row r="13" spans="1:27" ht="11.25" customHeight="1" x14ac:dyDescent="0.2">
      <c r="A13" s="204" t="s">
        <v>139</v>
      </c>
      <c r="C13" s="205">
        <v>-803505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-16845323</v>
      </c>
    </row>
    <row r="14" spans="1:27" ht="11.25" customHeight="1" x14ac:dyDescent="0.2">
      <c r="A14" s="204" t="s">
        <v>140</v>
      </c>
      <c r="C14" s="205">
        <v>418338.65600000002</v>
      </c>
      <c r="D14" s="205">
        <v>445203.79</v>
      </c>
      <c r="E14" s="205">
        <v>386638.90700000001</v>
      </c>
      <c r="F14" s="205">
        <v>379626.26199999999</v>
      </c>
      <c r="G14" s="205">
        <v>370609.46799999999</v>
      </c>
      <c r="H14" s="205">
        <v>376382.451</v>
      </c>
      <c r="I14" s="205">
        <v>315720.80099999998</v>
      </c>
      <c r="J14" s="205">
        <v>426818.03899999999</v>
      </c>
      <c r="K14" s="205">
        <v>401341.49699999997</v>
      </c>
      <c r="L14" s="205">
        <v>403436.70199999999</v>
      </c>
      <c r="M14" s="205">
        <v>332908.86700000003</v>
      </c>
      <c r="N14" s="205">
        <v>394114.14899999998</v>
      </c>
      <c r="O14" s="205">
        <v>537097.799</v>
      </c>
      <c r="P14" s="205">
        <v>457264.50599999999</v>
      </c>
      <c r="Q14" s="205">
        <v>387246.43599999999</v>
      </c>
      <c r="R14" s="205">
        <v>458914.28899999999</v>
      </c>
      <c r="S14" s="205">
        <v>394706.03200000001</v>
      </c>
      <c r="T14" s="205">
        <v>386459.32400000002</v>
      </c>
      <c r="U14" s="205">
        <v>312276.2</v>
      </c>
      <c r="V14" s="205">
        <v>446599.73700000002</v>
      </c>
      <c r="W14" s="205">
        <v>427245.44400000002</v>
      </c>
      <c r="X14" s="205">
        <v>410223.78600000002</v>
      </c>
      <c r="Y14" s="205">
        <v>391263.07799999998</v>
      </c>
      <c r="Z14" s="205">
        <v>434137.60499999998</v>
      </c>
      <c r="AA14" s="205">
        <v>9694573.8249999993</v>
      </c>
    </row>
    <row r="15" spans="1:27" ht="11.25" customHeight="1" x14ac:dyDescent="0.2">
      <c r="A15" s="204" t="s">
        <v>141</v>
      </c>
      <c r="C15" s="206">
        <v>-125140.30399999995</v>
      </c>
      <c r="D15" s="206">
        <v>-65953.37</v>
      </c>
      <c r="E15" s="206">
        <v>-44745.253000000026</v>
      </c>
      <c r="F15" s="206">
        <v>-60915.698000000033</v>
      </c>
      <c r="G15" s="206">
        <v>-69304.741999999969</v>
      </c>
      <c r="H15" s="206">
        <v>-61625.309000000008</v>
      </c>
      <c r="I15" s="206">
        <v>-84318.599000000046</v>
      </c>
      <c r="J15" s="206">
        <v>-13691.521000000008</v>
      </c>
      <c r="K15" s="206">
        <v>-24827.14300000004</v>
      </c>
      <c r="L15" s="206">
        <v>-68229.618000000017</v>
      </c>
      <c r="M15" s="206">
        <v>-125078.50299999997</v>
      </c>
      <c r="N15" s="206">
        <v>-146296.25100000005</v>
      </c>
      <c r="O15" s="206">
        <v>-91030.280999999959</v>
      </c>
      <c r="P15" s="206">
        <v>-250888.49400000001</v>
      </c>
      <c r="Q15" s="206">
        <v>-216598.56400000001</v>
      </c>
      <c r="R15" s="206">
        <v>-168453.71100000001</v>
      </c>
      <c r="S15" s="206">
        <v>-184452.69499999995</v>
      </c>
      <c r="T15" s="206">
        <v>-198424.67599999998</v>
      </c>
      <c r="U15" s="206">
        <v>-233312.8</v>
      </c>
      <c r="V15" s="206">
        <v>-101273.26299999998</v>
      </c>
      <c r="W15" s="206">
        <v>-130807.55599999998</v>
      </c>
      <c r="X15" s="206">
        <v>-133672.21399999998</v>
      </c>
      <c r="Y15" s="206">
        <v>-188517.15919999999</v>
      </c>
      <c r="Z15" s="206">
        <v>-263906.39500000002</v>
      </c>
      <c r="AA15" s="206">
        <v>-3051464.1192000005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262</v>
      </c>
      <c r="C17" s="208">
        <v>-51658.122000000032</v>
      </c>
      <c r="D17" s="208">
        <v>-42257.891999999993</v>
      </c>
      <c r="E17" s="208">
        <v>-5625.8950000000186</v>
      </c>
      <c r="F17" s="208">
        <v>-15913.987999999954</v>
      </c>
      <c r="G17" s="208">
        <v>-56418.277999999933</v>
      </c>
      <c r="H17" s="208">
        <v>-49550.880000000121</v>
      </c>
      <c r="I17" s="208">
        <v>-120220.09900000005</v>
      </c>
      <c r="J17" s="208">
        <v>98971.989000000118</v>
      </c>
      <c r="K17" s="208">
        <v>50749.46399999992</v>
      </c>
      <c r="L17" s="208">
        <v>-24153.344999999972</v>
      </c>
      <c r="M17" s="208">
        <v>-82943.075000000012</v>
      </c>
      <c r="N17" s="208">
        <v>-97365.516999999993</v>
      </c>
      <c r="O17" s="208">
        <v>-84194.396999999997</v>
      </c>
      <c r="P17" s="208">
        <v>-494788.16899999994</v>
      </c>
      <c r="Q17" s="208">
        <v>-414932.897</v>
      </c>
      <c r="R17" s="208">
        <v>-329974.55499999993</v>
      </c>
      <c r="S17" s="208">
        <v>-365117.08299999998</v>
      </c>
      <c r="T17" s="208">
        <v>-384487.28599999996</v>
      </c>
      <c r="U17" s="208">
        <v>-452674.05899999995</v>
      </c>
      <c r="V17" s="208">
        <v>-274582.09799999994</v>
      </c>
      <c r="W17" s="208">
        <v>-334161.18299999996</v>
      </c>
      <c r="X17" s="208">
        <v>-332931.55399999995</v>
      </c>
      <c r="Y17" s="208">
        <v>-397487.75920000009</v>
      </c>
      <c r="Z17" s="208">
        <v>-464609.39399999997</v>
      </c>
      <c r="AA17" s="208">
        <v>-4726326.0722000003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254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-61600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262</v>
      </c>
      <c r="C26" s="208">
        <v>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-61600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257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426261.2</v>
      </c>
      <c r="D31" s="205">
        <v>483963.88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8517900.3200000022</v>
      </c>
    </row>
    <row r="32" spans="1:27" ht="11.25" customHeight="1" x14ac:dyDescent="0.2">
      <c r="A32" s="204" t="s">
        <v>135</v>
      </c>
      <c r="C32" s="205">
        <v>-1129692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-26104994</v>
      </c>
    </row>
    <row r="33" spans="1:27" ht="11.25" customHeight="1" x14ac:dyDescent="0.2">
      <c r="A33" s="204" t="s">
        <v>136</v>
      </c>
      <c r="C33" s="205">
        <v>776912.98199999996</v>
      </c>
      <c r="D33" s="205">
        <v>741210.598</v>
      </c>
      <c r="E33" s="205">
        <v>665891.63800000004</v>
      </c>
      <c r="F33" s="205">
        <v>614420.43000000005</v>
      </c>
      <c r="G33" s="205">
        <v>633088.18400000001</v>
      </c>
      <c r="H33" s="205">
        <v>585855.74899999995</v>
      </c>
      <c r="I33" s="205">
        <v>554324.5</v>
      </c>
      <c r="J33" s="205">
        <v>722265.43</v>
      </c>
      <c r="K33" s="205">
        <v>712577.84699999995</v>
      </c>
      <c r="L33" s="205">
        <v>601025.75300000003</v>
      </c>
      <c r="M33" s="205">
        <v>647960.30799999996</v>
      </c>
      <c r="N33" s="205">
        <v>675297.73400000005</v>
      </c>
      <c r="O33" s="205">
        <v>727937.88399999996</v>
      </c>
      <c r="P33" s="205">
        <v>760761.92500000005</v>
      </c>
      <c r="Q33" s="205">
        <v>693364.06700000004</v>
      </c>
      <c r="R33" s="205">
        <v>698375.75600000005</v>
      </c>
      <c r="S33" s="205">
        <v>670423.13199999998</v>
      </c>
      <c r="T33" s="205">
        <v>602682.91</v>
      </c>
      <c r="U33" s="205">
        <v>554253.74100000004</v>
      </c>
      <c r="V33" s="205">
        <v>702771.68500000006</v>
      </c>
      <c r="W33" s="205">
        <v>679648.89300000004</v>
      </c>
      <c r="X33" s="205">
        <v>621404.66</v>
      </c>
      <c r="Y33" s="205">
        <v>679733.44</v>
      </c>
      <c r="Z33" s="205">
        <v>651642.48100000003</v>
      </c>
      <c r="AA33" s="205">
        <v>15973831.727</v>
      </c>
    </row>
    <row r="34" spans="1:27" ht="11.25" customHeight="1" x14ac:dyDescent="0.2">
      <c r="A34" s="204" t="s">
        <v>137</v>
      </c>
      <c r="C34" s="206">
        <v>73482.181999999913</v>
      </c>
      <c r="D34" s="206">
        <v>23695.478000000003</v>
      </c>
      <c r="E34" s="206">
        <v>39119.358000000007</v>
      </c>
      <c r="F34" s="206">
        <v>45001.710000000079</v>
      </c>
      <c r="G34" s="206">
        <v>33686.464000000036</v>
      </c>
      <c r="H34" s="206">
        <v>32874.428999999887</v>
      </c>
      <c r="I34" s="206">
        <v>-15901.5</v>
      </c>
      <c r="J34" s="206">
        <v>112663.51</v>
      </c>
      <c r="K34" s="206">
        <v>75576.60699999996</v>
      </c>
      <c r="L34" s="206">
        <v>44076.273000000045</v>
      </c>
      <c r="M34" s="206">
        <v>42135.427999999956</v>
      </c>
      <c r="N34" s="206">
        <v>48930.734000000055</v>
      </c>
      <c r="O34" s="206">
        <v>6835.8839999999618</v>
      </c>
      <c r="P34" s="206">
        <v>-243899.67499999993</v>
      </c>
      <c r="Q34" s="206">
        <v>-198334.33299999998</v>
      </c>
      <c r="R34" s="206">
        <v>-161520.84399999992</v>
      </c>
      <c r="S34" s="206">
        <v>-180664.38800000004</v>
      </c>
      <c r="T34" s="206">
        <v>-186062.61</v>
      </c>
      <c r="U34" s="206">
        <v>-219361.25899999996</v>
      </c>
      <c r="V34" s="206">
        <v>-173308.83499999996</v>
      </c>
      <c r="W34" s="206">
        <v>-203353.62699999998</v>
      </c>
      <c r="X34" s="206">
        <v>-199259.34</v>
      </c>
      <c r="Y34" s="206">
        <v>-208970.6</v>
      </c>
      <c r="Z34" s="206">
        <v>-200702.99899999995</v>
      </c>
      <c r="AA34" s="206">
        <v>-1613261.9529999997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260026.04</v>
      </c>
      <c r="D36" s="205">
        <v>289863.84000000003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4099285.0558000002</v>
      </c>
    </row>
    <row r="37" spans="1:27" ht="11.25" customHeight="1" x14ac:dyDescent="0.2">
      <c r="A37" s="204" t="s">
        <v>139</v>
      </c>
      <c r="C37" s="205">
        <v>-803505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-16845323</v>
      </c>
    </row>
    <row r="38" spans="1:27" ht="11.25" customHeight="1" x14ac:dyDescent="0.2">
      <c r="A38" s="204" t="s">
        <v>140</v>
      </c>
      <c r="C38" s="205">
        <v>418338.65600000002</v>
      </c>
      <c r="D38" s="205">
        <v>445203.79</v>
      </c>
      <c r="E38" s="205">
        <v>386638.90700000001</v>
      </c>
      <c r="F38" s="205">
        <v>379626.26199999999</v>
      </c>
      <c r="G38" s="205">
        <v>370609.46799999999</v>
      </c>
      <c r="H38" s="205">
        <v>376382.451</v>
      </c>
      <c r="I38" s="205">
        <v>315720.80099999998</v>
      </c>
      <c r="J38" s="205">
        <v>426818.03899999999</v>
      </c>
      <c r="K38" s="205">
        <v>401341.49699999997</v>
      </c>
      <c r="L38" s="205">
        <v>403436.70199999999</v>
      </c>
      <c r="M38" s="205">
        <v>332908.86700000003</v>
      </c>
      <c r="N38" s="205">
        <v>394114.14899999998</v>
      </c>
      <c r="O38" s="205">
        <v>537097.799</v>
      </c>
      <c r="P38" s="205">
        <v>457264.50599999999</v>
      </c>
      <c r="Q38" s="205">
        <v>387246.43599999999</v>
      </c>
      <c r="R38" s="205">
        <v>458914.28899999999</v>
      </c>
      <c r="S38" s="205">
        <v>394706.03200000001</v>
      </c>
      <c r="T38" s="205">
        <v>386459.32400000002</v>
      </c>
      <c r="U38" s="205">
        <v>312276.2</v>
      </c>
      <c r="V38" s="205">
        <v>446599.73700000002</v>
      </c>
      <c r="W38" s="205">
        <v>427245.44400000002</v>
      </c>
      <c r="X38" s="205">
        <v>410223.78600000002</v>
      </c>
      <c r="Y38" s="205">
        <v>391263.07799999998</v>
      </c>
      <c r="Z38" s="205">
        <v>434137.60499999998</v>
      </c>
      <c r="AA38" s="205">
        <v>9694573.8249999993</v>
      </c>
    </row>
    <row r="39" spans="1:27" ht="11.25" customHeight="1" x14ac:dyDescent="0.2">
      <c r="A39" s="204" t="s">
        <v>141</v>
      </c>
      <c r="C39" s="206">
        <v>-125140.30399999995</v>
      </c>
      <c r="D39" s="206">
        <v>-65953.37</v>
      </c>
      <c r="E39" s="206">
        <v>-44745.253000000026</v>
      </c>
      <c r="F39" s="206">
        <v>-60915.698000000033</v>
      </c>
      <c r="G39" s="206">
        <v>-69304.741999999969</v>
      </c>
      <c r="H39" s="206">
        <v>-61625.309000000008</v>
      </c>
      <c r="I39" s="206">
        <v>-84318.599000000046</v>
      </c>
      <c r="J39" s="206">
        <v>-13691.521000000008</v>
      </c>
      <c r="K39" s="206">
        <v>-24827.14300000004</v>
      </c>
      <c r="L39" s="206">
        <v>-68229.618000000017</v>
      </c>
      <c r="M39" s="206">
        <v>-125078.50299999997</v>
      </c>
      <c r="N39" s="206">
        <v>-146296.25100000005</v>
      </c>
      <c r="O39" s="206">
        <v>-91030.280999999959</v>
      </c>
      <c r="P39" s="206">
        <v>-250888.49400000001</v>
      </c>
      <c r="Q39" s="206">
        <v>-216598.56400000001</v>
      </c>
      <c r="R39" s="206">
        <v>-168453.71100000001</v>
      </c>
      <c r="S39" s="206">
        <v>-184452.69499999995</v>
      </c>
      <c r="T39" s="206">
        <v>-198424.67599999998</v>
      </c>
      <c r="U39" s="206">
        <v>-233312.8</v>
      </c>
      <c r="V39" s="206">
        <v>-101273.26299999998</v>
      </c>
      <c r="W39" s="206">
        <v>-130807.55599999998</v>
      </c>
      <c r="X39" s="206">
        <v>-133672.21399999998</v>
      </c>
      <c r="Y39" s="206">
        <v>-188517.15919999999</v>
      </c>
      <c r="Z39" s="206">
        <v>-263906.39500000002</v>
      </c>
      <c r="AA39" s="206">
        <v>-3051464.1192000005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262</v>
      </c>
      <c r="C41" s="208">
        <v>-51658.122000000032</v>
      </c>
      <c r="D41" s="208">
        <v>-42257.891999999993</v>
      </c>
      <c r="E41" s="208">
        <v>-5625.8950000000186</v>
      </c>
      <c r="F41" s="208">
        <v>-15913.987999999954</v>
      </c>
      <c r="G41" s="208">
        <v>-35618.277999999933</v>
      </c>
      <c r="H41" s="208">
        <v>-28750.880000000121</v>
      </c>
      <c r="I41" s="208">
        <v>-100220.09900000005</v>
      </c>
      <c r="J41" s="208">
        <v>98971.989000000118</v>
      </c>
      <c r="K41" s="208">
        <v>50749.46399999992</v>
      </c>
      <c r="L41" s="208">
        <v>-24153.344999999972</v>
      </c>
      <c r="M41" s="208">
        <v>-82943.075000000012</v>
      </c>
      <c r="N41" s="208">
        <v>-97365.516999999993</v>
      </c>
      <c r="O41" s="208">
        <v>-84194.396999999997</v>
      </c>
      <c r="P41" s="208">
        <v>-494788.16899999994</v>
      </c>
      <c r="Q41" s="208">
        <v>-414932.897</v>
      </c>
      <c r="R41" s="208">
        <v>-329974.55499999993</v>
      </c>
      <c r="S41" s="208">
        <v>-365117.08299999998</v>
      </c>
      <c r="T41" s="208">
        <v>-384487.28599999996</v>
      </c>
      <c r="U41" s="208">
        <v>-452674.05899999995</v>
      </c>
      <c r="V41" s="208">
        <v>-274582.09799999994</v>
      </c>
      <c r="W41" s="208">
        <v>-334161.18299999996</v>
      </c>
      <c r="X41" s="208">
        <v>-332931.55399999995</v>
      </c>
      <c r="Y41" s="208">
        <v>-397487.75920000009</v>
      </c>
      <c r="Z41" s="208">
        <v>-464609.39399999997</v>
      </c>
      <c r="AA41" s="208">
        <v>-4664726.0722000003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263</v>
      </c>
    </row>
    <row r="2" spans="1:27" ht="12" customHeight="1" x14ac:dyDescent="0.2">
      <c r="A2" s="210" t="s">
        <v>229</v>
      </c>
    </row>
    <row r="3" spans="1:27" ht="12" customHeight="1" x14ac:dyDescent="0.2">
      <c r="A3" s="210" t="s">
        <v>260</v>
      </c>
    </row>
    <row r="4" spans="1:27" ht="12" customHeight="1" x14ac:dyDescent="0.2">
      <c r="A4" s="210" t="s">
        <v>261</v>
      </c>
    </row>
    <row r="6" spans="1:27" ht="12" customHeight="1" x14ac:dyDescent="0.2">
      <c r="A6" s="212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213" t="s">
        <v>134</v>
      </c>
      <c r="C7" s="213">
        <v>1065.653</v>
      </c>
      <c r="D7" s="213">
        <v>1163.3747000000001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868.46460000000002</v>
      </c>
    </row>
    <row r="8" spans="1:27" ht="11.25" customHeight="1" x14ac:dyDescent="0.2">
      <c r="A8" s="213" t="s">
        <v>265</v>
      </c>
      <c r="C8" s="213">
        <v>-2824.23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-2661.6021999999998</v>
      </c>
    </row>
    <row r="9" spans="1:27" ht="11.25" customHeight="1" x14ac:dyDescent="0.2">
      <c r="A9" s="213" t="s">
        <v>266</v>
      </c>
      <c r="C9" s="213">
        <v>1942.2825</v>
      </c>
      <c r="D9" s="213">
        <v>1781.7562</v>
      </c>
      <c r="E9" s="213">
        <v>1734.0927999999999</v>
      </c>
      <c r="F9" s="213">
        <v>1476.9721999999999</v>
      </c>
      <c r="G9" s="213">
        <v>1521.8466000000001</v>
      </c>
      <c r="H9" s="213">
        <v>1408.3071</v>
      </c>
      <c r="I9" s="213">
        <v>1385.8112000000001</v>
      </c>
      <c r="J9" s="213">
        <v>1736.2149999999999</v>
      </c>
      <c r="K9" s="213">
        <v>1649.4857999999999</v>
      </c>
      <c r="L9" s="213">
        <v>1565.1712</v>
      </c>
      <c r="M9" s="213">
        <v>1499.9081000000001</v>
      </c>
      <c r="N9" s="213">
        <v>1688.2443000000001</v>
      </c>
      <c r="O9" s="213">
        <v>1819.8447000000001</v>
      </c>
      <c r="P9" s="213">
        <v>1828.7546</v>
      </c>
      <c r="Q9" s="213">
        <v>1805.6356000000001</v>
      </c>
      <c r="R9" s="213">
        <v>1678.7879</v>
      </c>
      <c r="S9" s="213">
        <v>1611.5941</v>
      </c>
      <c r="T9" s="213">
        <v>1448.7570000000001</v>
      </c>
      <c r="U9" s="213">
        <v>1385.6343999999999</v>
      </c>
      <c r="V9" s="213">
        <v>1689.355</v>
      </c>
      <c r="W9" s="213">
        <v>1633.7714000000001</v>
      </c>
      <c r="X9" s="213">
        <v>1553.5116</v>
      </c>
      <c r="Y9" s="213">
        <v>1573.4570000000001</v>
      </c>
      <c r="Z9" s="213">
        <v>1696.9856</v>
      </c>
      <c r="AA9" s="213">
        <v>1628.6532999999999</v>
      </c>
    </row>
    <row r="10" spans="1:27" ht="11.25" customHeight="1" x14ac:dyDescent="0.2">
      <c r="A10" s="210" t="s">
        <v>137</v>
      </c>
      <c r="C10" s="214">
        <f>SUM($C$7:$C$9)</f>
        <v>183.70550000000003</v>
      </c>
      <c r="D10" s="214">
        <f>SUM($D$7:$D$9)</f>
        <v>56.960199999999986</v>
      </c>
      <c r="E10" s="214">
        <f>SUM($E$7:$E$9)</f>
        <v>101.87329999999997</v>
      </c>
      <c r="F10" s="214">
        <f>SUM($F$7:$F$9)</f>
        <v>108.17720000000008</v>
      </c>
      <c r="G10" s="214">
        <f>SUM($G$7:$G$9)</f>
        <v>80.977100000000064</v>
      </c>
      <c r="H10" s="214">
        <f>SUM($H$7:$H$9)</f>
        <v>79.025099999999838</v>
      </c>
      <c r="I10" s="214">
        <f>SUM($I$7:$I$9)</f>
        <v>-39.753799999999956</v>
      </c>
      <c r="J10" s="214">
        <f>SUM($J$7:$J$9)</f>
        <v>270.82579999999962</v>
      </c>
      <c r="K10" s="214">
        <f>SUM($K$7:$K$9)</f>
        <v>174.94589999999994</v>
      </c>
      <c r="L10" s="214">
        <f>SUM($L$7:$L$9)</f>
        <v>114.78189999999995</v>
      </c>
      <c r="M10" s="214">
        <f>SUM($M$7:$M$9)</f>
        <v>97.535699999999906</v>
      </c>
      <c r="N10" s="214">
        <f>SUM($N$7:$N$9)</f>
        <v>122.32680000000005</v>
      </c>
      <c r="O10" s="214">
        <f>SUM($O$7:$O$9)</f>
        <v>17.089699999999993</v>
      </c>
      <c r="P10" s="214">
        <f>SUM($P$7:$P$9)</f>
        <v>-586.29729999999995</v>
      </c>
      <c r="Q10" s="214">
        <f>SUM($Q$7:$Q$9)</f>
        <v>-516.49559999999974</v>
      </c>
      <c r="R10" s="214">
        <f>SUM($R$7:$R$9)</f>
        <v>-388.27119999999991</v>
      </c>
      <c r="S10" s="214">
        <f>SUM($S$7:$S$9)</f>
        <v>-434.28939999999989</v>
      </c>
      <c r="T10" s="214">
        <f>SUM($T$7:$T$9)</f>
        <v>-447.2659000000001</v>
      </c>
      <c r="U10" s="214">
        <f>SUM($U$7:$U$9)</f>
        <v>-548.40309999999999</v>
      </c>
      <c r="V10" s="214">
        <f>SUM($V$7:$V$9)</f>
        <v>-416.60780000000022</v>
      </c>
      <c r="W10" s="214">
        <f>SUM($W$7:$W$9)</f>
        <v>-488.83089999999947</v>
      </c>
      <c r="X10" s="214">
        <f>SUM($X$7:$X$9)</f>
        <v>-498.14839999999981</v>
      </c>
      <c r="Y10" s="214">
        <f>SUM($Y$7:$Y$9)</f>
        <v>-483.72829999999999</v>
      </c>
      <c r="Z10" s="214">
        <f>SUM($Z$7:$Z$9)</f>
        <v>-522.66409999999996</v>
      </c>
      <c r="AA10" s="214">
        <f>SUM($AA$7:$AA$9)</f>
        <v>-164.48429999999985</v>
      </c>
    </row>
    <row r="12" spans="1:27" ht="11.25" customHeight="1" x14ac:dyDescent="0.2">
      <c r="A12" s="213" t="s">
        <v>138</v>
      </c>
      <c r="C12" s="213">
        <v>755.88969999999995</v>
      </c>
      <c r="D12" s="213">
        <v>883.73119999999994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531.54629999999997</v>
      </c>
    </row>
    <row r="13" spans="1:27" ht="11.25" customHeight="1" x14ac:dyDescent="0.2">
      <c r="A13" s="213" t="s">
        <v>265</v>
      </c>
      <c r="C13" s="213">
        <v>-2335.7703000000001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-2184.3002000000001</v>
      </c>
    </row>
    <row r="14" spans="1:27" ht="11.25" customHeight="1" x14ac:dyDescent="0.2">
      <c r="A14" s="213" t="s">
        <v>266</v>
      </c>
      <c r="C14" s="213">
        <v>1216.1007</v>
      </c>
      <c r="D14" s="213">
        <v>1357.3286000000001</v>
      </c>
      <c r="E14" s="213">
        <v>1342.4962</v>
      </c>
      <c r="F14" s="213">
        <v>1157.3970999999999</v>
      </c>
      <c r="G14" s="213">
        <v>1219.1101000000001</v>
      </c>
      <c r="H14" s="213">
        <v>1147.5074999999999</v>
      </c>
      <c r="I14" s="213">
        <v>986.62750000000005</v>
      </c>
      <c r="J14" s="213">
        <v>1301.2745</v>
      </c>
      <c r="K14" s="213">
        <v>1286.3510000000001</v>
      </c>
      <c r="L14" s="213">
        <v>1200.7045000000001</v>
      </c>
      <c r="M14" s="213">
        <v>1067.0155999999999</v>
      </c>
      <c r="N14" s="213">
        <v>1231.6067</v>
      </c>
      <c r="O14" s="213">
        <v>1561.3308</v>
      </c>
      <c r="P14" s="213">
        <v>1394.0990999999999</v>
      </c>
      <c r="Q14" s="213">
        <v>1344.6057000000001</v>
      </c>
      <c r="R14" s="213">
        <v>1399.1288999999999</v>
      </c>
      <c r="S14" s="213">
        <v>1298.3751</v>
      </c>
      <c r="T14" s="213">
        <v>1178.2295999999999</v>
      </c>
      <c r="U14" s="213">
        <v>975.86310000000003</v>
      </c>
      <c r="V14" s="213">
        <v>1361.5845999999999</v>
      </c>
      <c r="W14" s="213">
        <v>1302.5776000000001</v>
      </c>
      <c r="X14" s="213">
        <v>1281.9493</v>
      </c>
      <c r="Y14" s="213">
        <v>1254.0482999999999</v>
      </c>
      <c r="Z14" s="213">
        <v>1292.0762</v>
      </c>
      <c r="AA14" s="213">
        <v>1257.0764999999999</v>
      </c>
    </row>
    <row r="15" spans="1:27" ht="11.25" customHeight="1" x14ac:dyDescent="0.2">
      <c r="A15" s="210" t="s">
        <v>141</v>
      </c>
      <c r="C15" s="214">
        <f>SUM($C$12:$C$14)</f>
        <v>-363.77990000000023</v>
      </c>
      <c r="D15" s="214">
        <f>SUM($D$12:$D$14)</f>
        <v>-201.07740000000013</v>
      </c>
      <c r="E15" s="214">
        <f>SUM($E$12:$E$14)</f>
        <v>-155.36549999999988</v>
      </c>
      <c r="F15" s="214">
        <f>SUM($F$12:$F$14)</f>
        <v>-185.71860000000038</v>
      </c>
      <c r="G15" s="214">
        <f>SUM($G$12:$G$14)</f>
        <v>-227.97610000000009</v>
      </c>
      <c r="H15" s="214">
        <f>SUM($H$12:$H$14)</f>
        <v>-187.88200000000029</v>
      </c>
      <c r="I15" s="214">
        <f>SUM($I$12:$I$14)</f>
        <v>-263.49559999999997</v>
      </c>
      <c r="J15" s="214">
        <f>SUM($J$12:$J$14)</f>
        <v>-41.742400000000089</v>
      </c>
      <c r="K15" s="214">
        <f>SUM($K$12:$K$14)</f>
        <v>-79.574099999999817</v>
      </c>
      <c r="L15" s="214">
        <f>SUM($L$12:$L$14)</f>
        <v>-203.06439999999998</v>
      </c>
      <c r="M15" s="214">
        <f>SUM($M$12:$M$14)</f>
        <v>-400.8925999999999</v>
      </c>
      <c r="N15" s="214">
        <f>SUM($N$12:$N$14)</f>
        <v>-457.17579999999975</v>
      </c>
      <c r="O15" s="214">
        <f>SUM($O$12:$O$14)</f>
        <v>-264.62299999999982</v>
      </c>
      <c r="P15" s="214">
        <f>SUM($P$12:$P$14)</f>
        <v>-764.904</v>
      </c>
      <c r="Q15" s="214">
        <f>SUM($Q$12:$Q$14)</f>
        <v>-752.07839999999987</v>
      </c>
      <c r="R15" s="214">
        <f>SUM($R$12:$R$14)</f>
        <v>-513.5784000000001</v>
      </c>
      <c r="S15" s="214">
        <f>SUM($S$12:$S$14)</f>
        <v>-606.75229999999988</v>
      </c>
      <c r="T15" s="214">
        <f>SUM($T$12:$T$14)</f>
        <v>-604.95330000000013</v>
      </c>
      <c r="U15" s="214">
        <f>SUM($U$12:$U$14)</f>
        <v>-729.10259999999994</v>
      </c>
      <c r="V15" s="214">
        <f>SUM($V$12:$V$14)</f>
        <v>-308.75990000000002</v>
      </c>
      <c r="W15" s="214">
        <f>SUM($W$12:$W$14)</f>
        <v>-398.80349999999976</v>
      </c>
      <c r="X15" s="214">
        <f>SUM($X$12:$X$14)</f>
        <v>-417.72569999999996</v>
      </c>
      <c r="Y15" s="214">
        <f>SUM($Y$12:$Y$14)</f>
        <v>-604.22160000000008</v>
      </c>
      <c r="Z15" s="214">
        <f>SUM($Z$12:$Z$14)</f>
        <v>-785.4357</v>
      </c>
      <c r="AA15" s="214">
        <f>SUM($AA$12:$AA$14)</f>
        <v>-395.67740000000026</v>
      </c>
    </row>
    <row r="16" spans="1:27" ht="11.25" customHeight="1" x14ac:dyDescent="0.2">
      <c r="A16" s="215" t="s">
        <v>267</v>
      </c>
      <c r="B16" s="216"/>
      <c r="C16" s="216">
        <v>-69.433000000000007</v>
      </c>
      <c r="D16" s="216">
        <v>-56.798200000000001</v>
      </c>
      <c r="E16" s="216">
        <v>-8.3719000000000001</v>
      </c>
      <c r="F16" s="216">
        <v>-21.389800000000001</v>
      </c>
      <c r="G16" s="216">
        <v>-49.469799999999999</v>
      </c>
      <c r="H16" s="216">
        <v>-38.643700000000003</v>
      </c>
      <c r="I16" s="216">
        <v>-139.19460000000001</v>
      </c>
      <c r="J16" s="216">
        <v>133.02690000000001</v>
      </c>
      <c r="K16" s="216">
        <v>68.211600000000004</v>
      </c>
      <c r="L16" s="216">
        <v>-33.546300000000002</v>
      </c>
      <c r="M16" s="216">
        <v>-111.48260000000001</v>
      </c>
      <c r="N16" s="216">
        <v>-135.22989999999999</v>
      </c>
      <c r="O16" s="216">
        <v>-113.1645</v>
      </c>
      <c r="P16" s="216">
        <v>-665.03790000000004</v>
      </c>
      <c r="Q16" s="216">
        <v>-617.4597</v>
      </c>
      <c r="R16" s="216">
        <v>-443.51420000000002</v>
      </c>
      <c r="S16" s="216">
        <v>-507.1071</v>
      </c>
      <c r="T16" s="216">
        <v>-516.78399999999999</v>
      </c>
      <c r="U16" s="216">
        <v>-628.71400000000006</v>
      </c>
      <c r="V16" s="216">
        <v>-369.06200000000001</v>
      </c>
      <c r="W16" s="216">
        <v>-449.14139999999998</v>
      </c>
      <c r="X16" s="216">
        <v>-462.4049</v>
      </c>
      <c r="Y16" s="216">
        <v>-534.2577</v>
      </c>
      <c r="Z16" s="216">
        <v>-645.29079999999999</v>
      </c>
      <c r="AA16" s="217">
        <v>-266.25150000000002</v>
      </c>
    </row>
    <row r="18" spans="1:27" ht="12" customHeight="1" x14ac:dyDescent="0.2">
      <c r="A18" s="212" t="s">
        <v>268</v>
      </c>
    </row>
    <row r="19" spans="1:27" ht="11.25" customHeight="1" x14ac:dyDescent="0.2">
      <c r="A19" s="213" t="s">
        <v>134</v>
      </c>
      <c r="C19" s="213">
        <v>1065.653</v>
      </c>
      <c r="D19" s="213">
        <v>1163.3747000000001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947.89250000000004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868.46460000000002</v>
      </c>
    </row>
    <row r="20" spans="1:27" ht="11.25" customHeight="1" x14ac:dyDescent="0.2">
      <c r="A20" s="213" t="s">
        <v>265</v>
      </c>
      <c r="C20" s="213">
        <v>-2824.23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-2661.6021999999998</v>
      </c>
    </row>
    <row r="21" spans="1:27" ht="11.25" customHeight="1" x14ac:dyDescent="0.2">
      <c r="A21" s="213" t="s">
        <v>266</v>
      </c>
      <c r="C21" s="213">
        <v>1946.0691999999999</v>
      </c>
      <c r="D21" s="213">
        <v>1778.3216</v>
      </c>
      <c r="E21" s="213">
        <v>1695.9322</v>
      </c>
      <c r="F21" s="213">
        <v>1474.133</v>
      </c>
      <c r="G21" s="213">
        <v>1527.6157000000001</v>
      </c>
      <c r="H21" s="213">
        <v>1414.5271</v>
      </c>
      <c r="I21" s="213">
        <v>1389.8625</v>
      </c>
      <c r="J21" s="213">
        <v>1733.6007</v>
      </c>
      <c r="K21" s="213">
        <v>1647.6575</v>
      </c>
      <c r="L21" s="213">
        <v>1562.8008</v>
      </c>
      <c r="M21" s="213">
        <v>1498.307</v>
      </c>
      <c r="N21" s="213">
        <v>1686.934</v>
      </c>
      <c r="O21" s="213">
        <v>1818.2626</v>
      </c>
      <c r="P21" s="213">
        <v>1823.7284</v>
      </c>
      <c r="Q21" s="213">
        <v>1800.9797000000001</v>
      </c>
      <c r="R21" s="213">
        <v>1674.4952000000001</v>
      </c>
      <c r="S21" s="213">
        <v>1607.9690000000001</v>
      </c>
      <c r="T21" s="213">
        <v>1450.5516</v>
      </c>
      <c r="U21" s="213">
        <v>1386.7871</v>
      </c>
      <c r="V21" s="213">
        <v>1687.7208000000001</v>
      </c>
      <c r="W21" s="213">
        <v>1631.8104000000001</v>
      </c>
      <c r="X21" s="213">
        <v>1551.7837999999999</v>
      </c>
      <c r="Y21" s="213">
        <v>1572.6011000000001</v>
      </c>
      <c r="Z21" s="213">
        <v>1696.3795</v>
      </c>
      <c r="AA21" s="213">
        <v>1626.3561</v>
      </c>
    </row>
    <row r="22" spans="1:27" ht="11.25" customHeight="1" x14ac:dyDescent="0.2">
      <c r="A22" s="210" t="s">
        <v>137</v>
      </c>
      <c r="C22" s="214">
        <v>187.49219999999991</v>
      </c>
      <c r="D22" s="214">
        <v>53.52559999999994</v>
      </c>
      <c r="E22" s="214">
        <v>63.712700000000041</v>
      </c>
      <c r="F22" s="214">
        <v>105.33800000000019</v>
      </c>
      <c r="G22" s="214">
        <v>86.746200000000044</v>
      </c>
      <c r="H22" s="214">
        <v>85.245099999999866</v>
      </c>
      <c r="I22" s="214">
        <v>-35.7025000000001</v>
      </c>
      <c r="J22" s="214">
        <v>268.21149999999966</v>
      </c>
      <c r="K22" s="214">
        <v>173.11760000000004</v>
      </c>
      <c r="L22" s="214">
        <v>112.41149999999993</v>
      </c>
      <c r="M22" s="214">
        <v>95.934599999999818</v>
      </c>
      <c r="N22" s="214">
        <v>121.01649999999995</v>
      </c>
      <c r="O22" s="214">
        <v>15.507599999999911</v>
      </c>
      <c r="P22" s="214">
        <v>-591.32349999999997</v>
      </c>
      <c r="Q22" s="214">
        <v>-521.15149999999971</v>
      </c>
      <c r="R22" s="214">
        <v>-392.56389999999988</v>
      </c>
      <c r="S22" s="214">
        <v>-437.91449999999986</v>
      </c>
      <c r="T22" s="214">
        <v>-445.47130000000016</v>
      </c>
      <c r="U22" s="214">
        <v>-547.2503999999999</v>
      </c>
      <c r="V22" s="214">
        <v>-418.24200000000019</v>
      </c>
      <c r="W22" s="214">
        <v>-490.79189999999949</v>
      </c>
      <c r="X22" s="214">
        <v>-499.87619999999993</v>
      </c>
      <c r="Y22" s="214">
        <v>-484.58420000000001</v>
      </c>
      <c r="Z22" s="214">
        <v>-523.27019999999993</v>
      </c>
      <c r="AA22" s="214">
        <v>-166.78149999999982</v>
      </c>
    </row>
    <row r="23" spans="1:27" ht="11.25" customHeight="1" x14ac:dyDescent="0.2">
      <c r="A23" s="213" t="s">
        <v>138</v>
      </c>
      <c r="C23" s="213">
        <v>755.88969999999995</v>
      </c>
      <c r="D23" s="213">
        <v>883.73119999999994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531.54629999999997</v>
      </c>
    </row>
    <row r="24" spans="1:27" ht="11.25" customHeight="1" x14ac:dyDescent="0.2">
      <c r="A24" s="213" t="s">
        <v>265</v>
      </c>
      <c r="C24" s="213">
        <v>-2335.7703000000001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-2184.3002000000001</v>
      </c>
    </row>
    <row r="25" spans="1:27" ht="11.25" customHeight="1" x14ac:dyDescent="0.2">
      <c r="A25" s="213" t="s">
        <v>266</v>
      </c>
      <c r="C25" s="213">
        <v>1235.3977</v>
      </c>
      <c r="D25" s="213">
        <v>1376.4067</v>
      </c>
      <c r="E25" s="213">
        <v>1351.1179999999999</v>
      </c>
      <c r="F25" s="213">
        <v>1159.3449000000001</v>
      </c>
      <c r="G25" s="213">
        <v>1223.943</v>
      </c>
      <c r="H25" s="213">
        <v>1150.5838000000001</v>
      </c>
      <c r="I25" s="213">
        <v>991.82799999999997</v>
      </c>
      <c r="J25" s="213">
        <v>1307.2570000000001</v>
      </c>
      <c r="K25" s="213">
        <v>1289.8430000000001</v>
      </c>
      <c r="L25" s="213">
        <v>1205.1303</v>
      </c>
      <c r="M25" s="213">
        <v>1070.0687</v>
      </c>
      <c r="N25" s="213">
        <v>1234.2056</v>
      </c>
      <c r="O25" s="213">
        <v>1562.1809000000001</v>
      </c>
      <c r="P25" s="213">
        <v>1395.5450000000001</v>
      </c>
      <c r="Q25" s="213">
        <v>1346.8051</v>
      </c>
      <c r="R25" s="213">
        <v>1399.5372</v>
      </c>
      <c r="S25" s="213">
        <v>1298.972</v>
      </c>
      <c r="T25" s="213">
        <v>1179.5055</v>
      </c>
      <c r="U25" s="213">
        <v>977.63660000000004</v>
      </c>
      <c r="V25" s="213">
        <v>1362.1318000000001</v>
      </c>
      <c r="W25" s="213">
        <v>1302.7962</v>
      </c>
      <c r="X25" s="213">
        <v>1282.4858999999999</v>
      </c>
      <c r="Y25" s="213">
        <v>1254.9327000000001</v>
      </c>
      <c r="Z25" s="213">
        <v>1293.4164000000001</v>
      </c>
      <c r="AA25" s="213">
        <v>1261.0098</v>
      </c>
    </row>
    <row r="26" spans="1:27" ht="11.25" customHeight="1" x14ac:dyDescent="0.2">
      <c r="A26" s="210" t="s">
        <v>141</v>
      </c>
      <c r="C26" s="214">
        <v>-344.4829000000002</v>
      </c>
      <c r="D26" s="214">
        <v>-181.99930000000018</v>
      </c>
      <c r="E26" s="214">
        <v>-146.74369999999999</v>
      </c>
      <c r="F26" s="214">
        <v>-183.77080000000024</v>
      </c>
      <c r="G26" s="214">
        <v>-223.14320000000021</v>
      </c>
      <c r="H26" s="214">
        <v>-184.80570000000012</v>
      </c>
      <c r="I26" s="214">
        <v>-258.29510000000005</v>
      </c>
      <c r="J26" s="214">
        <v>-35.759900000000016</v>
      </c>
      <c r="K26" s="214">
        <v>-76.082099999999855</v>
      </c>
      <c r="L26" s="214">
        <v>-198.6386</v>
      </c>
      <c r="M26" s="214">
        <v>-397.83949999999982</v>
      </c>
      <c r="N26" s="214">
        <v>-454.5768999999998</v>
      </c>
      <c r="O26" s="214">
        <v>-263.77289999999971</v>
      </c>
      <c r="P26" s="214">
        <v>-763.45809999999983</v>
      </c>
      <c r="Q26" s="214">
        <v>-749.87899999999991</v>
      </c>
      <c r="R26" s="214">
        <v>-513.17010000000005</v>
      </c>
      <c r="S26" s="214">
        <v>-606.15539999999987</v>
      </c>
      <c r="T26" s="214">
        <v>-603.67740000000003</v>
      </c>
      <c r="U26" s="214">
        <v>-727.32909999999993</v>
      </c>
      <c r="V26" s="214">
        <v>-308.21269999999981</v>
      </c>
      <c r="W26" s="214">
        <v>-398.58489999999983</v>
      </c>
      <c r="X26" s="214">
        <v>-417.18910000000005</v>
      </c>
      <c r="Y26" s="214">
        <v>-603.33719999999994</v>
      </c>
      <c r="Z26" s="214">
        <v>-784.0954999999999</v>
      </c>
      <c r="AA26" s="214">
        <v>-391.74410000000012</v>
      </c>
    </row>
    <row r="28" spans="1:27" ht="12" customHeight="1" x14ac:dyDescent="0.2">
      <c r="A28" s="212" t="s">
        <v>269</v>
      </c>
    </row>
    <row r="29" spans="1:27" ht="11.25" customHeight="1" x14ac:dyDescent="0.2">
      <c r="A29" s="213" t="s">
        <v>134</v>
      </c>
      <c r="C29" s="213">
        <f>SUM(($C$7-$C$19))</f>
        <v>0</v>
      </c>
      <c r="D29" s="213">
        <f>SUM(($D$7-$D$19))</f>
        <v>0</v>
      </c>
      <c r="E29" s="213">
        <f>SUM(($E$7-$E$19))</f>
        <v>0</v>
      </c>
      <c r="F29" s="213">
        <f>SUM(($F$7-$F$19))</f>
        <v>0</v>
      </c>
      <c r="G29" s="213">
        <f>SUM(($G$7-$G$19))</f>
        <v>0</v>
      </c>
      <c r="H29" s="213">
        <f>SUM(($H$7-$H$19))</f>
        <v>0</v>
      </c>
      <c r="I29" s="213">
        <f>SUM(($I$7-$I$19))</f>
        <v>0</v>
      </c>
      <c r="J29" s="213">
        <f>SUM(($J$7-$J$19))</f>
        <v>0</v>
      </c>
      <c r="K29" s="213">
        <f>SUM(($K$7-$K$19))</f>
        <v>0</v>
      </c>
      <c r="L29" s="213">
        <f>SUM(($L$7-$L$19))</f>
        <v>0</v>
      </c>
      <c r="M29" s="213">
        <f>SUM(($M$7-$M$19))</f>
        <v>0</v>
      </c>
      <c r="N29" s="213">
        <f>SUM(($N$7-$N$19))</f>
        <v>0</v>
      </c>
      <c r="O29" s="213">
        <f>SUM(($O$7-$O$19))</f>
        <v>0</v>
      </c>
      <c r="P29" s="213">
        <f>SUM(($P$7-$P$19))</f>
        <v>0</v>
      </c>
      <c r="Q29" s="213">
        <f>SUM(($Q$7-$Q$19))</f>
        <v>0</v>
      </c>
      <c r="R29" s="213">
        <f>SUM(($R$7-$R$19))</f>
        <v>0</v>
      </c>
      <c r="S29" s="213">
        <f>SUM(($S$7-$S$19))</f>
        <v>0</v>
      </c>
      <c r="T29" s="213">
        <f>SUM(($T$7-$T$19))</f>
        <v>0</v>
      </c>
      <c r="U29" s="213">
        <f>SUM(($U$7-$U$19))</f>
        <v>0</v>
      </c>
      <c r="V29" s="213">
        <f>SUM(($V$7-$V$19))</f>
        <v>0</v>
      </c>
      <c r="W29" s="213">
        <f>SUM(($W$7-$W$19))</f>
        <v>0</v>
      </c>
      <c r="X29" s="213">
        <f>SUM(($X$7-$X$19))</f>
        <v>0</v>
      </c>
      <c r="Y29" s="213">
        <f>SUM(($Y$7-$Y$19))</f>
        <v>0</v>
      </c>
      <c r="Z29" s="213">
        <f>SUM(($Z$7-$Z$19))</f>
        <v>0</v>
      </c>
      <c r="AA29" s="213">
        <f>SUM(($AA$7-$AA$19))</f>
        <v>0</v>
      </c>
    </row>
    <row r="30" spans="1:27" ht="11.25" customHeight="1" x14ac:dyDescent="0.2">
      <c r="A30" s="213" t="s">
        <v>265</v>
      </c>
      <c r="C30" s="213">
        <f>SUM(($C$8-$C$20))</f>
        <v>0</v>
      </c>
      <c r="D30" s="213">
        <f>SUM(($D$8-$D$20))</f>
        <v>0</v>
      </c>
      <c r="E30" s="213">
        <f>SUM(($E$8-$E$20))</f>
        <v>0</v>
      </c>
      <c r="F30" s="213">
        <f>SUM(($F$8-$F$20))</f>
        <v>0</v>
      </c>
      <c r="G30" s="213">
        <f>SUM(($G$8-$G$20))</f>
        <v>0</v>
      </c>
      <c r="H30" s="213">
        <f>SUM(($H$8-$H$20))</f>
        <v>0</v>
      </c>
      <c r="I30" s="213">
        <f>SUM(($I$8-$I$20))</f>
        <v>0</v>
      </c>
      <c r="J30" s="213">
        <f>SUM(($J$8-$J$20))</f>
        <v>0</v>
      </c>
      <c r="K30" s="213">
        <f>SUM(($K$8-$K$20))</f>
        <v>0</v>
      </c>
      <c r="L30" s="213">
        <f>SUM(($L$8-$L$20))</f>
        <v>0</v>
      </c>
      <c r="M30" s="213">
        <f>SUM(($M$8-$M$20))</f>
        <v>0</v>
      </c>
      <c r="N30" s="213">
        <f>SUM(($N$8-$N$20))</f>
        <v>0</v>
      </c>
      <c r="O30" s="213">
        <f>SUM(($O$8-$O$20))</f>
        <v>0</v>
      </c>
      <c r="P30" s="213">
        <f>SUM(($P$8-$P$20))</f>
        <v>0</v>
      </c>
      <c r="Q30" s="213">
        <f>SUM(($Q$8-$Q$20))</f>
        <v>0</v>
      </c>
      <c r="R30" s="213">
        <f>SUM(($R$8-$R$20))</f>
        <v>0</v>
      </c>
      <c r="S30" s="213">
        <f>SUM(($S$8-$S$20))</f>
        <v>0</v>
      </c>
      <c r="T30" s="213">
        <f>SUM(($T$8-$T$20))</f>
        <v>0</v>
      </c>
      <c r="U30" s="213">
        <f>SUM(($U$8-$U$20))</f>
        <v>0</v>
      </c>
      <c r="V30" s="213">
        <f>SUM(($V$8-$V$20))</f>
        <v>0</v>
      </c>
      <c r="W30" s="213">
        <f>SUM(($W$8-$W$20))</f>
        <v>0</v>
      </c>
      <c r="X30" s="213">
        <f>SUM(($X$8-$X$20))</f>
        <v>0</v>
      </c>
      <c r="Y30" s="213">
        <f>SUM(($Y$8-$Y$20))</f>
        <v>0</v>
      </c>
      <c r="Z30" s="213">
        <f>SUM(($Z$8-$Z$20))</f>
        <v>0</v>
      </c>
      <c r="AA30" s="213">
        <f>SUM(($AA$8-$AA$20))</f>
        <v>0</v>
      </c>
    </row>
    <row r="31" spans="1:27" ht="11.25" customHeight="1" x14ac:dyDescent="0.2">
      <c r="A31" s="213" t="s">
        <v>266</v>
      </c>
      <c r="C31" s="213">
        <f>SUM(($C$9-$C$21))</f>
        <v>-3.7866999999998825</v>
      </c>
      <c r="D31" s="213">
        <f>SUM(($D$9-$D$21))</f>
        <v>3.4346000000000458</v>
      </c>
      <c r="E31" s="213">
        <f>SUM(($E$9-$E$21))</f>
        <v>38.160599999999931</v>
      </c>
      <c r="F31" s="213">
        <f>SUM(($F$9-$F$21))</f>
        <v>2.8391999999998916</v>
      </c>
      <c r="G31" s="213">
        <f>SUM(($G$9-$G$21))</f>
        <v>-5.7690999999999804</v>
      </c>
      <c r="H31" s="213">
        <f>SUM(($H$9-$H$21))</f>
        <v>-6.2200000000000273</v>
      </c>
      <c r="I31" s="213">
        <f>SUM(($I$9-$I$21))</f>
        <v>-4.0512999999998556</v>
      </c>
      <c r="J31" s="213">
        <f>SUM(($J$9-$J$21))</f>
        <v>2.6142999999999574</v>
      </c>
      <c r="K31" s="213">
        <f>SUM(($K$9-$K$21))</f>
        <v>1.8282999999998992</v>
      </c>
      <c r="L31" s="213">
        <f>SUM(($L$9-$L$21))</f>
        <v>2.3704000000000178</v>
      </c>
      <c r="M31" s="213">
        <f>SUM(($M$9-$M$21))</f>
        <v>1.6011000000000877</v>
      </c>
      <c r="N31" s="213">
        <f>SUM(($N$9-$N$21))</f>
        <v>1.3103000000000975</v>
      </c>
      <c r="O31" s="213">
        <f>SUM(($O$9-$O$21))</f>
        <v>1.5821000000000822</v>
      </c>
      <c r="P31" s="213">
        <f>SUM(($P$9-$P$21))</f>
        <v>5.0262000000000171</v>
      </c>
      <c r="Q31" s="213">
        <f>SUM(($Q$9-$Q$21))</f>
        <v>4.6558999999999742</v>
      </c>
      <c r="R31" s="213">
        <f>SUM(($R$9-$R$21))</f>
        <v>4.292699999999968</v>
      </c>
      <c r="S31" s="213">
        <f>SUM(($S$9-$S$21))</f>
        <v>3.6250999999999749</v>
      </c>
      <c r="T31" s="213">
        <f>SUM(($T$9-$T$21))</f>
        <v>-1.7945999999999458</v>
      </c>
      <c r="U31" s="213">
        <f>SUM(($U$9-$U$21))</f>
        <v>-1.1527000000000953</v>
      </c>
      <c r="V31" s="213">
        <f>SUM(($V$9-$V$21))</f>
        <v>1.6341999999999643</v>
      </c>
      <c r="W31" s="213">
        <f>SUM(($W$9-$W$21))</f>
        <v>1.9610000000000127</v>
      </c>
      <c r="X31" s="213">
        <f>SUM(($X$9-$X$21))</f>
        <v>1.7278000000001157</v>
      </c>
      <c r="Y31" s="213">
        <f>SUM(($Y$9-$Y$21))</f>
        <v>0.85590000000001965</v>
      </c>
      <c r="Z31" s="213">
        <f>SUM(($Z$9-$Z$21))</f>
        <v>0.60609999999996944</v>
      </c>
      <c r="AA31" s="213">
        <f>SUM(($AA$9-$AA$21))</f>
        <v>2.2971999999999753</v>
      </c>
    </row>
    <row r="32" spans="1:27" ht="11.25" customHeight="1" x14ac:dyDescent="0.2">
      <c r="A32" s="210" t="s">
        <v>270</v>
      </c>
      <c r="C32" s="214">
        <f>SUM($C$29:$C$31)</f>
        <v>-3.7866999999998825</v>
      </c>
      <c r="D32" s="214">
        <f>SUM($D$29:$D$31)</f>
        <v>3.4346000000000458</v>
      </c>
      <c r="E32" s="214">
        <f>SUM($E$29:$E$31)</f>
        <v>38.160599999999931</v>
      </c>
      <c r="F32" s="214">
        <f>SUM($F$29:$F$31)</f>
        <v>2.8391999999998916</v>
      </c>
      <c r="G32" s="214">
        <f>SUM($G$29:$G$31)</f>
        <v>-5.7690999999999804</v>
      </c>
      <c r="H32" s="214">
        <f>SUM($H$29:$H$31)</f>
        <v>-6.2200000000000273</v>
      </c>
      <c r="I32" s="214">
        <f>SUM($I$29:$I$31)</f>
        <v>-4.0512999999998556</v>
      </c>
      <c r="J32" s="214">
        <f>SUM($J$29:$J$31)</f>
        <v>2.6142999999999574</v>
      </c>
      <c r="K32" s="214">
        <f>SUM($K$29:$K$31)</f>
        <v>1.8282999999998992</v>
      </c>
      <c r="L32" s="214">
        <f>SUM($L$29:$L$31)</f>
        <v>2.3704000000000178</v>
      </c>
      <c r="M32" s="214">
        <f>SUM($M$29:$M$31)</f>
        <v>1.6011000000000877</v>
      </c>
      <c r="N32" s="214">
        <f>SUM($N$29:$N$31)</f>
        <v>1.3103000000000975</v>
      </c>
      <c r="O32" s="214">
        <f>SUM($O$29:$O$31)</f>
        <v>1.5821000000000822</v>
      </c>
      <c r="P32" s="214">
        <f>SUM($P$29:$P$31)</f>
        <v>5.0262000000000171</v>
      </c>
      <c r="Q32" s="214">
        <f>SUM($Q$29:$Q$31)</f>
        <v>4.6558999999999742</v>
      </c>
      <c r="R32" s="214">
        <f>SUM($R$29:$R$31)</f>
        <v>4.292699999999968</v>
      </c>
      <c r="S32" s="214">
        <f>SUM($S$29:$S$31)</f>
        <v>3.6250999999999749</v>
      </c>
      <c r="T32" s="214">
        <f>SUM($T$29:$T$31)</f>
        <v>-1.7945999999999458</v>
      </c>
      <c r="U32" s="214">
        <f>SUM($U$29:$U$31)</f>
        <v>-1.1527000000000953</v>
      </c>
      <c r="V32" s="214">
        <f>SUM($V$29:$V$31)</f>
        <v>1.6341999999999643</v>
      </c>
      <c r="W32" s="214">
        <f>SUM($W$29:$W$31)</f>
        <v>1.9610000000000127</v>
      </c>
      <c r="X32" s="214">
        <f>SUM($X$29:$X$31)</f>
        <v>1.7278000000001157</v>
      </c>
      <c r="Y32" s="214">
        <f>SUM($Y$29:$Y$31)</f>
        <v>0.85590000000001965</v>
      </c>
      <c r="Z32" s="214">
        <f>SUM($Z$29:$Z$31)</f>
        <v>0.60609999999996944</v>
      </c>
      <c r="AA32" s="214">
        <f>SUM($AA$29:$AA$31)</f>
        <v>2.2971999999999753</v>
      </c>
    </row>
    <row r="33" spans="1:27" ht="11.25" customHeight="1" x14ac:dyDescent="0.2">
      <c r="A33" s="213" t="s">
        <v>138</v>
      </c>
      <c r="C33" s="213">
        <f>SUM(($C$12-$C$23))</f>
        <v>0</v>
      </c>
      <c r="D33" s="213">
        <f>SUM(($D$12-$D$23))</f>
        <v>0</v>
      </c>
      <c r="E33" s="213">
        <f>SUM(($E$12-$E$23))</f>
        <v>0</v>
      </c>
      <c r="F33" s="213">
        <f>SUM(($F$12-$F$23))</f>
        <v>0</v>
      </c>
      <c r="G33" s="213">
        <f>SUM(($G$12-$G$23))</f>
        <v>0</v>
      </c>
      <c r="H33" s="213">
        <f>SUM(($H$12-$H$23))</f>
        <v>0</v>
      </c>
      <c r="I33" s="213">
        <f>SUM(($I$12-$I$23))</f>
        <v>0</v>
      </c>
      <c r="J33" s="213">
        <f>SUM(($J$12-$J$23))</f>
        <v>0</v>
      </c>
      <c r="K33" s="213">
        <f>SUM(($K$12-$K$23))</f>
        <v>0</v>
      </c>
      <c r="L33" s="213">
        <f>SUM(($L$12-$L$23))</f>
        <v>0</v>
      </c>
      <c r="M33" s="213">
        <f>SUM(($M$12-$M$23))</f>
        <v>0</v>
      </c>
      <c r="N33" s="213">
        <f>SUM(($N$12-$N$23))</f>
        <v>0</v>
      </c>
      <c r="O33" s="213">
        <f>SUM(($O$12-$O$23))</f>
        <v>0</v>
      </c>
      <c r="P33" s="213">
        <f>SUM(($P$12-$P$23))</f>
        <v>0</v>
      </c>
      <c r="Q33" s="213">
        <f>SUM(($Q$12-$Q$23))</f>
        <v>0</v>
      </c>
      <c r="R33" s="213">
        <f>SUM(($R$12-$R$23))</f>
        <v>0</v>
      </c>
      <c r="S33" s="213">
        <f>SUM(($S$12-$S$23))</f>
        <v>0</v>
      </c>
      <c r="T33" s="213">
        <f>SUM(($T$12-$T$23))</f>
        <v>0</v>
      </c>
      <c r="U33" s="213">
        <f>SUM(($U$12-$U$23))</f>
        <v>0</v>
      </c>
      <c r="V33" s="213">
        <f>SUM(($V$12-$V$23))</f>
        <v>0</v>
      </c>
      <c r="W33" s="213">
        <f>SUM(($W$12-$W$23))</f>
        <v>0</v>
      </c>
      <c r="X33" s="213">
        <f>SUM(($X$12-$X$23))</f>
        <v>0</v>
      </c>
      <c r="Y33" s="213">
        <f>SUM(($Y$12-$Y$23))</f>
        <v>0</v>
      </c>
      <c r="Z33" s="213">
        <f>SUM(($Z$12-$Z$23))</f>
        <v>0</v>
      </c>
      <c r="AA33" s="213">
        <f>SUM(($AA$12-$AA$23))</f>
        <v>0</v>
      </c>
    </row>
    <row r="34" spans="1:27" ht="11.25" customHeight="1" x14ac:dyDescent="0.2">
      <c r="A34" s="213" t="s">
        <v>265</v>
      </c>
      <c r="C34" s="213">
        <f>SUM(($C$13-$C$24))</f>
        <v>0</v>
      </c>
      <c r="D34" s="213">
        <f>SUM(($D$13-$D$24))</f>
        <v>0</v>
      </c>
      <c r="E34" s="213">
        <f>SUM(($E$13-$E$24))</f>
        <v>0</v>
      </c>
      <c r="F34" s="213">
        <f>SUM(($F$13-$F$24))</f>
        <v>0</v>
      </c>
      <c r="G34" s="213">
        <f>SUM(($G$13-$G$24))</f>
        <v>0</v>
      </c>
      <c r="H34" s="213">
        <f>SUM(($H$13-$H$24))</f>
        <v>0</v>
      </c>
      <c r="I34" s="213">
        <f>SUM(($I$13-$I$24))</f>
        <v>0</v>
      </c>
      <c r="J34" s="213">
        <f>SUM(($J$13-$J$24))</f>
        <v>0</v>
      </c>
      <c r="K34" s="213">
        <f>SUM(($K$13-$K$24))</f>
        <v>0</v>
      </c>
      <c r="L34" s="213">
        <f>SUM(($L$13-$L$24))</f>
        <v>0</v>
      </c>
      <c r="M34" s="213">
        <f>SUM(($M$13-$M$24))</f>
        <v>0</v>
      </c>
      <c r="N34" s="213">
        <f>SUM(($N$13-$N$24))</f>
        <v>0</v>
      </c>
      <c r="O34" s="213">
        <f>SUM(($O$13-$O$24))</f>
        <v>0</v>
      </c>
      <c r="P34" s="213">
        <f>SUM(($P$13-$P$24))</f>
        <v>0</v>
      </c>
      <c r="Q34" s="213">
        <f>SUM(($Q$13-$Q$24))</f>
        <v>0</v>
      </c>
      <c r="R34" s="213">
        <f>SUM(($R$13-$R$24))</f>
        <v>0</v>
      </c>
      <c r="S34" s="213">
        <f>SUM(($S$13-$S$24))</f>
        <v>0</v>
      </c>
      <c r="T34" s="213">
        <f>SUM(($T$13-$T$24))</f>
        <v>0</v>
      </c>
      <c r="U34" s="213">
        <f>SUM(($U$13-$U$24))</f>
        <v>0</v>
      </c>
      <c r="V34" s="213">
        <f>SUM(($V$13-$V$24))</f>
        <v>0</v>
      </c>
      <c r="W34" s="213">
        <f>SUM(($W$13-$W$24))</f>
        <v>0</v>
      </c>
      <c r="X34" s="213">
        <f>SUM(($X$13-$X$24))</f>
        <v>0</v>
      </c>
      <c r="Y34" s="213">
        <f>SUM(($Y$13-$Y$24))</f>
        <v>0</v>
      </c>
      <c r="Z34" s="213">
        <f>SUM(($Z$13-$Z$24))</f>
        <v>0</v>
      </c>
      <c r="AA34" s="213">
        <f>SUM(($AA$13-$AA$24))</f>
        <v>0</v>
      </c>
    </row>
    <row r="35" spans="1:27" ht="11.25" customHeight="1" x14ac:dyDescent="0.2">
      <c r="A35" s="213" t="s">
        <v>266</v>
      </c>
      <c r="C35" s="213">
        <f>SUM(($C$14-$C$25))</f>
        <v>-19.297000000000025</v>
      </c>
      <c r="D35" s="213">
        <f>SUM(($D$14-$D$25))</f>
        <v>-19.078099999999949</v>
      </c>
      <c r="E35" s="213">
        <f>SUM(($E$14-$E$25))</f>
        <v>-8.6217999999998938</v>
      </c>
      <c r="F35" s="213">
        <f>SUM(($F$14-$F$25))</f>
        <v>-1.947800000000143</v>
      </c>
      <c r="G35" s="213">
        <f>SUM(($G$14-$G$25))</f>
        <v>-4.8328999999998814</v>
      </c>
      <c r="H35" s="213">
        <f>SUM(($H$14-$H$25))</f>
        <v>-3.0763000000001739</v>
      </c>
      <c r="I35" s="213">
        <f>SUM(($I$14-$I$25))</f>
        <v>-5.20049999999992</v>
      </c>
      <c r="J35" s="213">
        <f>SUM(($J$14-$J$25))</f>
        <v>-5.9825000000000728</v>
      </c>
      <c r="K35" s="213">
        <f>SUM(($K$14-$K$25))</f>
        <v>-3.4919999999999618</v>
      </c>
      <c r="L35" s="213">
        <f>SUM(($L$14-$L$25))</f>
        <v>-4.4257999999999811</v>
      </c>
      <c r="M35" s="213">
        <f>SUM(($M$14-$M$25))</f>
        <v>-3.0531000000000859</v>
      </c>
      <c r="N35" s="213">
        <f>SUM(($N$14-$N$25))</f>
        <v>-2.5988999999999578</v>
      </c>
      <c r="O35" s="213">
        <f>SUM(($O$14-$O$25))</f>
        <v>-0.85010000000011132</v>
      </c>
      <c r="P35" s="213">
        <f>SUM(($P$14-$P$25))</f>
        <v>-1.4459000000001652</v>
      </c>
      <c r="Q35" s="213">
        <f>SUM(($Q$14-$Q$25))</f>
        <v>-2.1993999999999687</v>
      </c>
      <c r="R35" s="213">
        <f>SUM(($R$14-$R$25))</f>
        <v>-0.40830000000005384</v>
      </c>
      <c r="S35" s="213">
        <f>SUM(($S$14-$S$25))</f>
        <v>-0.59690000000000509</v>
      </c>
      <c r="T35" s="213">
        <f>SUM(($T$14-$T$25))</f>
        <v>-1.2759000000000924</v>
      </c>
      <c r="U35" s="213">
        <f>SUM(($U$14-$U$25))</f>
        <v>-1.7735000000000127</v>
      </c>
      <c r="V35" s="213">
        <f>SUM(($V$14-$V$25))</f>
        <v>-0.54720000000020264</v>
      </c>
      <c r="W35" s="213">
        <f>SUM(($W$14-$W$25))</f>
        <v>-0.21859999999992397</v>
      </c>
      <c r="X35" s="213">
        <f>SUM(($X$14-$X$25))</f>
        <v>-0.5365999999999076</v>
      </c>
      <c r="Y35" s="213">
        <f>SUM(($Y$14-$Y$25))</f>
        <v>-0.88440000000014152</v>
      </c>
      <c r="Z35" s="213">
        <f>SUM(($Z$14-$Z$25))</f>
        <v>-1.3402000000000953</v>
      </c>
      <c r="AA35" s="213">
        <f>SUM(($AA$14-$AA$25))</f>
        <v>-3.9333000000001448</v>
      </c>
    </row>
    <row r="36" spans="1:27" ht="11.25" customHeight="1" x14ac:dyDescent="0.2">
      <c r="A36" s="210" t="s">
        <v>271</v>
      </c>
      <c r="C36" s="214">
        <f>SUM($C$33:$C$35)</f>
        <v>-19.297000000000025</v>
      </c>
      <c r="D36" s="214">
        <f>SUM($D$33:$D$35)</f>
        <v>-19.078099999999949</v>
      </c>
      <c r="E36" s="214">
        <f>SUM($E$33:$E$35)</f>
        <v>-8.6217999999998938</v>
      </c>
      <c r="F36" s="214">
        <f>SUM($F$33:$F$35)</f>
        <v>-1.947800000000143</v>
      </c>
      <c r="G36" s="214">
        <f>SUM($G$33:$G$35)</f>
        <v>-4.8328999999998814</v>
      </c>
      <c r="H36" s="214">
        <f>SUM($H$33:$H$35)</f>
        <v>-3.0763000000001739</v>
      </c>
      <c r="I36" s="214">
        <f>SUM($I$33:$I$35)</f>
        <v>-5.20049999999992</v>
      </c>
      <c r="J36" s="214">
        <f>SUM($J$33:$J$35)</f>
        <v>-5.9825000000000728</v>
      </c>
      <c r="K36" s="214">
        <f>SUM($K$33:$K$35)</f>
        <v>-3.4919999999999618</v>
      </c>
      <c r="L36" s="214">
        <f>SUM($L$33:$L$35)</f>
        <v>-4.4257999999999811</v>
      </c>
      <c r="M36" s="214">
        <f>SUM($M$33:$M$35)</f>
        <v>-3.0531000000000859</v>
      </c>
      <c r="N36" s="214">
        <f>SUM($N$33:$N$35)</f>
        <v>-2.5988999999999578</v>
      </c>
      <c r="O36" s="214">
        <f>SUM($O$33:$O$35)</f>
        <v>-0.85010000000011132</v>
      </c>
      <c r="P36" s="214">
        <f>SUM($P$33:$P$35)</f>
        <v>-1.4459000000001652</v>
      </c>
      <c r="Q36" s="214">
        <f>SUM($Q$33:$Q$35)</f>
        <v>-2.1993999999999687</v>
      </c>
      <c r="R36" s="214">
        <f>SUM($R$33:$R$35)</f>
        <v>-0.40830000000005384</v>
      </c>
      <c r="S36" s="214">
        <f>SUM($S$33:$S$35)</f>
        <v>-0.59690000000000509</v>
      </c>
      <c r="T36" s="214">
        <f>SUM($T$33:$T$35)</f>
        <v>-1.2759000000000924</v>
      </c>
      <c r="U36" s="214">
        <f>SUM($U$33:$U$35)</f>
        <v>-1.7735000000000127</v>
      </c>
      <c r="V36" s="214">
        <f>SUM($V$33:$V$35)</f>
        <v>-0.54720000000020264</v>
      </c>
      <c r="W36" s="214">
        <f>SUM($W$33:$W$35)</f>
        <v>-0.21859999999992397</v>
      </c>
      <c r="X36" s="214">
        <f>SUM($X$33:$X$35)</f>
        <v>-0.5365999999999076</v>
      </c>
      <c r="Y36" s="214">
        <f>SUM($Y$33:$Y$35)</f>
        <v>-0.88440000000014152</v>
      </c>
      <c r="Z36" s="214">
        <f>SUM($Z$33:$Z$35)</f>
        <v>-1.3402000000000953</v>
      </c>
      <c r="AA36" s="214">
        <f>SUM($AA$33:$AA$35)</f>
        <v>-3.9333000000001448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272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273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274</v>
      </c>
    </row>
    <row r="43" spans="1:27" ht="11.25" customHeight="1" x14ac:dyDescent="0.2">
      <c r="A43" s="213" t="s">
        <v>275</v>
      </c>
      <c r="C43" s="213">
        <v>-17014524</v>
      </c>
      <c r="D43" s="213">
        <v>-32641249</v>
      </c>
      <c r="E43" s="213">
        <v>-25228321</v>
      </c>
      <c r="F43" s="213">
        <v>-28988112</v>
      </c>
      <c r="G43" s="213">
        <v>-22719217</v>
      </c>
      <c r="H43" s="213">
        <v>-23746240</v>
      </c>
      <c r="I43" s="213">
        <v>-21953948</v>
      </c>
      <c r="J43" s="213">
        <v>-19295909</v>
      </c>
      <c r="K43" s="213">
        <v>-15162028</v>
      </c>
      <c r="L43" s="213">
        <v>-18919244</v>
      </c>
      <c r="M43" s="213">
        <v>-17724048</v>
      </c>
      <c r="N43" s="213">
        <v>-15603732</v>
      </c>
      <c r="O43" s="213">
        <v>-14123913</v>
      </c>
      <c r="P43" s="213">
        <v>306008</v>
      </c>
      <c r="Q43" s="213">
        <v>-742952</v>
      </c>
      <c r="R43" s="213">
        <v>-2237973</v>
      </c>
      <c r="S43" s="213">
        <v>-2599244</v>
      </c>
      <c r="T43" s="213">
        <v>-3814949</v>
      </c>
      <c r="U43" s="213">
        <v>-3250223</v>
      </c>
      <c r="V43" s="213">
        <v>2026087</v>
      </c>
      <c r="W43" s="213">
        <v>3420606</v>
      </c>
      <c r="X43" s="213">
        <v>1750988</v>
      </c>
      <c r="Y43" s="213">
        <v>-808562</v>
      </c>
      <c r="Z43" s="213">
        <v>278260</v>
      </c>
      <c r="AA43" s="213">
        <f>SUM($C$43:$Z$43)</f>
        <v>-278792439</v>
      </c>
    </row>
    <row r="44" spans="1:27" ht="11.25" customHeight="1" x14ac:dyDescent="0.2">
      <c r="A44" s="213" t="s">
        <v>265</v>
      </c>
      <c r="C44" s="213">
        <v>-55689891</v>
      </c>
      <c r="D44" s="213">
        <v>-61969598</v>
      </c>
      <c r="E44" s="213">
        <v>-52761959</v>
      </c>
      <c r="F44" s="213">
        <v>-49543394</v>
      </c>
      <c r="G44" s="213">
        <v>-40876864</v>
      </c>
      <c r="H44" s="213">
        <v>-38726941</v>
      </c>
      <c r="I44" s="213">
        <v>-37843517</v>
      </c>
      <c r="J44" s="213">
        <v>-60556498</v>
      </c>
      <c r="K44" s="213">
        <v>-72915804</v>
      </c>
      <c r="L44" s="213">
        <v>-56450354</v>
      </c>
      <c r="M44" s="213">
        <v>-52297406</v>
      </c>
      <c r="N44" s="213">
        <v>-57809064</v>
      </c>
      <c r="O44" s="213">
        <v>-69193089</v>
      </c>
      <c r="P44" s="213">
        <v>-75304427</v>
      </c>
      <c r="Q44" s="213">
        <v>-60802937</v>
      </c>
      <c r="R44" s="213">
        <v>-55175425</v>
      </c>
      <c r="S44" s="213">
        <v>-48203183</v>
      </c>
      <c r="T44" s="213">
        <v>-41706324</v>
      </c>
      <c r="U44" s="213">
        <v>-41618544</v>
      </c>
      <c r="V44" s="213">
        <v>-69881461</v>
      </c>
      <c r="W44" s="213">
        <v>-77160690</v>
      </c>
      <c r="X44" s="213">
        <v>-65656570</v>
      </c>
      <c r="Y44" s="213">
        <v>-57057942</v>
      </c>
      <c r="Z44" s="213">
        <v>-62380063</v>
      </c>
      <c r="AA44" s="213">
        <f>SUM($C$44:$Z$44)</f>
        <v>-1361581945</v>
      </c>
    </row>
    <row r="45" spans="1:27" ht="11.25" customHeight="1" x14ac:dyDescent="0.2">
      <c r="A45" s="213" t="s">
        <v>266</v>
      </c>
      <c r="C45" s="213">
        <v>15690145</v>
      </c>
      <c r="D45" s="213">
        <v>18047208</v>
      </c>
      <c r="E45" s="213">
        <v>15519377</v>
      </c>
      <c r="F45" s="213">
        <v>17786228</v>
      </c>
      <c r="G45" s="213">
        <v>16957213</v>
      </c>
      <c r="H45" s="213">
        <v>14777732</v>
      </c>
      <c r="I45" s="213">
        <v>12989854</v>
      </c>
      <c r="J45" s="213">
        <v>25884084</v>
      </c>
      <c r="K45" s="213">
        <v>31794489</v>
      </c>
      <c r="L45" s="213">
        <v>20538866</v>
      </c>
      <c r="M45" s="213">
        <v>15794153</v>
      </c>
      <c r="N45" s="213">
        <v>19439077</v>
      </c>
      <c r="O45" s="213">
        <v>25332714</v>
      </c>
      <c r="P45" s="213">
        <v>22765862</v>
      </c>
      <c r="Q45" s="213">
        <v>19136954</v>
      </c>
      <c r="R45" s="213">
        <v>16959992</v>
      </c>
      <c r="S45" s="213">
        <v>16604450</v>
      </c>
      <c r="T45" s="213">
        <v>13076594</v>
      </c>
      <c r="U45" s="213">
        <v>13712714</v>
      </c>
      <c r="V45" s="213">
        <v>28826331</v>
      </c>
      <c r="W45" s="213">
        <v>30732970</v>
      </c>
      <c r="X45" s="213">
        <v>24230612</v>
      </c>
      <c r="Y45" s="213">
        <v>18539900</v>
      </c>
      <c r="Z45" s="213">
        <v>21719283</v>
      </c>
      <c r="AA45" s="213">
        <f>SUM($C$45:$Z$45)</f>
        <v>476856802</v>
      </c>
    </row>
    <row r="46" spans="1:27" ht="11.25" customHeight="1" x14ac:dyDescent="0.2">
      <c r="A46" s="215" t="s">
        <v>276</v>
      </c>
      <c r="B46" s="216"/>
      <c r="C46" s="216">
        <f>SUM($C$43:$C$45)</f>
        <v>-57014270</v>
      </c>
      <c r="D46" s="216">
        <f>SUM($D$43:$D$45)</f>
        <v>-76563639</v>
      </c>
      <c r="E46" s="216">
        <f>SUM($E$43:$E$45)</f>
        <v>-62470903</v>
      </c>
      <c r="F46" s="216">
        <f>SUM($F$43:$F$45)</f>
        <v>-60745278</v>
      </c>
      <c r="G46" s="216">
        <f>SUM($G$43:$G$45)</f>
        <v>-46638868</v>
      </c>
      <c r="H46" s="216">
        <f>SUM($H$43:$H$45)</f>
        <v>-47695449</v>
      </c>
      <c r="I46" s="216">
        <f>SUM($I$43:$I$45)</f>
        <v>-46807611</v>
      </c>
      <c r="J46" s="216">
        <f>SUM($J$43:$J$45)</f>
        <v>-53968323</v>
      </c>
      <c r="K46" s="216">
        <f>SUM($K$43:$K$45)</f>
        <v>-56283343</v>
      </c>
      <c r="L46" s="216">
        <f>SUM($L$43:$L$45)</f>
        <v>-54830732</v>
      </c>
      <c r="M46" s="216">
        <f>SUM($M$43:$M$45)</f>
        <v>-54227301</v>
      </c>
      <c r="N46" s="216">
        <f>SUM($N$43:$N$45)</f>
        <v>-53973719</v>
      </c>
      <c r="O46" s="216">
        <f>SUM($O$43:$O$45)</f>
        <v>-57984288</v>
      </c>
      <c r="P46" s="216">
        <f>SUM($P$43:$P$45)</f>
        <v>-52232557</v>
      </c>
      <c r="Q46" s="216">
        <f>SUM($Q$43:$Q$45)</f>
        <v>-42408935</v>
      </c>
      <c r="R46" s="216">
        <f>SUM($R$43:$R$45)</f>
        <v>-40453406</v>
      </c>
      <c r="S46" s="216">
        <f>SUM($S$43:$S$45)</f>
        <v>-34197977</v>
      </c>
      <c r="T46" s="216">
        <f>SUM($T$43:$T$45)</f>
        <v>-32444679</v>
      </c>
      <c r="U46" s="216">
        <f>SUM($U$43:$U$45)</f>
        <v>-31156053</v>
      </c>
      <c r="V46" s="216">
        <f>SUM($V$43:$V$45)</f>
        <v>-39029043</v>
      </c>
      <c r="W46" s="216">
        <f>SUM($W$43:$W$45)</f>
        <v>-43007114</v>
      </c>
      <c r="X46" s="216">
        <f>SUM($X$43:$X$45)</f>
        <v>-39674970</v>
      </c>
      <c r="Y46" s="216">
        <f>SUM($Y$43:$Y$45)</f>
        <v>-39326604</v>
      </c>
      <c r="Z46" s="216">
        <f>SUM($Z$43:$Z$45)</f>
        <v>-40382520</v>
      </c>
      <c r="AA46" s="217">
        <f>SUM($AA$43:$AA$45)</f>
        <v>-1163517582</v>
      </c>
    </row>
    <row r="47" spans="1:27" ht="11.25" customHeight="1" x14ac:dyDescent="0.2">
      <c r="A47" s="213" t="s">
        <v>0</v>
      </c>
      <c r="C47" s="213">
        <v>-56991839</v>
      </c>
      <c r="D47" s="213">
        <v>-76563732</v>
      </c>
      <c r="E47" s="213">
        <v>-62539294</v>
      </c>
      <c r="F47" s="213">
        <v>-60749367</v>
      </c>
      <c r="G47" s="213">
        <v>-46660767</v>
      </c>
      <c r="H47" s="213">
        <v>-47704093</v>
      </c>
      <c r="I47" s="213">
        <v>-46811646</v>
      </c>
      <c r="J47" s="213">
        <v>-53977789</v>
      </c>
      <c r="K47" s="213">
        <v>-56293684</v>
      </c>
      <c r="L47" s="213">
        <v>-54837667</v>
      </c>
      <c r="M47" s="213">
        <v>-54233330</v>
      </c>
      <c r="N47" s="213">
        <v>-53982093</v>
      </c>
      <c r="O47" s="213">
        <v>-57989735</v>
      </c>
      <c r="P47" s="213">
        <v>-52187187</v>
      </c>
      <c r="Q47" s="213">
        <v>-42368432</v>
      </c>
      <c r="R47" s="213">
        <v>-40417244</v>
      </c>
      <c r="S47" s="213">
        <v>-34160578</v>
      </c>
      <c r="T47" s="213">
        <v>-32447014</v>
      </c>
      <c r="U47" s="213">
        <v>-31159157</v>
      </c>
      <c r="V47" s="213">
        <v>-39034548</v>
      </c>
      <c r="W47" s="213">
        <v>-43017835</v>
      </c>
      <c r="X47" s="213">
        <v>-39679813</v>
      </c>
      <c r="Y47" s="213">
        <v>-39326283</v>
      </c>
      <c r="Z47" s="213">
        <v>-40383767</v>
      </c>
      <c r="AA47" s="213">
        <v>-1163516894</v>
      </c>
    </row>
    <row r="48" spans="1:27" ht="11.25" customHeight="1" x14ac:dyDescent="0.2">
      <c r="A48" s="213" t="s">
        <v>1</v>
      </c>
      <c r="C48" s="218">
        <f>SUM(($C$46-$C$47))</f>
        <v>-22431</v>
      </c>
      <c r="D48" s="218">
        <f>SUM(($D$46-$D$47))</f>
        <v>93</v>
      </c>
      <c r="E48" s="218">
        <f>SUM(($E$46-$E$47))</f>
        <v>68391</v>
      </c>
      <c r="F48" s="218">
        <f>SUM(($F$46-$F$47))</f>
        <v>4089</v>
      </c>
      <c r="G48" s="218">
        <f>SUM(($G$46-$G$47))</f>
        <v>21899</v>
      </c>
      <c r="H48" s="218">
        <f>SUM(($H$46-$H$47))</f>
        <v>8644</v>
      </c>
      <c r="I48" s="218">
        <f>SUM(($I$46-$I$47))</f>
        <v>4035</v>
      </c>
      <c r="J48" s="218">
        <f>SUM(($J$46-$J$47))</f>
        <v>9466</v>
      </c>
      <c r="K48" s="218">
        <f>SUM(($K$46-$K$47))</f>
        <v>10341</v>
      </c>
      <c r="L48" s="218">
        <f>SUM(($L$46-$L$47))</f>
        <v>6935</v>
      </c>
      <c r="M48" s="218">
        <f>SUM(($M$46-$M$47))</f>
        <v>6029</v>
      </c>
      <c r="N48" s="218">
        <f>SUM(($N$46-$N$47))</f>
        <v>8374</v>
      </c>
      <c r="O48" s="218">
        <f>SUM(($O$46-$O$47))</f>
        <v>5447</v>
      </c>
      <c r="P48" s="218">
        <f>SUM(($P$46-$P$47))</f>
        <v>-45370</v>
      </c>
      <c r="Q48" s="218">
        <f>SUM(($Q$46-$Q$47))</f>
        <v>-40503</v>
      </c>
      <c r="R48" s="218">
        <f>SUM(($R$46-$R$47))</f>
        <v>-36162</v>
      </c>
      <c r="S48" s="218">
        <f>SUM(($S$46-$S$47))</f>
        <v>-37399</v>
      </c>
      <c r="T48" s="218">
        <f>SUM(($T$46-$T$47))</f>
        <v>2335</v>
      </c>
      <c r="U48" s="218">
        <f>SUM(($U$46-$U$47))</f>
        <v>3104</v>
      </c>
      <c r="V48" s="218">
        <f>SUM(($V$46-$V$47))</f>
        <v>5505</v>
      </c>
      <c r="W48" s="218">
        <f>SUM(($W$46-$W$47))</f>
        <v>10721</v>
      </c>
      <c r="X48" s="218">
        <f>SUM(($X$46-$X$47))</f>
        <v>4843</v>
      </c>
      <c r="Y48" s="218">
        <f>SUM(($Y$46-$Y$47))</f>
        <v>-321</v>
      </c>
      <c r="Z48" s="218">
        <f>SUM(($Z$46-$Z$47))</f>
        <v>1247</v>
      </c>
      <c r="AA48" s="218">
        <f>SUM(($AA$46-$AA$47))</f>
        <v>-688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277</v>
      </c>
    </row>
    <row r="2" spans="1:27" ht="12" customHeight="1" x14ac:dyDescent="0.2">
      <c r="A2" s="51" t="s">
        <v>229</v>
      </c>
    </row>
    <row r="3" spans="1:27" ht="12" customHeight="1" x14ac:dyDescent="0.2">
      <c r="A3" s="51" t="s">
        <v>260</v>
      </c>
    </row>
    <row r="4" spans="1:27" ht="12" customHeight="1" x14ac:dyDescent="0.2">
      <c r="A4" s="51" t="s">
        <v>261</v>
      </c>
    </row>
    <row r="5" spans="1:27" ht="11.25" customHeight="1" x14ac:dyDescent="0.2"/>
    <row r="6" spans="1:27" ht="12" customHeight="1" x14ac:dyDescent="0.2">
      <c r="A6" s="54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52" t="s">
        <v>134</v>
      </c>
      <c r="C7" s="120">
        <v>0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-6.2805999999999997</v>
      </c>
    </row>
    <row r="8" spans="1:27" ht="11.25" customHeight="1" x14ac:dyDescent="0.2">
      <c r="A8" s="52" t="s">
        <v>265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266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0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-6.2805999999999997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265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266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267</v>
      </c>
      <c r="B16" s="121"/>
      <c r="C16" s="121">
        <v>0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-3.516</v>
      </c>
    </row>
    <row r="17" spans="1:27" ht="11.25" customHeight="1" x14ac:dyDescent="0.2"/>
    <row r="18" spans="1:27" ht="12" customHeight="1" x14ac:dyDescent="0.2">
      <c r="A18" s="54" t="s">
        <v>268</v>
      </c>
    </row>
    <row r="19" spans="1:27" ht="11.25" customHeight="1" x14ac:dyDescent="0.2">
      <c r="A19" s="52" t="s">
        <v>134</v>
      </c>
      <c r="C19" s="120">
        <v>25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-5.2610000000000001</v>
      </c>
    </row>
    <row r="20" spans="1:27" ht="11.25" customHeight="1" x14ac:dyDescent="0.2">
      <c r="A20" s="52" t="s">
        <v>265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266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25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-5.2610000000000001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265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266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269</v>
      </c>
    </row>
    <row r="29" spans="1:27" ht="11.25" customHeight="1" x14ac:dyDescent="0.2">
      <c r="A29" s="52" t="s">
        <v>134</v>
      </c>
      <c r="C29" s="120">
        <v>-25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-1.0195999999999996</v>
      </c>
    </row>
    <row r="30" spans="1:27" ht="11.25" customHeight="1" x14ac:dyDescent="0.2">
      <c r="A30" s="52" t="s">
        <v>265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266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270</v>
      </c>
      <c r="C32" s="50">
        <v>-25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-1.0195999999999996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265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266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271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272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273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274</v>
      </c>
    </row>
    <row r="43" spans="1:27" ht="11.25" customHeight="1" x14ac:dyDescent="0.2">
      <c r="A43" s="52" t="s">
        <v>275</v>
      </c>
      <c r="C43" s="120">
        <v>-3699940</v>
      </c>
      <c r="D43" s="120">
        <v>216217</v>
      </c>
      <c r="E43" s="120">
        <v>294510</v>
      </c>
      <c r="F43" s="120">
        <v>350080</v>
      </c>
      <c r="G43" s="120">
        <v>116218</v>
      </c>
      <c r="H43" s="120">
        <v>139646</v>
      </c>
      <c r="I43" s="120">
        <v>143493</v>
      </c>
      <c r="J43" s="120">
        <v>336245</v>
      </c>
      <c r="K43" s="120">
        <v>348022</v>
      </c>
      <c r="L43" s="120">
        <v>308302</v>
      </c>
      <c r="M43" s="120">
        <v>192410</v>
      </c>
      <c r="N43" s="120">
        <v>177526</v>
      </c>
      <c r="O43" s="120">
        <v>176750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-900521</v>
      </c>
    </row>
    <row r="44" spans="1:27" ht="11.25" customHeight="1" x14ac:dyDescent="0.2">
      <c r="A44" s="52" t="s">
        <v>265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266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276</v>
      </c>
      <c r="B46" s="121"/>
      <c r="C46" s="121">
        <v>-3699940</v>
      </c>
      <c r="D46" s="121">
        <v>216217</v>
      </c>
      <c r="E46" s="121">
        <v>294510</v>
      </c>
      <c r="F46" s="121">
        <v>350080</v>
      </c>
      <c r="G46" s="121">
        <v>116218</v>
      </c>
      <c r="H46" s="121">
        <v>139646</v>
      </c>
      <c r="I46" s="121">
        <v>143493</v>
      </c>
      <c r="J46" s="121">
        <v>336245</v>
      </c>
      <c r="K46" s="121">
        <v>348022</v>
      </c>
      <c r="L46" s="121">
        <v>308302</v>
      </c>
      <c r="M46" s="121">
        <v>192410</v>
      </c>
      <c r="N46" s="121">
        <v>177526</v>
      </c>
      <c r="O46" s="121">
        <v>176750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-900521</v>
      </c>
    </row>
    <row r="47" spans="1:27" ht="11.25" customHeight="1" x14ac:dyDescent="0.2">
      <c r="A47" s="52" t="s">
        <v>0</v>
      </c>
      <c r="C47" s="120">
        <v>-3699855</v>
      </c>
      <c r="D47" s="120">
        <v>221372</v>
      </c>
      <c r="E47" s="120">
        <v>315439</v>
      </c>
      <c r="F47" s="120">
        <v>339752</v>
      </c>
      <c r="G47" s="120">
        <v>116206</v>
      </c>
      <c r="H47" s="120">
        <v>139632</v>
      </c>
      <c r="I47" s="120">
        <v>143478</v>
      </c>
      <c r="J47" s="120">
        <v>336210</v>
      </c>
      <c r="K47" s="120">
        <v>347986</v>
      </c>
      <c r="L47" s="120">
        <v>308269</v>
      </c>
      <c r="M47" s="120">
        <v>192390</v>
      </c>
      <c r="N47" s="120">
        <v>177507</v>
      </c>
      <c r="O47" s="120">
        <v>176731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-884883</v>
      </c>
    </row>
    <row r="48" spans="1:27" ht="11.25" customHeight="1" x14ac:dyDescent="0.2">
      <c r="A48" s="52" t="s">
        <v>1</v>
      </c>
      <c r="C48" s="123">
        <v>-85</v>
      </c>
      <c r="D48" s="123">
        <v>-5155</v>
      </c>
      <c r="E48" s="123">
        <v>-20929</v>
      </c>
      <c r="F48" s="123">
        <v>10328</v>
      </c>
      <c r="G48" s="123">
        <v>12</v>
      </c>
      <c r="H48" s="123">
        <v>14</v>
      </c>
      <c r="I48" s="123">
        <v>15</v>
      </c>
      <c r="J48" s="123">
        <v>35</v>
      </c>
      <c r="K48" s="123">
        <v>36</v>
      </c>
      <c r="L48" s="123">
        <v>33</v>
      </c>
      <c r="M48" s="123">
        <v>20</v>
      </c>
      <c r="N48" s="123">
        <v>19</v>
      </c>
      <c r="O48" s="123">
        <v>19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-15638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278</v>
      </c>
    </row>
    <row r="2" spans="1:27" ht="12" customHeight="1" x14ac:dyDescent="0.2">
      <c r="A2" s="2" t="s">
        <v>229</v>
      </c>
    </row>
    <row r="3" spans="1:27" ht="12" customHeight="1" x14ac:dyDescent="0.2">
      <c r="A3" s="2" t="s">
        <v>260</v>
      </c>
    </row>
    <row r="4" spans="1:27" ht="12" customHeight="1" x14ac:dyDescent="0.2">
      <c r="A4" s="2" t="s">
        <v>261</v>
      </c>
    </row>
    <row r="6" spans="1:27" ht="12" customHeight="1" x14ac:dyDescent="0.2">
      <c r="A6" s="153" t="s">
        <v>2</v>
      </c>
      <c r="C6" s="37" t="s">
        <v>227</v>
      </c>
      <c r="D6" s="37" t="s">
        <v>231</v>
      </c>
      <c r="E6" s="37" t="s">
        <v>232</v>
      </c>
      <c r="F6" s="37" t="s">
        <v>233</v>
      </c>
      <c r="G6" s="37" t="s">
        <v>234</v>
      </c>
      <c r="H6" s="37" t="s">
        <v>235</v>
      </c>
      <c r="I6" s="37" t="s">
        <v>236</v>
      </c>
      <c r="J6" s="37" t="s">
        <v>237</v>
      </c>
      <c r="K6" s="37" t="s">
        <v>238</v>
      </c>
      <c r="L6" s="37" t="s">
        <v>239</v>
      </c>
      <c r="M6" s="37" t="s">
        <v>240</v>
      </c>
      <c r="N6" s="37" t="s">
        <v>241</v>
      </c>
      <c r="O6" s="37" t="s">
        <v>242</v>
      </c>
      <c r="P6" s="37" t="s">
        <v>243</v>
      </c>
      <c r="Q6" s="37" t="s">
        <v>244</v>
      </c>
      <c r="R6" s="37" t="s">
        <v>245</v>
      </c>
      <c r="S6" s="37" t="s">
        <v>246</v>
      </c>
      <c r="T6" s="37" t="s">
        <v>247</v>
      </c>
      <c r="U6" s="37" t="s">
        <v>248</v>
      </c>
      <c r="V6" s="37" t="s">
        <v>249</v>
      </c>
      <c r="W6" s="37" t="s">
        <v>250</v>
      </c>
      <c r="X6" s="37" t="s">
        <v>251</v>
      </c>
      <c r="Y6" s="37" t="s">
        <v>252</v>
      </c>
      <c r="Z6" s="37" t="s">
        <v>253</v>
      </c>
      <c r="AA6" s="37" t="s">
        <v>74</v>
      </c>
    </row>
    <row r="7" spans="1:27" ht="11.25" customHeight="1" x14ac:dyDescent="0.2">
      <c r="A7" s="38" t="s">
        <v>279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280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267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281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282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283</v>
      </c>
      <c r="C14" s="35">
        <v>21167389</v>
      </c>
      <c r="D14" s="35">
        <v>-796834</v>
      </c>
      <c r="E14" s="35">
        <v>-770338</v>
      </c>
      <c r="F14" s="35">
        <v>-875458</v>
      </c>
      <c r="G14" s="35">
        <v>-958788</v>
      </c>
      <c r="H14" s="35">
        <v>-921967</v>
      </c>
      <c r="I14" s="35">
        <v>-813029</v>
      </c>
      <c r="J14" s="35">
        <v>-393226</v>
      </c>
      <c r="K14" s="35">
        <v>-154593</v>
      </c>
      <c r="L14" s="35">
        <v>-444407</v>
      </c>
      <c r="M14" s="35">
        <v>-748959</v>
      </c>
      <c r="N14" s="35">
        <v>-618738</v>
      </c>
      <c r="O14" s="35">
        <v>-544067</v>
      </c>
      <c r="P14" s="35">
        <v>23235</v>
      </c>
      <c r="Q14" s="35">
        <v>21343</v>
      </c>
      <c r="R14" s="35">
        <v>23004</v>
      </c>
      <c r="S14" s="35">
        <v>22873</v>
      </c>
      <c r="T14" s="35">
        <v>22741</v>
      </c>
      <c r="U14" s="35">
        <v>21732</v>
      </c>
      <c r="V14" s="35">
        <v>22449</v>
      </c>
      <c r="W14" s="35">
        <v>22327</v>
      </c>
      <c r="X14" s="35">
        <v>21348</v>
      </c>
      <c r="Y14" s="35">
        <v>22928</v>
      </c>
      <c r="Z14" s="35">
        <v>20262</v>
      </c>
      <c r="AA14" s="35">
        <v>13371227</v>
      </c>
    </row>
    <row r="15" spans="1:27" ht="11.25" customHeight="1" x14ac:dyDescent="0.2">
      <c r="A15" s="38" t="s">
        <v>284</v>
      </c>
      <c r="C15" s="35">
        <v>-315002</v>
      </c>
      <c r="D15" s="35">
        <v>19105</v>
      </c>
      <c r="E15" s="35">
        <v>16722</v>
      </c>
      <c r="F15" s="35">
        <v>18991</v>
      </c>
      <c r="G15" s="35">
        <v>17487</v>
      </c>
      <c r="H15" s="35">
        <v>18869</v>
      </c>
      <c r="I15" s="35">
        <v>18348</v>
      </c>
      <c r="J15" s="35">
        <v>18747</v>
      </c>
      <c r="K15" s="35">
        <v>17773</v>
      </c>
      <c r="L15" s="35">
        <v>19076</v>
      </c>
      <c r="M15" s="35">
        <v>17710</v>
      </c>
      <c r="N15" s="35">
        <v>18042</v>
      </c>
      <c r="O15" s="35">
        <v>19310</v>
      </c>
      <c r="P15" s="35">
        <v>18320</v>
      </c>
      <c r="Q15" s="35">
        <v>16007</v>
      </c>
      <c r="R15" s="35">
        <v>18138</v>
      </c>
      <c r="S15" s="35">
        <v>16660</v>
      </c>
      <c r="T15" s="35">
        <v>17930</v>
      </c>
      <c r="U15" s="35">
        <v>17385</v>
      </c>
      <c r="V15" s="35">
        <v>17700</v>
      </c>
      <c r="W15" s="35">
        <v>17604</v>
      </c>
      <c r="X15" s="35">
        <v>17079</v>
      </c>
      <c r="Y15" s="35">
        <v>16612</v>
      </c>
      <c r="Z15" s="35">
        <v>17729</v>
      </c>
      <c r="AA15" s="35">
        <v>96342</v>
      </c>
    </row>
    <row r="16" spans="1:27" ht="11.25" customHeight="1" x14ac:dyDescent="0.2">
      <c r="A16" s="47" t="s">
        <v>276</v>
      </c>
      <c r="B16" s="48"/>
      <c r="C16" s="13">
        <v>20852387</v>
      </c>
      <c r="D16" s="13">
        <v>-777729</v>
      </c>
      <c r="E16" s="13">
        <v>-753616</v>
      </c>
      <c r="F16" s="13">
        <v>-856467</v>
      </c>
      <c r="G16" s="13">
        <v>-941301</v>
      </c>
      <c r="H16" s="13">
        <v>-903098</v>
      </c>
      <c r="I16" s="13">
        <v>-794681</v>
      </c>
      <c r="J16" s="13">
        <v>-374479</v>
      </c>
      <c r="K16" s="13">
        <v>-136820</v>
      </c>
      <c r="L16" s="13">
        <v>-425331</v>
      </c>
      <c r="M16" s="13">
        <v>-731249</v>
      </c>
      <c r="N16" s="13">
        <v>-600696</v>
      </c>
      <c r="O16" s="13">
        <v>-524757</v>
      </c>
      <c r="P16" s="13">
        <v>41555</v>
      </c>
      <c r="Q16" s="13">
        <v>37350</v>
      </c>
      <c r="R16" s="13">
        <v>41142</v>
      </c>
      <c r="S16" s="13">
        <v>39533</v>
      </c>
      <c r="T16" s="13">
        <v>40671</v>
      </c>
      <c r="U16" s="13">
        <v>39117</v>
      </c>
      <c r="V16" s="13">
        <v>40149</v>
      </c>
      <c r="W16" s="13">
        <v>39931</v>
      </c>
      <c r="X16" s="13">
        <v>38427</v>
      </c>
      <c r="Y16" s="13">
        <v>39540</v>
      </c>
      <c r="Z16" s="13">
        <v>37991</v>
      </c>
      <c r="AA16" s="14">
        <v>13467569</v>
      </c>
    </row>
    <row r="18" spans="1:27" ht="12" customHeight="1" x14ac:dyDescent="0.2">
      <c r="A18" s="16" t="s">
        <v>285</v>
      </c>
    </row>
    <row r="19" spans="1:27" ht="11.25" customHeight="1" x14ac:dyDescent="0.2">
      <c r="A19" s="38" t="s">
        <v>286</v>
      </c>
      <c r="C19" s="17">
        <v>31.7</v>
      </c>
      <c r="D19" s="17">
        <v>33.75</v>
      </c>
      <c r="E19" s="17">
        <v>32.450000000000003</v>
      </c>
      <c r="F19" s="17">
        <v>31.05</v>
      </c>
      <c r="G19" s="17">
        <v>28.25</v>
      </c>
      <c r="H19" s="17">
        <v>29.35</v>
      </c>
      <c r="I19" s="17">
        <v>31.75</v>
      </c>
      <c r="J19" s="17">
        <v>46.5</v>
      </c>
      <c r="K19" s="17">
        <v>54.5</v>
      </c>
      <c r="L19" s="17">
        <v>43.5</v>
      </c>
      <c r="M19" s="17">
        <v>35.5</v>
      </c>
      <c r="N19" s="17">
        <v>38</v>
      </c>
      <c r="O19" s="17">
        <v>40.5</v>
      </c>
      <c r="P19" s="17">
        <v>42.25</v>
      </c>
      <c r="Q19" s="17">
        <v>39.75</v>
      </c>
      <c r="R19" s="17">
        <v>36.25</v>
      </c>
      <c r="S19" s="17">
        <v>34.35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287</v>
      </c>
      <c r="C20" s="17">
        <v>31.2</v>
      </c>
      <c r="D20" s="17">
        <v>33.1</v>
      </c>
      <c r="E20" s="17">
        <v>30.45</v>
      </c>
      <c r="F20" s="17">
        <v>30.55</v>
      </c>
      <c r="G20" s="17">
        <v>28.25</v>
      </c>
      <c r="H20" s="17">
        <v>29.35</v>
      </c>
      <c r="I20" s="17">
        <v>31.75</v>
      </c>
      <c r="J20" s="17">
        <v>46.5</v>
      </c>
      <c r="K20" s="17">
        <v>54</v>
      </c>
      <c r="L20" s="17">
        <v>43.5</v>
      </c>
      <c r="M20" s="17">
        <v>35.4</v>
      </c>
      <c r="N20" s="17">
        <v>37.9</v>
      </c>
      <c r="O20" s="17">
        <v>40.4</v>
      </c>
      <c r="P20" s="17">
        <v>42</v>
      </c>
      <c r="Q20" s="17">
        <v>39.5</v>
      </c>
      <c r="R20" s="17">
        <v>36</v>
      </c>
      <c r="S20" s="17">
        <v>34.1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8" t="s">
        <v>288</v>
      </c>
      <c r="C21" s="18">
        <v>0.5</v>
      </c>
      <c r="D21" s="18">
        <v>0.64999999999999858</v>
      </c>
      <c r="E21" s="18">
        <v>2</v>
      </c>
      <c r="F21" s="18">
        <v>0.5</v>
      </c>
      <c r="G21" s="18">
        <v>0</v>
      </c>
      <c r="H21" s="18">
        <v>0</v>
      </c>
      <c r="I21" s="18">
        <v>0</v>
      </c>
      <c r="J21" s="18">
        <v>0</v>
      </c>
      <c r="K21" s="18">
        <v>0.5</v>
      </c>
      <c r="L21" s="18">
        <v>0</v>
      </c>
      <c r="M21" s="18">
        <v>0.10000000000000142</v>
      </c>
      <c r="N21" s="18">
        <v>0.10000000000000142</v>
      </c>
      <c r="O21" s="18">
        <v>0.10000000000000142</v>
      </c>
      <c r="P21" s="18">
        <v>0.25</v>
      </c>
      <c r="Q21" s="18">
        <v>0.25</v>
      </c>
      <c r="R21" s="18">
        <v>0.25</v>
      </c>
      <c r="S21" s="18">
        <v>0.25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7"/>
    </row>
    <row r="23" spans="1:27" ht="11.25" customHeight="1" x14ac:dyDescent="0.2">
      <c r="A23" s="38" t="s">
        <v>289</v>
      </c>
      <c r="C23" s="17">
        <v>25</v>
      </c>
      <c r="D23" s="17">
        <v>27.5</v>
      </c>
      <c r="E23" s="17">
        <v>26.75</v>
      </c>
      <c r="F23" s="17">
        <v>24.15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290</v>
      </c>
      <c r="C24" s="17">
        <v>24.75</v>
      </c>
      <c r="D24" s="17">
        <v>27.5</v>
      </c>
      <c r="E24" s="17">
        <v>26.5</v>
      </c>
      <c r="F24" s="17">
        <v>24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291</v>
      </c>
      <c r="C25" s="18">
        <v>0.25</v>
      </c>
      <c r="D25" s="18">
        <v>0</v>
      </c>
      <c r="E25" s="18">
        <v>0.25</v>
      </c>
      <c r="F25" s="18">
        <v>0.14999999999999858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292</v>
      </c>
      <c r="C34" s="37" t="s">
        <v>227</v>
      </c>
      <c r="D34" s="37" t="s">
        <v>231</v>
      </c>
      <c r="E34" s="37" t="s">
        <v>232</v>
      </c>
      <c r="F34" s="37" t="s">
        <v>233</v>
      </c>
      <c r="G34" s="37" t="s">
        <v>234</v>
      </c>
      <c r="H34" s="37" t="s">
        <v>235</v>
      </c>
      <c r="I34" s="37" t="s">
        <v>236</v>
      </c>
      <c r="J34" s="37" t="s">
        <v>237</v>
      </c>
      <c r="K34" s="37" t="s">
        <v>238</v>
      </c>
      <c r="L34" s="37" t="s">
        <v>239</v>
      </c>
      <c r="M34" s="37" t="s">
        <v>240</v>
      </c>
      <c r="N34" s="37" t="s">
        <v>241</v>
      </c>
      <c r="O34" s="37" t="s">
        <v>242</v>
      </c>
      <c r="P34" s="37" t="s">
        <v>243</v>
      </c>
      <c r="Q34" s="37" t="s">
        <v>244</v>
      </c>
      <c r="R34" s="37" t="s">
        <v>245</v>
      </c>
      <c r="S34" s="37" t="s">
        <v>246</v>
      </c>
      <c r="T34" s="37" t="s">
        <v>247</v>
      </c>
      <c r="U34" s="37" t="s">
        <v>248</v>
      </c>
      <c r="V34" s="37" t="s">
        <v>249</v>
      </c>
      <c r="W34" s="37" t="s">
        <v>250</v>
      </c>
      <c r="X34" s="37" t="s">
        <v>251</v>
      </c>
      <c r="Y34" s="37" t="s">
        <v>252</v>
      </c>
      <c r="Z34" s="37" t="s">
        <v>253</v>
      </c>
      <c r="AA34" s="37" t="s">
        <v>74</v>
      </c>
    </row>
    <row r="35" spans="1:27" ht="11.25" customHeight="1" x14ac:dyDescent="0.2">
      <c r="A35" s="38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267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276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285</v>
      </c>
    </row>
    <row r="47" spans="1:27" ht="11.25" customHeight="1" x14ac:dyDescent="0.2">
      <c r="A47" s="38" t="s">
        <v>286</v>
      </c>
      <c r="C47" s="17">
        <v>31.7</v>
      </c>
      <c r="D47" s="17">
        <v>33.75</v>
      </c>
      <c r="E47" s="17">
        <v>32.450000000000003</v>
      </c>
      <c r="F47" s="17">
        <v>31.05</v>
      </c>
      <c r="G47" s="17">
        <v>28.25</v>
      </c>
      <c r="H47" s="17">
        <v>29.35</v>
      </c>
      <c r="I47" s="17">
        <v>31.75</v>
      </c>
      <c r="J47" s="17">
        <v>46.5</v>
      </c>
      <c r="K47" s="17">
        <v>54.5</v>
      </c>
      <c r="L47" s="17">
        <v>43.5</v>
      </c>
      <c r="M47" s="17">
        <v>35.5</v>
      </c>
      <c r="N47" s="17">
        <v>38</v>
      </c>
      <c r="O47" s="17">
        <v>40.5</v>
      </c>
      <c r="P47" s="17">
        <v>42.25</v>
      </c>
      <c r="Q47" s="17">
        <v>39.75</v>
      </c>
      <c r="R47" s="17">
        <v>36.25</v>
      </c>
      <c r="S47" s="17">
        <v>34.35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287</v>
      </c>
      <c r="C48" s="17">
        <v>31.2</v>
      </c>
      <c r="D48" s="17">
        <v>33.1</v>
      </c>
      <c r="E48" s="17">
        <v>30.45</v>
      </c>
      <c r="F48" s="17">
        <v>30.55</v>
      </c>
      <c r="G48" s="17">
        <v>28.25</v>
      </c>
      <c r="H48" s="17">
        <v>29.35</v>
      </c>
      <c r="I48" s="17">
        <v>31.75</v>
      </c>
      <c r="J48" s="17">
        <v>46.5</v>
      </c>
      <c r="K48" s="17">
        <v>54</v>
      </c>
      <c r="L48" s="17">
        <v>43.5</v>
      </c>
      <c r="M48" s="17">
        <v>35.4</v>
      </c>
      <c r="N48" s="17">
        <v>37.9</v>
      </c>
      <c r="O48" s="17">
        <v>40.4</v>
      </c>
      <c r="P48" s="17">
        <v>42</v>
      </c>
      <c r="Q48" s="17">
        <v>39.5</v>
      </c>
      <c r="R48" s="17">
        <v>36</v>
      </c>
      <c r="S48" s="17">
        <v>34.1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8" t="s">
        <v>288</v>
      </c>
      <c r="C49" s="18">
        <v>0.5</v>
      </c>
      <c r="D49" s="18">
        <v>0.64999999999999858</v>
      </c>
      <c r="E49" s="18">
        <v>2</v>
      </c>
      <c r="F49" s="18">
        <v>0.5</v>
      </c>
      <c r="G49" s="18">
        <v>0</v>
      </c>
      <c r="H49" s="18">
        <v>0</v>
      </c>
      <c r="I49" s="18">
        <v>0</v>
      </c>
      <c r="J49" s="18">
        <v>0</v>
      </c>
      <c r="K49" s="18">
        <v>0.5</v>
      </c>
      <c r="L49" s="18">
        <v>0</v>
      </c>
      <c r="M49" s="18">
        <v>0.10000000000000142</v>
      </c>
      <c r="N49" s="18">
        <v>0.10000000000000142</v>
      </c>
      <c r="O49" s="18">
        <v>0.10000000000000142</v>
      </c>
      <c r="P49" s="18">
        <v>0.25</v>
      </c>
      <c r="Q49" s="18">
        <v>0.25</v>
      </c>
      <c r="R49" s="18">
        <v>0.25</v>
      </c>
      <c r="S49" s="18">
        <v>0.25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7"/>
    </row>
    <row r="51" spans="1:27" ht="11.25" customHeight="1" x14ac:dyDescent="0.2">
      <c r="A51" s="38" t="s">
        <v>289</v>
      </c>
      <c r="C51" s="17">
        <v>25</v>
      </c>
      <c r="D51" s="17">
        <v>27.5</v>
      </c>
      <c r="E51" s="17">
        <v>26.75</v>
      </c>
      <c r="F51" s="17">
        <v>24.15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290</v>
      </c>
      <c r="C52" s="17">
        <v>24.75</v>
      </c>
      <c r="D52" s="17">
        <v>27.5</v>
      </c>
      <c r="E52" s="17">
        <v>26.5</v>
      </c>
      <c r="F52" s="17">
        <v>24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291</v>
      </c>
      <c r="C53" s="18">
        <v>0.25</v>
      </c>
      <c r="D53" s="18">
        <v>0</v>
      </c>
      <c r="E53" s="18">
        <v>0.25</v>
      </c>
      <c r="F53" s="18">
        <v>0.14999999999999858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227</v>
      </c>
      <c r="D62" s="37" t="s">
        <v>231</v>
      </c>
      <c r="E62" s="37" t="s">
        <v>232</v>
      </c>
      <c r="F62" s="37" t="s">
        <v>233</v>
      </c>
      <c r="G62" s="37" t="s">
        <v>234</v>
      </c>
      <c r="H62" s="37" t="s">
        <v>235</v>
      </c>
      <c r="I62" s="37" t="s">
        <v>236</v>
      </c>
      <c r="J62" s="37" t="s">
        <v>237</v>
      </c>
      <c r="K62" s="37" t="s">
        <v>238</v>
      </c>
      <c r="L62" s="37" t="s">
        <v>239</v>
      </c>
      <c r="M62" s="37" t="s">
        <v>240</v>
      </c>
      <c r="N62" s="37" t="s">
        <v>241</v>
      </c>
      <c r="O62" s="37" t="s">
        <v>242</v>
      </c>
      <c r="P62" s="37" t="s">
        <v>243</v>
      </c>
      <c r="Q62" s="37" t="s">
        <v>244</v>
      </c>
      <c r="R62" s="37" t="s">
        <v>245</v>
      </c>
      <c r="S62" s="37" t="s">
        <v>246</v>
      </c>
      <c r="T62" s="37" t="s">
        <v>247</v>
      </c>
      <c r="U62" s="37" t="s">
        <v>248</v>
      </c>
      <c r="V62" s="37" t="s">
        <v>249</v>
      </c>
      <c r="W62" s="37" t="s">
        <v>250</v>
      </c>
      <c r="X62" s="37" t="s">
        <v>251</v>
      </c>
      <c r="Y62" s="37" t="s">
        <v>252</v>
      </c>
      <c r="Z62" s="37" t="s">
        <v>253</v>
      </c>
      <c r="AA62" s="37" t="s">
        <v>74</v>
      </c>
    </row>
    <row r="63" spans="1:27" ht="11.25" customHeight="1" x14ac:dyDescent="0.2">
      <c r="A63" s="38" t="s">
        <v>279</v>
      </c>
      <c r="C63" s="35">
        <v>745.58749999999998</v>
      </c>
      <c r="D63" s="35">
        <v>793.87980000000005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537.5086</v>
      </c>
    </row>
    <row r="64" spans="1:27" ht="11.25" customHeight="1" x14ac:dyDescent="0.2">
      <c r="A64" s="38" t="s">
        <v>280</v>
      </c>
      <c r="C64" s="35">
        <v>517.53779999999995</v>
      </c>
      <c r="D64" s="35">
        <v>670.97799999999995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295.11930000000001</v>
      </c>
    </row>
    <row r="65" spans="1:27" ht="11.25" customHeight="1" x14ac:dyDescent="0.2">
      <c r="A65" s="47" t="s">
        <v>267</v>
      </c>
      <c r="B65" s="48"/>
      <c r="C65" s="13">
        <v>640.14520000000005</v>
      </c>
      <c r="D65" s="13">
        <v>739.69730000000004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430.81299999999999</v>
      </c>
    </row>
    <row r="67" spans="1:27" ht="11.25" customHeight="1" x14ac:dyDescent="0.2">
      <c r="A67" s="38" t="s">
        <v>281</v>
      </c>
      <c r="C67" s="35">
        <v>640.14520000000005</v>
      </c>
      <c r="D67" s="35">
        <v>739.69730000000004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549.54719999999998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430.81299999999999</v>
      </c>
    </row>
    <row r="68" spans="1:27" ht="11.25" customHeight="1" x14ac:dyDescent="0.2">
      <c r="A68" s="38" t="s">
        <v>282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38" t="s">
        <v>283</v>
      </c>
      <c r="C70" s="35">
        <v>-24935670</v>
      </c>
      <c r="D70" s="35">
        <v>-19610951</v>
      </c>
      <c r="E70" s="35">
        <v>-13506835</v>
      </c>
      <c r="F70" s="35">
        <v>-14720102</v>
      </c>
      <c r="G70" s="35">
        <v>-12290590</v>
      </c>
      <c r="H70" s="35">
        <v>-12275129</v>
      </c>
      <c r="I70" s="35">
        <v>-10490809</v>
      </c>
      <c r="J70" s="35">
        <v>-12589637</v>
      </c>
      <c r="K70" s="35">
        <v>-10499706</v>
      </c>
      <c r="L70" s="35">
        <v>-11906813</v>
      </c>
      <c r="M70" s="35">
        <v>-9777789</v>
      </c>
      <c r="N70" s="35">
        <v>-8647361</v>
      </c>
      <c r="O70" s="35">
        <v>-7816639</v>
      </c>
      <c r="P70" s="35">
        <v>-243389</v>
      </c>
      <c r="Q70" s="35">
        <v>-619094</v>
      </c>
      <c r="R70" s="35">
        <v>-1215285</v>
      </c>
      <c r="S70" s="35">
        <v>-1372888</v>
      </c>
      <c r="T70" s="35">
        <v>-1850925</v>
      </c>
      <c r="U70" s="35">
        <v>-1124955</v>
      </c>
      <c r="V70" s="35">
        <v>1125282</v>
      </c>
      <c r="W70" s="35">
        <v>1751755</v>
      </c>
      <c r="X70" s="35">
        <v>901005</v>
      </c>
      <c r="Y70" s="35">
        <v>-518767</v>
      </c>
      <c r="Z70" s="35">
        <v>-410241</v>
      </c>
      <c r="AA70" s="35">
        <v>-172645533</v>
      </c>
    </row>
    <row r="71" spans="1:27" ht="11.25" customHeight="1" x14ac:dyDescent="0.2">
      <c r="A71" s="38" t="s">
        <v>284</v>
      </c>
      <c r="C71" s="35">
        <v>-13005631</v>
      </c>
      <c r="D71" s="35">
        <v>-12654855</v>
      </c>
      <c r="E71" s="35">
        <v>-11261690</v>
      </c>
      <c r="F71" s="35">
        <v>-13153308</v>
      </c>
      <c r="G71" s="35">
        <v>-8654455</v>
      </c>
      <c r="H71" s="35">
        <v>-9532935</v>
      </c>
      <c r="I71" s="35">
        <v>-9433131</v>
      </c>
      <c r="J71" s="35">
        <v>-7093585</v>
      </c>
      <c r="K71" s="35">
        <v>-6405747</v>
      </c>
      <c r="L71" s="35">
        <v>-7191206</v>
      </c>
      <c r="M71" s="35">
        <v>-7356817</v>
      </c>
      <c r="N71" s="35">
        <v>-7180308</v>
      </c>
      <c r="O71" s="35">
        <v>-7238128</v>
      </c>
      <c r="P71" s="35">
        <v>-1079940</v>
      </c>
      <c r="Q71" s="35">
        <v>-1118028</v>
      </c>
      <c r="R71" s="35">
        <v>-1202386</v>
      </c>
      <c r="S71" s="35">
        <v>-960378</v>
      </c>
      <c r="T71" s="35">
        <v>-1067421</v>
      </c>
      <c r="U71" s="35">
        <v>-1144293</v>
      </c>
      <c r="V71" s="35">
        <v>-883454</v>
      </c>
      <c r="W71" s="35">
        <v>-821882</v>
      </c>
      <c r="X71" s="35">
        <v>-838890</v>
      </c>
      <c r="Y71" s="35">
        <v>-1011293</v>
      </c>
      <c r="Z71" s="35">
        <v>-902323</v>
      </c>
      <c r="AA71" s="35">
        <v>-131192084</v>
      </c>
    </row>
    <row r="72" spans="1:27" ht="11.25" customHeight="1" x14ac:dyDescent="0.2">
      <c r="A72" s="47" t="s">
        <v>276</v>
      </c>
      <c r="B72" s="48"/>
      <c r="C72" s="13">
        <v>-37941301</v>
      </c>
      <c r="D72" s="13">
        <v>-32265806</v>
      </c>
      <c r="E72" s="13">
        <v>-24768525</v>
      </c>
      <c r="F72" s="13">
        <v>-27873410</v>
      </c>
      <c r="G72" s="13">
        <v>-20945045</v>
      </c>
      <c r="H72" s="13">
        <v>-21808064</v>
      </c>
      <c r="I72" s="13">
        <v>-19923940</v>
      </c>
      <c r="J72" s="13">
        <v>-19683222</v>
      </c>
      <c r="K72" s="13">
        <v>-16905453</v>
      </c>
      <c r="L72" s="13">
        <v>-19098019</v>
      </c>
      <c r="M72" s="13">
        <v>-17134606</v>
      </c>
      <c r="N72" s="13">
        <v>-15827669</v>
      </c>
      <c r="O72" s="13">
        <v>-15054767</v>
      </c>
      <c r="P72" s="13">
        <v>-1323329</v>
      </c>
      <c r="Q72" s="13">
        <v>-1737122</v>
      </c>
      <c r="R72" s="13">
        <v>-2417671</v>
      </c>
      <c r="S72" s="13">
        <v>-2333266</v>
      </c>
      <c r="T72" s="13">
        <v>-2918346</v>
      </c>
      <c r="U72" s="13">
        <v>-2269248</v>
      </c>
      <c r="V72" s="13">
        <v>241828</v>
      </c>
      <c r="W72" s="13">
        <v>929873</v>
      </c>
      <c r="X72" s="13">
        <v>62115</v>
      </c>
      <c r="Y72" s="13">
        <v>-1530060</v>
      </c>
      <c r="Z72" s="13">
        <v>-1312564</v>
      </c>
      <c r="AA72" s="14">
        <v>-303837617</v>
      </c>
    </row>
    <row r="74" spans="1:27" ht="12" customHeight="1" x14ac:dyDescent="0.2">
      <c r="A74" s="16" t="s">
        <v>285</v>
      </c>
    </row>
    <row r="75" spans="1:27" ht="11.25" customHeight="1" x14ac:dyDescent="0.2">
      <c r="A75" s="38" t="s">
        <v>286</v>
      </c>
      <c r="C75" s="17">
        <v>30.65</v>
      </c>
      <c r="D75" s="17">
        <v>32.5</v>
      </c>
      <c r="E75" s="17">
        <v>31.5</v>
      </c>
      <c r="F75" s="17">
        <v>30</v>
      </c>
      <c r="G75" s="17">
        <v>27</v>
      </c>
      <c r="H75" s="17">
        <v>27</v>
      </c>
      <c r="I75" s="17">
        <v>27.75</v>
      </c>
      <c r="J75" s="17">
        <v>42</v>
      </c>
      <c r="K75" s="17">
        <v>50.5</v>
      </c>
      <c r="L75" s="17">
        <v>41</v>
      </c>
      <c r="M75" s="17">
        <v>34.5</v>
      </c>
      <c r="N75" s="17">
        <v>37</v>
      </c>
      <c r="O75" s="17">
        <v>39.5</v>
      </c>
      <c r="P75" s="17">
        <v>41.25</v>
      </c>
      <c r="Q75" s="17">
        <v>38.25</v>
      </c>
      <c r="R75" s="17">
        <v>34.25</v>
      </c>
      <c r="S75" s="17">
        <v>32.25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287</v>
      </c>
      <c r="C76" s="17">
        <v>30.25</v>
      </c>
      <c r="D76" s="17">
        <v>31.85</v>
      </c>
      <c r="E76" s="17">
        <v>29.5</v>
      </c>
      <c r="F76" s="17">
        <v>29.5</v>
      </c>
      <c r="G76" s="17">
        <v>27</v>
      </c>
      <c r="H76" s="17">
        <v>27</v>
      </c>
      <c r="I76" s="17">
        <v>27.75</v>
      </c>
      <c r="J76" s="17">
        <v>42</v>
      </c>
      <c r="K76" s="17">
        <v>50.5</v>
      </c>
      <c r="L76" s="17">
        <v>41</v>
      </c>
      <c r="M76" s="17">
        <v>34.5</v>
      </c>
      <c r="N76" s="17">
        <v>37</v>
      </c>
      <c r="O76" s="17">
        <v>39.5</v>
      </c>
      <c r="P76" s="17">
        <v>41</v>
      </c>
      <c r="Q76" s="17">
        <v>38</v>
      </c>
      <c r="R76" s="17">
        <v>34</v>
      </c>
      <c r="S76" s="17">
        <v>32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8" t="s">
        <v>288</v>
      </c>
      <c r="C77" s="18">
        <v>0.39999999999999858</v>
      </c>
      <c r="D77" s="18">
        <v>0.64999999999999858</v>
      </c>
      <c r="E77" s="18">
        <v>2</v>
      </c>
      <c r="F77" s="18">
        <v>0.5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0.25</v>
      </c>
      <c r="Q77" s="18">
        <v>0.25</v>
      </c>
      <c r="R77" s="18">
        <v>0.25</v>
      </c>
      <c r="S77" s="18">
        <v>0.25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7"/>
    </row>
    <row r="79" spans="1:27" ht="11.25" customHeight="1" x14ac:dyDescent="0.2">
      <c r="A79" s="38" t="s">
        <v>289</v>
      </c>
      <c r="C79" s="17">
        <v>25</v>
      </c>
      <c r="D79" s="17">
        <v>27.5</v>
      </c>
      <c r="E79" s="17">
        <v>26.75</v>
      </c>
      <c r="F79" s="17">
        <v>24.15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290</v>
      </c>
      <c r="C80" s="17">
        <v>24.75</v>
      </c>
      <c r="D80" s="17">
        <v>27.5</v>
      </c>
      <c r="E80" s="17">
        <v>26.5</v>
      </c>
      <c r="F80" s="17">
        <v>24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291</v>
      </c>
      <c r="C81" s="18">
        <v>0.25</v>
      </c>
      <c r="D81" s="18">
        <v>0</v>
      </c>
      <c r="E81" s="18">
        <v>0.25</v>
      </c>
      <c r="F81" s="18">
        <v>0.14999999999999858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99.098600000000005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81.779200000000003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293</v>
      </c>
      <c r="C90" s="37" t="s">
        <v>227</v>
      </c>
      <c r="D90" s="37" t="s">
        <v>231</v>
      </c>
      <c r="E90" s="37" t="s">
        <v>232</v>
      </c>
      <c r="F90" s="37" t="s">
        <v>233</v>
      </c>
      <c r="G90" s="37" t="s">
        <v>234</v>
      </c>
      <c r="H90" s="37" t="s">
        <v>235</v>
      </c>
      <c r="I90" s="37" t="s">
        <v>236</v>
      </c>
      <c r="J90" s="37" t="s">
        <v>237</v>
      </c>
      <c r="K90" s="37" t="s">
        <v>238</v>
      </c>
      <c r="L90" s="37" t="s">
        <v>239</v>
      </c>
      <c r="M90" s="37" t="s">
        <v>240</v>
      </c>
      <c r="N90" s="37" t="s">
        <v>241</v>
      </c>
      <c r="O90" s="37" t="s">
        <v>242</v>
      </c>
      <c r="P90" s="37" t="s">
        <v>243</v>
      </c>
      <c r="Q90" s="37" t="s">
        <v>244</v>
      </c>
      <c r="R90" s="37" t="s">
        <v>245</v>
      </c>
      <c r="S90" s="37" t="s">
        <v>246</v>
      </c>
      <c r="T90" s="37" t="s">
        <v>247</v>
      </c>
      <c r="U90" s="37" t="s">
        <v>248</v>
      </c>
      <c r="V90" s="37" t="s">
        <v>249</v>
      </c>
      <c r="W90" s="37" t="s">
        <v>250</v>
      </c>
      <c r="X90" s="37" t="s">
        <v>251</v>
      </c>
      <c r="Y90" s="37" t="s">
        <v>252</v>
      </c>
      <c r="Z90" s="37" t="s">
        <v>253</v>
      </c>
      <c r="AA90" s="37" t="s">
        <v>74</v>
      </c>
    </row>
    <row r="91" spans="1:27" ht="11.25" customHeight="1" x14ac:dyDescent="0.2">
      <c r="A91" s="38" t="s">
        <v>279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280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267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281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283</v>
      </c>
      <c r="C98" s="35">
        <v>222386</v>
      </c>
      <c r="D98" s="35">
        <v>243368</v>
      </c>
      <c r="E98" s="35">
        <v>220835</v>
      </c>
      <c r="F98" s="35">
        <v>-412</v>
      </c>
      <c r="G98" s="35">
        <v>22572</v>
      </c>
      <c r="H98" s="35">
        <v>13500</v>
      </c>
      <c r="I98" s="35">
        <v>-239277</v>
      </c>
      <c r="J98" s="35">
        <v>-465114</v>
      </c>
      <c r="K98" s="35">
        <v>-695933</v>
      </c>
      <c r="L98" s="35">
        <v>-355200</v>
      </c>
      <c r="M98" s="35">
        <v>-37605</v>
      </c>
      <c r="N98" s="35">
        <v>209715</v>
      </c>
      <c r="O98" s="35">
        <v>220870</v>
      </c>
      <c r="P98" s="35">
        <v>230118</v>
      </c>
      <c r="Q98" s="35">
        <v>194476</v>
      </c>
      <c r="R98" s="35">
        <v>-41289</v>
      </c>
      <c r="S98" s="35">
        <v>-26197</v>
      </c>
      <c r="T98" s="35">
        <v>-9718</v>
      </c>
      <c r="U98" s="35">
        <v>-287899</v>
      </c>
      <c r="V98" s="35">
        <v>-573699</v>
      </c>
      <c r="W98" s="35">
        <v>-667892</v>
      </c>
      <c r="X98" s="35">
        <v>-483821</v>
      </c>
      <c r="Y98" s="35">
        <v>-60750</v>
      </c>
      <c r="Z98" s="35">
        <v>183111</v>
      </c>
      <c r="AA98" s="35">
        <v>-2183855</v>
      </c>
    </row>
    <row r="99" spans="1:27" ht="11.25" customHeight="1" x14ac:dyDescent="0.2">
      <c r="A99" s="38" t="s">
        <v>284</v>
      </c>
      <c r="C99" s="35">
        <v>50223</v>
      </c>
      <c r="D99" s="35">
        <v>32719</v>
      </c>
      <c r="E99" s="35">
        <v>24296</v>
      </c>
      <c r="F99" s="35">
        <v>44476</v>
      </c>
      <c r="G99" s="35">
        <v>62773</v>
      </c>
      <c r="H99" s="35">
        <v>77411</v>
      </c>
      <c r="I99" s="35">
        <v>76843</v>
      </c>
      <c r="J99" s="35">
        <v>14372</v>
      </c>
      <c r="K99" s="35">
        <v>-3038</v>
      </c>
      <c r="L99" s="35">
        <v>3610</v>
      </c>
      <c r="M99" s="35">
        <v>42383</v>
      </c>
      <c r="N99" s="35">
        <v>39861</v>
      </c>
      <c r="O99" s="35">
        <v>23221</v>
      </c>
      <c r="P99" s="35">
        <v>22494</v>
      </c>
      <c r="Q99" s="35">
        <v>27363</v>
      </c>
      <c r="R99" s="35">
        <v>43407</v>
      </c>
      <c r="S99" s="35">
        <v>54110</v>
      </c>
      <c r="T99" s="35">
        <v>70496</v>
      </c>
      <c r="U99" s="35">
        <v>71325</v>
      </c>
      <c r="V99" s="35">
        <v>-21235</v>
      </c>
      <c r="W99" s="35">
        <v>-30092</v>
      </c>
      <c r="X99" s="35">
        <v>-34267</v>
      </c>
      <c r="Y99" s="35">
        <v>22718</v>
      </c>
      <c r="Z99" s="35">
        <v>21539</v>
      </c>
      <c r="AA99" s="35">
        <v>737008</v>
      </c>
    </row>
    <row r="100" spans="1:27" ht="11.25" customHeight="1" x14ac:dyDescent="0.2">
      <c r="A100" s="47" t="s">
        <v>276</v>
      </c>
      <c r="B100" s="48"/>
      <c r="C100" s="13">
        <v>272609</v>
      </c>
      <c r="D100" s="13">
        <v>276087</v>
      </c>
      <c r="E100" s="13">
        <v>245131</v>
      </c>
      <c r="F100" s="13">
        <v>44064</v>
      </c>
      <c r="G100" s="13">
        <v>85345</v>
      </c>
      <c r="H100" s="13">
        <v>90911</v>
      </c>
      <c r="I100" s="13">
        <v>-162434</v>
      </c>
      <c r="J100" s="13">
        <v>-450742</v>
      </c>
      <c r="K100" s="13">
        <v>-698971</v>
      </c>
      <c r="L100" s="13">
        <v>-351590</v>
      </c>
      <c r="M100" s="13">
        <v>4778</v>
      </c>
      <c r="N100" s="13">
        <v>249576</v>
      </c>
      <c r="O100" s="13">
        <v>244091</v>
      </c>
      <c r="P100" s="13">
        <v>252612</v>
      </c>
      <c r="Q100" s="13">
        <v>221839</v>
      </c>
      <c r="R100" s="13">
        <v>2118</v>
      </c>
      <c r="S100" s="13">
        <v>27913</v>
      </c>
      <c r="T100" s="13">
        <v>60778</v>
      </c>
      <c r="U100" s="13">
        <v>-216574</v>
      </c>
      <c r="V100" s="13">
        <v>-594934</v>
      </c>
      <c r="W100" s="13">
        <v>-697984</v>
      </c>
      <c r="X100" s="13">
        <v>-518088</v>
      </c>
      <c r="Y100" s="13">
        <v>-38032</v>
      </c>
      <c r="Z100" s="13">
        <v>204650</v>
      </c>
      <c r="AA100" s="14">
        <v>-1446847</v>
      </c>
    </row>
    <row r="102" spans="1:27" ht="12" customHeight="1" x14ac:dyDescent="0.2">
      <c r="A102" s="16" t="s">
        <v>285</v>
      </c>
    </row>
    <row r="103" spans="1:27" ht="11.25" customHeight="1" x14ac:dyDescent="0.2">
      <c r="A103" s="38" t="s">
        <v>286</v>
      </c>
      <c r="C103" s="17">
        <v>31.7</v>
      </c>
      <c r="D103" s="17">
        <v>33.75</v>
      </c>
      <c r="E103" s="17">
        <v>32.450000000000003</v>
      </c>
      <c r="F103" s="17">
        <v>31.05</v>
      </c>
      <c r="G103" s="17">
        <v>28.25</v>
      </c>
      <c r="H103" s="17">
        <v>29.35</v>
      </c>
      <c r="I103" s="17">
        <v>31.75</v>
      </c>
      <c r="J103" s="17">
        <v>46.5</v>
      </c>
      <c r="K103" s="17">
        <v>54.5</v>
      </c>
      <c r="L103" s="17">
        <v>43.5</v>
      </c>
      <c r="M103" s="17">
        <v>35.5</v>
      </c>
      <c r="N103" s="17">
        <v>38</v>
      </c>
      <c r="O103" s="17">
        <v>40.5</v>
      </c>
      <c r="P103" s="17">
        <v>42.25</v>
      </c>
      <c r="Q103" s="17">
        <v>39.75</v>
      </c>
      <c r="R103" s="17">
        <v>36.25</v>
      </c>
      <c r="S103" s="17">
        <v>34.35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287</v>
      </c>
      <c r="C104" s="17">
        <v>31.2</v>
      </c>
      <c r="D104" s="17">
        <v>33.1</v>
      </c>
      <c r="E104" s="17">
        <v>30.45</v>
      </c>
      <c r="F104" s="17">
        <v>30.55</v>
      </c>
      <c r="G104" s="17">
        <v>28.25</v>
      </c>
      <c r="H104" s="17">
        <v>29.35</v>
      </c>
      <c r="I104" s="17">
        <v>31.75</v>
      </c>
      <c r="J104" s="17">
        <v>46.5</v>
      </c>
      <c r="K104" s="17">
        <v>54</v>
      </c>
      <c r="L104" s="17">
        <v>43.5</v>
      </c>
      <c r="M104" s="17">
        <v>35.4</v>
      </c>
      <c r="N104" s="17">
        <v>37.9</v>
      </c>
      <c r="O104" s="17">
        <v>40.4</v>
      </c>
      <c r="P104" s="17">
        <v>42</v>
      </c>
      <c r="Q104" s="17">
        <v>39.5</v>
      </c>
      <c r="R104" s="17">
        <v>36</v>
      </c>
      <c r="S104" s="17">
        <v>34.1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8" t="s">
        <v>288</v>
      </c>
      <c r="C105" s="18">
        <v>0.5</v>
      </c>
      <c r="D105" s="18">
        <v>0.64999999999999858</v>
      </c>
      <c r="E105" s="18">
        <v>2</v>
      </c>
      <c r="F105" s="18">
        <v>0.5</v>
      </c>
      <c r="G105" s="18">
        <v>0</v>
      </c>
      <c r="H105" s="18">
        <v>0</v>
      </c>
      <c r="I105" s="18">
        <v>0</v>
      </c>
      <c r="J105" s="18">
        <v>0</v>
      </c>
      <c r="K105" s="18">
        <v>0.5</v>
      </c>
      <c r="L105" s="18">
        <v>0</v>
      </c>
      <c r="M105" s="18">
        <v>0.10000000000000142</v>
      </c>
      <c r="N105" s="18">
        <v>0.10000000000000142</v>
      </c>
      <c r="O105" s="18">
        <v>0.10000000000000142</v>
      </c>
      <c r="P105" s="18">
        <v>0.25</v>
      </c>
      <c r="Q105" s="18">
        <v>0.25</v>
      </c>
      <c r="R105" s="18">
        <v>0.25</v>
      </c>
      <c r="S105" s="18">
        <v>0.25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7"/>
    </row>
    <row r="107" spans="1:27" ht="11.25" customHeight="1" x14ac:dyDescent="0.2">
      <c r="A107" s="38" t="s">
        <v>289</v>
      </c>
      <c r="C107" s="17">
        <v>25</v>
      </c>
      <c r="D107" s="17">
        <v>27.5</v>
      </c>
      <c r="E107" s="17">
        <v>26.75</v>
      </c>
      <c r="F107" s="17">
        <v>24.15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290</v>
      </c>
      <c r="C108" s="17">
        <v>24.75</v>
      </c>
      <c r="D108" s="17">
        <v>27.5</v>
      </c>
      <c r="E108" s="17">
        <v>26.5</v>
      </c>
      <c r="F108" s="17">
        <v>24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291</v>
      </c>
      <c r="C109" s="18">
        <v>0.25</v>
      </c>
      <c r="D109" s="18">
        <v>0</v>
      </c>
      <c r="E109" s="18">
        <v>0.25</v>
      </c>
      <c r="F109" s="18">
        <v>0.14999999999999858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227</v>
      </c>
      <c r="D118" s="37" t="s">
        <v>231</v>
      </c>
      <c r="E118" s="37" t="s">
        <v>232</v>
      </c>
      <c r="F118" s="37" t="s">
        <v>233</v>
      </c>
      <c r="G118" s="37" t="s">
        <v>234</v>
      </c>
      <c r="H118" s="37" t="s">
        <v>235</v>
      </c>
      <c r="I118" s="37" t="s">
        <v>236</v>
      </c>
      <c r="J118" s="37" t="s">
        <v>237</v>
      </c>
      <c r="K118" s="37" t="s">
        <v>238</v>
      </c>
      <c r="L118" s="37" t="s">
        <v>239</v>
      </c>
      <c r="M118" s="37" t="s">
        <v>240</v>
      </c>
      <c r="N118" s="37" t="s">
        <v>241</v>
      </c>
      <c r="O118" s="37" t="s">
        <v>242</v>
      </c>
      <c r="P118" s="37" t="s">
        <v>243</v>
      </c>
      <c r="Q118" s="37" t="s">
        <v>244</v>
      </c>
      <c r="R118" s="37" t="s">
        <v>245</v>
      </c>
      <c r="S118" s="37" t="s">
        <v>246</v>
      </c>
      <c r="T118" s="37" t="s">
        <v>247</v>
      </c>
      <c r="U118" s="37" t="s">
        <v>248</v>
      </c>
      <c r="V118" s="37" t="s">
        <v>249</v>
      </c>
      <c r="W118" s="37" t="s">
        <v>250</v>
      </c>
      <c r="X118" s="37" t="s">
        <v>251</v>
      </c>
      <c r="Y118" s="37" t="s">
        <v>252</v>
      </c>
      <c r="Z118" s="37" t="s">
        <v>253</v>
      </c>
      <c r="AA118" s="37" t="s">
        <v>74</v>
      </c>
    </row>
    <row r="119" spans="1:27" ht="11.25" hidden="1" customHeight="1" x14ac:dyDescent="0.2">
      <c r="A119" s="38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267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276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285</v>
      </c>
    </row>
    <row r="131" spans="1:27" ht="11.25" hidden="1" customHeight="1" x14ac:dyDescent="0.2">
      <c r="A131" s="38" t="s">
        <v>286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287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288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289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291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294</v>
      </c>
      <c r="C146" s="37" t="s">
        <v>227</v>
      </c>
      <c r="D146" s="37" t="s">
        <v>231</v>
      </c>
      <c r="E146" s="37" t="s">
        <v>232</v>
      </c>
      <c r="F146" s="37" t="s">
        <v>233</v>
      </c>
      <c r="G146" s="37" t="s">
        <v>234</v>
      </c>
      <c r="H146" s="37" t="s">
        <v>235</v>
      </c>
      <c r="I146" s="37" t="s">
        <v>236</v>
      </c>
      <c r="J146" s="37" t="s">
        <v>237</v>
      </c>
      <c r="K146" s="37" t="s">
        <v>238</v>
      </c>
      <c r="L146" s="37" t="s">
        <v>239</v>
      </c>
      <c r="M146" s="37" t="s">
        <v>240</v>
      </c>
      <c r="N146" s="37" t="s">
        <v>241</v>
      </c>
      <c r="O146" s="37" t="s">
        <v>242</v>
      </c>
      <c r="P146" s="37" t="s">
        <v>243</v>
      </c>
      <c r="Q146" s="37" t="s">
        <v>244</v>
      </c>
      <c r="R146" s="37" t="s">
        <v>245</v>
      </c>
      <c r="S146" s="37" t="s">
        <v>246</v>
      </c>
      <c r="T146" s="37" t="s">
        <v>247</v>
      </c>
      <c r="U146" s="37" t="s">
        <v>248</v>
      </c>
      <c r="V146" s="37" t="s">
        <v>249</v>
      </c>
      <c r="W146" s="37" t="s">
        <v>250</v>
      </c>
      <c r="X146" s="37" t="s">
        <v>251</v>
      </c>
      <c r="Y146" s="37" t="s">
        <v>252</v>
      </c>
      <c r="Z146" s="37" t="s">
        <v>253</v>
      </c>
      <c r="AA146" s="37" t="s">
        <v>74</v>
      </c>
    </row>
    <row r="147" spans="1:27" ht="11.25" customHeight="1" x14ac:dyDescent="0.2">
      <c r="A147" s="38" t="s">
        <v>279</v>
      </c>
      <c r="C147" s="35">
        <v>-584.88199999999995</v>
      </c>
      <c r="D147" s="35">
        <v>-810.95799999999997</v>
      </c>
      <c r="E147" s="35">
        <v>-783.70640000000003</v>
      </c>
      <c r="F147" s="35">
        <v>-754.83820000000003</v>
      </c>
      <c r="G147" s="35">
        <v>-635.24980000000005</v>
      </c>
      <c r="H147" s="35">
        <v>-632.1019</v>
      </c>
      <c r="I147" s="35">
        <v>-694.85379999999998</v>
      </c>
      <c r="J147" s="35">
        <v>-477.70119999999997</v>
      </c>
      <c r="K147" s="35">
        <v>-570.44299999999998</v>
      </c>
      <c r="L147" s="35">
        <v>-625.44299999999998</v>
      </c>
      <c r="M147" s="35">
        <v>-699.85170000000005</v>
      </c>
      <c r="N147" s="35">
        <v>-669.0607</v>
      </c>
      <c r="O147" s="35">
        <v>-781.89779999999996</v>
      </c>
      <c r="P147" s="35">
        <v>-934.11559999999997</v>
      </c>
      <c r="Q147" s="35">
        <v>-861.63779999999997</v>
      </c>
      <c r="R147" s="35">
        <v>-714.78660000000002</v>
      </c>
      <c r="S147" s="35">
        <v>-750.8963</v>
      </c>
      <c r="T147" s="35">
        <v>-760.26700000000005</v>
      </c>
      <c r="U147" s="35">
        <v>-874.93309999999997</v>
      </c>
      <c r="V147" s="35">
        <v>-718.71469999999999</v>
      </c>
      <c r="W147" s="35">
        <v>-787.33199999999999</v>
      </c>
      <c r="X147" s="35">
        <v>-799.22839999999997</v>
      </c>
      <c r="Y147" s="35">
        <v>-812.75819999999999</v>
      </c>
      <c r="Z147" s="35">
        <v>-846.00660000000005</v>
      </c>
      <c r="AA147" s="35">
        <v>-731.75840000000005</v>
      </c>
    </row>
    <row r="148" spans="1:27" ht="11.25" customHeight="1" x14ac:dyDescent="0.2">
      <c r="A148" s="38" t="s">
        <v>280</v>
      </c>
      <c r="C148" s="35">
        <v>-887.36429999999996</v>
      </c>
      <c r="D148" s="35">
        <v>-853.15300000000002</v>
      </c>
      <c r="E148" s="35">
        <v>-771.53560000000004</v>
      </c>
      <c r="F148" s="35">
        <v>-821.93809999999996</v>
      </c>
      <c r="G148" s="35">
        <v>-652.13070000000005</v>
      </c>
      <c r="H148" s="35">
        <v>-612.71500000000003</v>
      </c>
      <c r="I148" s="35">
        <v>-706.4144</v>
      </c>
      <c r="J148" s="35">
        <v>-346.39</v>
      </c>
      <c r="K148" s="35">
        <v>-378.5299</v>
      </c>
      <c r="L148" s="35">
        <v>-506.71969999999999</v>
      </c>
      <c r="M148" s="35">
        <v>-747.00329999999997</v>
      </c>
      <c r="N148" s="35">
        <v>-813.81020000000001</v>
      </c>
      <c r="O148" s="35">
        <v>-628.10839999999996</v>
      </c>
      <c r="P148" s="35">
        <v>-921.96190000000001</v>
      </c>
      <c r="Q148" s="35">
        <v>-903.82489999999996</v>
      </c>
      <c r="R148" s="35">
        <v>-688.29790000000003</v>
      </c>
      <c r="S148" s="35">
        <v>-674.5829</v>
      </c>
      <c r="T148" s="35">
        <v>-677.15750000000003</v>
      </c>
      <c r="U148" s="35">
        <v>-782.05560000000003</v>
      </c>
      <c r="V148" s="35">
        <v>-359.10750000000002</v>
      </c>
      <c r="W148" s="35">
        <v>-450.48649999999998</v>
      </c>
      <c r="X148" s="35">
        <v>-468.32569999999998</v>
      </c>
      <c r="Y148" s="35">
        <v>-649.29060000000004</v>
      </c>
      <c r="Z148" s="35">
        <v>-846.73929999999996</v>
      </c>
      <c r="AA148" s="35">
        <v>-671.95079999999996</v>
      </c>
    </row>
    <row r="149" spans="1:27" ht="11.25" customHeight="1" x14ac:dyDescent="0.2">
      <c r="A149" s="47" t="s">
        <v>267</v>
      </c>
      <c r="B149" s="48"/>
      <c r="C149" s="13">
        <v>-724.73940000000005</v>
      </c>
      <c r="D149" s="13">
        <v>-829.56010000000003</v>
      </c>
      <c r="E149" s="13">
        <v>-778.49030000000005</v>
      </c>
      <c r="F149" s="13">
        <v>-784.41989999999998</v>
      </c>
      <c r="G149" s="13">
        <v>-642.37729999999999</v>
      </c>
      <c r="H149" s="13">
        <v>-623.55489999999998</v>
      </c>
      <c r="I149" s="13">
        <v>-699.99180000000001</v>
      </c>
      <c r="J149" s="13">
        <v>-419.81130000000002</v>
      </c>
      <c r="K149" s="13">
        <v>-489.96339999999998</v>
      </c>
      <c r="L149" s="13">
        <v>-570.03880000000004</v>
      </c>
      <c r="M149" s="13">
        <v>-719.625</v>
      </c>
      <c r="N149" s="13">
        <v>-733.39380000000006</v>
      </c>
      <c r="O149" s="13">
        <v>-710.79089999999997</v>
      </c>
      <c r="P149" s="13">
        <v>-928.75750000000005</v>
      </c>
      <c r="Q149" s="13">
        <v>-879.71799999999996</v>
      </c>
      <c r="R149" s="13">
        <v>-703.10879999999997</v>
      </c>
      <c r="S149" s="13">
        <v>-718.67510000000004</v>
      </c>
      <c r="T149" s="13">
        <v>-723.62739999999997</v>
      </c>
      <c r="U149" s="13">
        <v>-833.65419999999995</v>
      </c>
      <c r="V149" s="13">
        <v>-560.17819999999995</v>
      </c>
      <c r="W149" s="13">
        <v>-638.83019999999999</v>
      </c>
      <c r="X149" s="13">
        <v>-652.16049999999996</v>
      </c>
      <c r="Y149" s="13">
        <v>-744.20730000000003</v>
      </c>
      <c r="Z149" s="13">
        <v>-846.34849999999994</v>
      </c>
      <c r="AA149" s="14">
        <v>-705.43209999999999</v>
      </c>
    </row>
    <row r="151" spans="1:27" ht="11.25" customHeight="1" x14ac:dyDescent="0.2">
      <c r="A151" s="38" t="s">
        <v>281</v>
      </c>
      <c r="C151" s="35">
        <v>-713.78129999999999</v>
      </c>
      <c r="D151" s="35">
        <v>-823.06979999999999</v>
      </c>
      <c r="E151" s="35">
        <v>-796.60130000000004</v>
      </c>
      <c r="F151" s="35">
        <v>-785.14869999999996</v>
      </c>
      <c r="G151" s="35">
        <v>-637.00350000000003</v>
      </c>
      <c r="H151" s="35">
        <v>-618.72090000000003</v>
      </c>
      <c r="I151" s="35">
        <v>-695.4298</v>
      </c>
      <c r="J151" s="35">
        <v>-418.63569999999999</v>
      </c>
      <c r="K151" s="35">
        <v>-489.56049999999999</v>
      </c>
      <c r="L151" s="35">
        <v>-569.23770000000002</v>
      </c>
      <c r="M151" s="35">
        <v>-719.27430000000004</v>
      </c>
      <c r="N151" s="35">
        <v>-732.96669999999995</v>
      </c>
      <c r="O151" s="35">
        <v>-711.24839999999995</v>
      </c>
      <c r="P151" s="35">
        <v>-930.93039999999996</v>
      </c>
      <c r="Q151" s="35">
        <v>-881.43589999999995</v>
      </c>
      <c r="R151" s="35">
        <v>-705.32899999999995</v>
      </c>
      <c r="S151" s="35">
        <v>-720.51760000000002</v>
      </c>
      <c r="T151" s="35">
        <v>-722.06150000000002</v>
      </c>
      <c r="U151" s="35">
        <v>-832.22569999999996</v>
      </c>
      <c r="V151" s="35">
        <v>-560.85069999999996</v>
      </c>
      <c r="W151" s="35">
        <v>-639.83029999999997</v>
      </c>
      <c r="X151" s="35">
        <v>-652.88189999999997</v>
      </c>
      <c r="Y151" s="35">
        <v>-744.33339999999998</v>
      </c>
      <c r="Z151" s="35">
        <v>-846.04629999999997</v>
      </c>
      <c r="AA151" s="35">
        <v>-704.98680000000002</v>
      </c>
    </row>
    <row r="152" spans="1:27" ht="11.25" customHeight="1" x14ac:dyDescent="0.2">
      <c r="A152" s="38" t="s">
        <v>282</v>
      </c>
      <c r="C152" s="15">
        <v>-10.958100000000059</v>
      </c>
      <c r="D152" s="15">
        <v>-6.4903000000000475</v>
      </c>
      <c r="E152" s="15">
        <v>18.11099999999999</v>
      </c>
      <c r="F152" s="15">
        <v>0.72879999999997835</v>
      </c>
      <c r="G152" s="15">
        <v>-5.3737999999999602</v>
      </c>
      <c r="H152" s="15">
        <v>-4.8339999999999463</v>
      </c>
      <c r="I152" s="15">
        <v>-4.5620000000000118</v>
      </c>
      <c r="J152" s="15">
        <v>-1.1756000000000313</v>
      </c>
      <c r="K152" s="15">
        <v>-0.40289999999998827</v>
      </c>
      <c r="L152" s="15">
        <v>-0.80110000000001946</v>
      </c>
      <c r="M152" s="15">
        <v>-0.35069999999996071</v>
      </c>
      <c r="N152" s="15">
        <v>-0.4271000000001095</v>
      </c>
      <c r="O152" s="15">
        <v>0.45749999999998181</v>
      </c>
      <c r="P152" s="15">
        <v>2.1728999999999132</v>
      </c>
      <c r="Q152" s="15">
        <v>1.717899999999986</v>
      </c>
      <c r="R152" s="15">
        <v>2.2201999999999771</v>
      </c>
      <c r="S152" s="15">
        <v>1.8424999999999727</v>
      </c>
      <c r="T152" s="15">
        <v>-1.5658999999999423</v>
      </c>
      <c r="U152" s="15">
        <v>-1.4284999999999854</v>
      </c>
      <c r="V152" s="15">
        <v>0.67250000000001364</v>
      </c>
      <c r="W152" s="15">
        <v>1.0000999999999749</v>
      </c>
      <c r="X152" s="15">
        <v>0.72140000000001692</v>
      </c>
      <c r="Y152" s="15">
        <v>0.12609999999995125</v>
      </c>
      <c r="Z152" s="15">
        <v>-0.30219999999997071</v>
      </c>
      <c r="AA152" s="15">
        <v>-0.44529999999997472</v>
      </c>
    </row>
    <row r="154" spans="1:27" ht="11.25" customHeight="1" x14ac:dyDescent="0.2">
      <c r="A154" s="38" t="s">
        <v>283</v>
      </c>
      <c r="C154" s="35">
        <v>-23706100</v>
      </c>
      <c r="D154" s="35">
        <v>-27128226</v>
      </c>
      <c r="E154" s="35">
        <v>-23490337</v>
      </c>
      <c r="F154" s="35">
        <v>-19649966</v>
      </c>
      <c r="G154" s="35">
        <v>-16006442</v>
      </c>
      <c r="H154" s="35">
        <v>-16271712</v>
      </c>
      <c r="I154" s="35">
        <v>-17057968</v>
      </c>
      <c r="J154" s="35">
        <v>-22436308</v>
      </c>
      <c r="K154" s="35">
        <v>-26962569</v>
      </c>
      <c r="L154" s="35">
        <v>-22267454</v>
      </c>
      <c r="M154" s="35">
        <v>-23875456</v>
      </c>
      <c r="N154" s="35">
        <v>-23645210</v>
      </c>
      <c r="O154" s="35">
        <v>-26331044</v>
      </c>
      <c r="P154" s="35">
        <v>-32871746</v>
      </c>
      <c r="Q154" s="35">
        <v>-26807139</v>
      </c>
      <c r="R154" s="35">
        <v>-23498555</v>
      </c>
      <c r="S154" s="35">
        <v>-20933771</v>
      </c>
      <c r="T154" s="35">
        <v>-18945271</v>
      </c>
      <c r="U154" s="35">
        <v>-19257840</v>
      </c>
      <c r="V154" s="35">
        <v>-26366411</v>
      </c>
      <c r="W154" s="35">
        <v>-29434276</v>
      </c>
      <c r="X154" s="35">
        <v>-26111902</v>
      </c>
      <c r="Y154" s="35">
        <v>-24935915</v>
      </c>
      <c r="Z154" s="35">
        <v>-24027793</v>
      </c>
      <c r="AA154" s="35">
        <v>-562019411</v>
      </c>
    </row>
    <row r="155" spans="1:27" ht="11.25" customHeight="1" x14ac:dyDescent="0.2">
      <c r="A155" s="38" t="s">
        <v>284</v>
      </c>
      <c r="C155" s="35">
        <v>-16491864</v>
      </c>
      <c r="D155" s="35">
        <v>-16667965</v>
      </c>
      <c r="E155" s="35">
        <v>-13703557</v>
      </c>
      <c r="F155" s="35">
        <v>-12409499</v>
      </c>
      <c r="G155" s="35">
        <v>-8831423</v>
      </c>
      <c r="H155" s="35">
        <v>-8803486</v>
      </c>
      <c r="I155" s="35">
        <v>-8868588</v>
      </c>
      <c r="J155" s="35">
        <v>-11076918</v>
      </c>
      <c r="K155" s="35">
        <v>-11724132</v>
      </c>
      <c r="L155" s="35">
        <v>-12727936</v>
      </c>
      <c r="M155" s="35">
        <v>-12467265</v>
      </c>
      <c r="N155" s="35">
        <v>-14152131</v>
      </c>
      <c r="O155" s="35">
        <v>-16344199</v>
      </c>
      <c r="P155" s="35">
        <v>-18376333</v>
      </c>
      <c r="Q155" s="35">
        <v>-14137545</v>
      </c>
      <c r="R155" s="35">
        <v>-14555863</v>
      </c>
      <c r="S155" s="35">
        <v>-10954400</v>
      </c>
      <c r="T155" s="35">
        <v>-10607194</v>
      </c>
      <c r="U155" s="35">
        <v>-9398106</v>
      </c>
      <c r="V155" s="35">
        <v>-12448010</v>
      </c>
      <c r="W155" s="35">
        <v>-13990162</v>
      </c>
      <c r="X155" s="35">
        <v>-13229912</v>
      </c>
      <c r="Y155" s="35">
        <v>-12869485</v>
      </c>
      <c r="Z155" s="35">
        <v>-15317277</v>
      </c>
      <c r="AA155" s="35">
        <v>-310153250</v>
      </c>
    </row>
    <row r="156" spans="1:27" ht="11.25" customHeight="1" x14ac:dyDescent="0.2">
      <c r="A156" s="47" t="s">
        <v>276</v>
      </c>
      <c r="B156" s="48"/>
      <c r="C156" s="13">
        <v>-40197964</v>
      </c>
      <c r="D156" s="13">
        <v>-43796191</v>
      </c>
      <c r="E156" s="13">
        <v>-37193894</v>
      </c>
      <c r="F156" s="13">
        <v>-32059465</v>
      </c>
      <c r="G156" s="13">
        <v>-24837865</v>
      </c>
      <c r="H156" s="13">
        <v>-25075198</v>
      </c>
      <c r="I156" s="13">
        <v>-25926556</v>
      </c>
      <c r="J156" s="13">
        <v>-33513226</v>
      </c>
      <c r="K156" s="13">
        <v>-38686701</v>
      </c>
      <c r="L156" s="13">
        <v>-34995390</v>
      </c>
      <c r="M156" s="13">
        <v>-36342721</v>
      </c>
      <c r="N156" s="13">
        <v>-37797341</v>
      </c>
      <c r="O156" s="13">
        <v>-42675243</v>
      </c>
      <c r="P156" s="13">
        <v>-51248079</v>
      </c>
      <c r="Q156" s="13">
        <v>-40944684</v>
      </c>
      <c r="R156" s="13">
        <v>-38054418</v>
      </c>
      <c r="S156" s="13">
        <v>-31888171</v>
      </c>
      <c r="T156" s="13">
        <v>-29552465</v>
      </c>
      <c r="U156" s="13">
        <v>-28655946</v>
      </c>
      <c r="V156" s="13">
        <v>-38814421</v>
      </c>
      <c r="W156" s="13">
        <v>-43424438</v>
      </c>
      <c r="X156" s="13">
        <v>-39341814</v>
      </c>
      <c r="Y156" s="13">
        <v>-37805400</v>
      </c>
      <c r="Z156" s="13">
        <v>-39345070</v>
      </c>
      <c r="AA156" s="14">
        <v>-872172661</v>
      </c>
    </row>
    <row r="158" spans="1:27" ht="12" customHeight="1" x14ac:dyDescent="0.2">
      <c r="A158" s="16" t="s">
        <v>285</v>
      </c>
    </row>
    <row r="159" spans="1:27" ht="11.25" customHeight="1" x14ac:dyDescent="0.2">
      <c r="A159" s="38" t="s">
        <v>286</v>
      </c>
      <c r="C159" s="17">
        <v>31.23</v>
      </c>
      <c r="D159" s="17">
        <v>33.119999999999997</v>
      </c>
      <c r="E159" s="17">
        <v>32.1</v>
      </c>
      <c r="F159" s="17">
        <v>30.57</v>
      </c>
      <c r="G159" s="17">
        <v>27.51</v>
      </c>
      <c r="H159" s="17">
        <v>27.51</v>
      </c>
      <c r="I159" s="17">
        <v>28.28</v>
      </c>
      <c r="J159" s="17">
        <v>42.8</v>
      </c>
      <c r="K159" s="17">
        <v>51.46</v>
      </c>
      <c r="L159" s="17">
        <v>41.78</v>
      </c>
      <c r="M159" s="17">
        <v>35.159999999999997</v>
      </c>
      <c r="N159" s="17">
        <v>37.700000000000003</v>
      </c>
      <c r="O159" s="17">
        <v>40.25</v>
      </c>
      <c r="P159" s="17">
        <v>42.03</v>
      </c>
      <c r="Q159" s="17">
        <v>38.979999999999997</v>
      </c>
      <c r="R159" s="17">
        <v>34.9</v>
      </c>
      <c r="S159" s="17">
        <v>32.86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287</v>
      </c>
      <c r="C160" s="17">
        <v>30.82</v>
      </c>
      <c r="D160" s="17">
        <v>32.46</v>
      </c>
      <c r="E160" s="17">
        <v>30.06</v>
      </c>
      <c r="F160" s="17">
        <v>30.06</v>
      </c>
      <c r="G160" s="17">
        <v>27.51</v>
      </c>
      <c r="H160" s="17">
        <v>27.51</v>
      </c>
      <c r="I160" s="17">
        <v>28.28</v>
      </c>
      <c r="J160" s="17">
        <v>42.8</v>
      </c>
      <c r="K160" s="17">
        <v>51.46</v>
      </c>
      <c r="L160" s="17">
        <v>41.78</v>
      </c>
      <c r="M160" s="17">
        <v>35.159999999999997</v>
      </c>
      <c r="N160" s="17">
        <v>37.700000000000003</v>
      </c>
      <c r="O160" s="17">
        <v>40.25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8" t="s">
        <v>288</v>
      </c>
      <c r="C161" s="18">
        <v>0.41</v>
      </c>
      <c r="D161" s="18">
        <v>0.65999999999999659</v>
      </c>
      <c r="E161" s="18">
        <v>2.04</v>
      </c>
      <c r="F161" s="18">
        <v>0.51000000000000156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0.25</v>
      </c>
      <c r="Q161" s="18">
        <v>0.25999999999999801</v>
      </c>
      <c r="R161" s="18">
        <v>0.25</v>
      </c>
      <c r="S161" s="18">
        <v>0.25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7"/>
    </row>
    <row r="163" spans="1:27" ht="11.25" customHeight="1" x14ac:dyDescent="0.2">
      <c r="A163" s="38" t="s">
        <v>289</v>
      </c>
      <c r="C163" s="17">
        <v>25.48</v>
      </c>
      <c r="D163" s="17">
        <v>28.02</v>
      </c>
      <c r="E163" s="17">
        <v>27.26</v>
      </c>
      <c r="F163" s="17">
        <v>24.61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290</v>
      </c>
      <c r="C164" s="17">
        <v>25.22</v>
      </c>
      <c r="D164" s="17">
        <v>28.02</v>
      </c>
      <c r="E164" s="17">
        <v>27</v>
      </c>
      <c r="F164" s="17">
        <v>24.46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291</v>
      </c>
      <c r="C165" s="18">
        <v>0.26000000000000156</v>
      </c>
      <c r="D165" s="18">
        <v>0</v>
      </c>
      <c r="E165" s="18">
        <v>0.26000000000000156</v>
      </c>
      <c r="F165" s="18">
        <v>0.14999999999999858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227</v>
      </c>
      <c r="D174" s="37" t="s">
        <v>231</v>
      </c>
      <c r="E174" s="37" t="s">
        <v>232</v>
      </c>
      <c r="F174" s="37" t="s">
        <v>233</v>
      </c>
      <c r="G174" s="37" t="s">
        <v>234</v>
      </c>
      <c r="H174" s="37" t="s">
        <v>235</v>
      </c>
      <c r="I174" s="37" t="s">
        <v>236</v>
      </c>
      <c r="J174" s="37" t="s">
        <v>237</v>
      </c>
      <c r="K174" s="37" t="s">
        <v>238</v>
      </c>
      <c r="L174" s="37" t="s">
        <v>239</v>
      </c>
      <c r="M174" s="37" t="s">
        <v>240</v>
      </c>
      <c r="N174" s="37" t="s">
        <v>241</v>
      </c>
      <c r="O174" s="37" t="s">
        <v>242</v>
      </c>
      <c r="P174" s="37" t="s">
        <v>243</v>
      </c>
      <c r="Q174" s="37" t="s">
        <v>244</v>
      </c>
      <c r="R174" s="37" t="s">
        <v>245</v>
      </c>
      <c r="S174" s="37" t="s">
        <v>246</v>
      </c>
      <c r="T174" s="37" t="s">
        <v>247</v>
      </c>
      <c r="U174" s="37" t="s">
        <v>248</v>
      </c>
      <c r="V174" s="37" t="s">
        <v>249</v>
      </c>
      <c r="W174" s="37" t="s">
        <v>250</v>
      </c>
      <c r="X174" s="37" t="s">
        <v>251</v>
      </c>
      <c r="Y174" s="37" t="s">
        <v>252</v>
      </c>
      <c r="Z174" s="37" t="s">
        <v>253</v>
      </c>
      <c r="AA174" s="37" t="s">
        <v>74</v>
      </c>
    </row>
    <row r="175" spans="1:27" ht="11.25" customHeight="1" x14ac:dyDescent="0.2">
      <c r="A175" s="38" t="s">
        <v>279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267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281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283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276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285</v>
      </c>
    </row>
    <row r="187" spans="1:27" ht="11.25" customHeight="1" x14ac:dyDescent="0.2">
      <c r="A187" s="38" t="s">
        <v>286</v>
      </c>
      <c r="C187" s="17">
        <v>27.3</v>
      </c>
      <c r="D187" s="17">
        <v>30.35</v>
      </c>
      <c r="E187" s="17">
        <v>30</v>
      </c>
      <c r="F187" s="17">
        <v>30</v>
      </c>
      <c r="G187" s="17">
        <v>30.25</v>
      </c>
      <c r="H187" s="17">
        <v>33.15</v>
      </c>
      <c r="I187" s="17">
        <v>40.75</v>
      </c>
      <c r="J187" s="17">
        <v>53.75</v>
      </c>
      <c r="K187" s="17">
        <v>62.5</v>
      </c>
      <c r="L187" s="17">
        <v>48.75</v>
      </c>
      <c r="M187" s="17">
        <v>36</v>
      </c>
      <c r="N187" s="17">
        <v>34</v>
      </c>
      <c r="O187" s="17">
        <v>37.5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287</v>
      </c>
      <c r="C188" s="17">
        <v>27</v>
      </c>
      <c r="D188" s="17">
        <v>29.95</v>
      </c>
      <c r="E188" s="17">
        <v>29.1</v>
      </c>
      <c r="F188" s="17">
        <v>29</v>
      </c>
      <c r="G188" s="17">
        <v>30</v>
      </c>
      <c r="H188" s="17">
        <v>32.85</v>
      </c>
      <c r="I188" s="17">
        <v>40.75</v>
      </c>
      <c r="J188" s="17">
        <v>53.25</v>
      </c>
      <c r="K188" s="17">
        <v>62</v>
      </c>
      <c r="L188" s="17">
        <v>48.25</v>
      </c>
      <c r="M188" s="17">
        <v>35.5</v>
      </c>
      <c r="N188" s="17">
        <v>33.5</v>
      </c>
      <c r="O188" s="17">
        <v>37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288</v>
      </c>
      <c r="C189" s="18">
        <v>0.30000000000000071</v>
      </c>
      <c r="D189" s="18">
        <v>0.40000000000000213</v>
      </c>
      <c r="E189" s="18">
        <v>0.89999999999999858</v>
      </c>
      <c r="F189" s="18">
        <v>1</v>
      </c>
      <c r="G189" s="18">
        <v>0.25</v>
      </c>
      <c r="H189" s="18">
        <v>0.29999999999999716</v>
      </c>
      <c r="I189" s="18">
        <v>0</v>
      </c>
      <c r="J189" s="18">
        <v>0.5</v>
      </c>
      <c r="K189" s="18">
        <v>0.5</v>
      </c>
      <c r="L189" s="18">
        <v>0.5</v>
      </c>
      <c r="M189" s="18">
        <v>0.5</v>
      </c>
      <c r="N189" s="18">
        <v>0.5</v>
      </c>
      <c r="O189" s="18">
        <v>0.5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289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291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295</v>
      </c>
      <c r="C202" s="37" t="s">
        <v>227</v>
      </c>
      <c r="D202" s="37" t="s">
        <v>231</v>
      </c>
      <c r="E202" s="37" t="s">
        <v>232</v>
      </c>
      <c r="F202" s="37" t="s">
        <v>233</v>
      </c>
      <c r="G202" s="37" t="s">
        <v>234</v>
      </c>
      <c r="H202" s="37" t="s">
        <v>235</v>
      </c>
      <c r="I202" s="37" t="s">
        <v>236</v>
      </c>
      <c r="J202" s="37" t="s">
        <v>237</v>
      </c>
      <c r="K202" s="37" t="s">
        <v>238</v>
      </c>
      <c r="L202" s="37" t="s">
        <v>239</v>
      </c>
      <c r="M202" s="37" t="s">
        <v>240</v>
      </c>
      <c r="N202" s="37" t="s">
        <v>241</v>
      </c>
      <c r="O202" s="37" t="s">
        <v>242</v>
      </c>
      <c r="P202" s="37" t="s">
        <v>243</v>
      </c>
      <c r="Q202" s="37" t="s">
        <v>244</v>
      </c>
      <c r="R202" s="37" t="s">
        <v>245</v>
      </c>
      <c r="S202" s="37" t="s">
        <v>246</v>
      </c>
      <c r="T202" s="37" t="s">
        <v>247</v>
      </c>
      <c r="U202" s="37" t="s">
        <v>248</v>
      </c>
      <c r="V202" s="37" t="s">
        <v>249</v>
      </c>
      <c r="W202" s="37" t="s">
        <v>250</v>
      </c>
      <c r="X202" s="37" t="s">
        <v>251</v>
      </c>
      <c r="Y202" s="37" t="s">
        <v>252</v>
      </c>
      <c r="Z202" s="37" t="s">
        <v>253</v>
      </c>
      <c r="AA202" s="37" t="s">
        <v>74</v>
      </c>
    </row>
    <row r="203" spans="1:27" ht="11.25" hidden="1" customHeight="1" x14ac:dyDescent="0.2">
      <c r="A203" s="38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267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276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285</v>
      </c>
    </row>
    <row r="215" spans="1:27" ht="11.25" hidden="1" customHeight="1" x14ac:dyDescent="0.2">
      <c r="A215" s="38" t="s">
        <v>286</v>
      </c>
      <c r="C215" s="17">
        <v>32.6</v>
      </c>
      <c r="D215" s="17">
        <v>34.49</v>
      </c>
      <c r="E215" s="17">
        <v>33.47</v>
      </c>
      <c r="F215" s="17">
        <v>31.94</v>
      </c>
      <c r="G215" s="17">
        <v>28.88</v>
      </c>
      <c r="H215" s="17">
        <v>28.88</v>
      </c>
      <c r="I215" s="17">
        <v>29.65</v>
      </c>
      <c r="J215" s="17">
        <v>44.17</v>
      </c>
      <c r="K215" s="17">
        <v>52.83</v>
      </c>
      <c r="L215" s="17">
        <v>43.15</v>
      </c>
      <c r="M215" s="17">
        <v>36.53</v>
      </c>
      <c r="N215" s="17">
        <v>39.07</v>
      </c>
      <c r="O215" s="17">
        <v>41.62</v>
      </c>
      <c r="P215" s="17">
        <v>43.4</v>
      </c>
      <c r="Q215" s="17">
        <v>41.35</v>
      </c>
      <c r="R215" s="17">
        <v>37.270000000000003</v>
      </c>
      <c r="S215" s="17">
        <v>35.229999999999997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287</v>
      </c>
      <c r="C216" s="17">
        <v>32.19</v>
      </c>
      <c r="D216" s="17">
        <v>33.83</v>
      </c>
      <c r="E216" s="17">
        <v>31.43</v>
      </c>
      <c r="F216" s="17">
        <v>31.43</v>
      </c>
      <c r="G216" s="17">
        <v>28.88</v>
      </c>
      <c r="H216" s="17">
        <v>28.88</v>
      </c>
      <c r="I216" s="17">
        <v>29.65</v>
      </c>
      <c r="J216" s="17">
        <v>44.17</v>
      </c>
      <c r="K216" s="17">
        <v>52.83</v>
      </c>
      <c r="L216" s="17">
        <v>43.15</v>
      </c>
      <c r="M216" s="17">
        <v>36.53</v>
      </c>
      <c r="N216" s="17">
        <v>39.07</v>
      </c>
      <c r="O216" s="17">
        <v>41.62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8" t="s">
        <v>288</v>
      </c>
      <c r="C217" s="18">
        <v>0.41000000000000369</v>
      </c>
      <c r="D217" s="18">
        <v>0.66000000000000369</v>
      </c>
      <c r="E217" s="18">
        <v>2.04</v>
      </c>
      <c r="F217" s="18">
        <v>0.51000000000000156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0.25</v>
      </c>
      <c r="Q217" s="18">
        <v>0.25999999999999801</v>
      </c>
      <c r="R217" s="18">
        <v>0.25</v>
      </c>
      <c r="S217" s="18">
        <v>0.25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289</v>
      </c>
      <c r="C219" s="17">
        <v>26.85</v>
      </c>
      <c r="D219" s="17">
        <v>29.39</v>
      </c>
      <c r="E219" s="17">
        <v>28.63</v>
      </c>
      <c r="F219" s="17">
        <v>25.98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290</v>
      </c>
      <c r="C220" s="17">
        <v>26.59</v>
      </c>
      <c r="D220" s="17">
        <v>29.39</v>
      </c>
      <c r="E220" s="17">
        <v>28.37</v>
      </c>
      <c r="F220" s="17">
        <v>25.83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291</v>
      </c>
      <c r="C221" s="18">
        <v>0.26000000000000156</v>
      </c>
      <c r="D221" s="18">
        <v>0</v>
      </c>
      <c r="E221" s="18">
        <v>0.25999999999999801</v>
      </c>
      <c r="F221" s="18">
        <v>0.15000000000000213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2001-11-20T23:25:51Z</cp:lastPrinted>
  <dcterms:created xsi:type="dcterms:W3CDTF">2001-06-07T23:43:10Z</dcterms:created>
  <dcterms:modified xsi:type="dcterms:W3CDTF">2023-09-14T18:17:56Z</dcterms:modified>
</cp:coreProperties>
</file>