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2703B3-E8F7-493A-AA96-0A07AD48102D}" xr6:coauthVersionLast="47" xr6:coauthVersionMax="47" xr10:uidLastSave="{00000000-0000-0000-0000-000000000000}"/>
  <bookViews>
    <workbookView xWindow="-120" yWindow="-120" windowWidth="38640" windowHeight="15720"/>
  </bookViews>
  <sheets>
    <sheet name="Existing volumes" sheetId="14" r:id="rId1"/>
    <sheet name="Red Rock" sheetId="19" r:id="rId2"/>
    <sheet name="WOT by Month" sheetId="9" r:id="rId3"/>
    <sheet name="SJ by Month" sheetId="11" r:id="rId4"/>
    <sheet name="IG-BL by Month" sheetId="12" r:id="rId5"/>
    <sheet name="EOT by Month" sheetId="13" r:id="rId6"/>
    <sheet name="WOT revenue" sheetId="15" r:id="rId7"/>
    <sheet name="SJ revenue" sheetId="16" r:id="rId8"/>
    <sheet name="IG-BL revenue" sheetId="17" r:id="rId9"/>
    <sheet name="EOT revenue" sheetId="18" r:id="rId10"/>
  </sheets>
  <externalReferences>
    <externalReference r:id="rId11"/>
  </externalReferences>
  <definedNames>
    <definedName name="_xlnm.Print_Area" localSheetId="5">'EOT by Month'!$K$1:$BH$38</definedName>
    <definedName name="_xlnm.Print_Area" localSheetId="9">'EOT revenue'!$K$1:$BH$36</definedName>
    <definedName name="_xlnm.Print_Area" localSheetId="0">'Existing volumes'!$A$1:$I$22</definedName>
    <definedName name="_xlnm.Print_Area" localSheetId="4">'IG-BL by Month'!$A$2:$BH$55</definedName>
    <definedName name="_xlnm.Print_Area" localSheetId="8">'IG-BL revenue'!$A$2:$BH$40</definedName>
    <definedName name="_xlnm.Print_Area" localSheetId="3">'SJ by Month'!$A$2:$BH$48</definedName>
    <definedName name="_xlnm.Print_Area" localSheetId="7">'SJ revenue'!$A$2:$BH$39</definedName>
    <definedName name="_xlnm.Print_Area" localSheetId="2">'WOT by Month'!$A$1:$BV$60</definedName>
    <definedName name="_xlnm.Print_Area" localSheetId="6">'WOT revenue'!$A$1:$BV$51</definedName>
    <definedName name="_xlnm.Print_Titles" localSheetId="5">'EOT by Month'!$A:$H</definedName>
    <definedName name="_xlnm.Print_Titles" localSheetId="9">'EOT revenue'!$A:$H</definedName>
    <definedName name="_xlnm.Print_Titles" localSheetId="4">'IG-BL by Month'!$A:$J,'IG-BL by Month'!$1:$9</definedName>
    <definedName name="_xlnm.Print_Titles" localSheetId="8">'IG-BL revenue'!$A:$J,'IG-BL revenue'!$1:$9</definedName>
    <definedName name="_xlnm.Print_Titles" localSheetId="3">'SJ by Month'!$A:$H,'SJ by Month'!$1:$9</definedName>
    <definedName name="_xlnm.Print_Titles" localSheetId="7">'SJ revenue'!$A:$H,'SJ revenue'!$1:$9</definedName>
    <definedName name="_xlnm.Print_Titles" localSheetId="2">'WOT by Month'!$A:$F,'WOT by Month'!$1:$9</definedName>
    <definedName name="_xlnm.Print_Titles" localSheetId="6">'WOT revenue'!$A:$F,'WOT revenue'!$1:$9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2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E20" i="14"/>
  <c r="F20" i="14"/>
  <c r="G20" i="14"/>
  <c r="H20" i="14"/>
  <c r="I20" i="14"/>
  <c r="E21" i="14"/>
  <c r="F21" i="14"/>
  <c r="G21" i="14"/>
  <c r="H21" i="14"/>
  <c r="I21" i="14"/>
  <c r="D22" i="14"/>
  <c r="E22" i="14"/>
  <c r="F22" i="14"/>
  <c r="G22" i="14"/>
  <c r="H22" i="14"/>
  <c r="I22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C18" i="19"/>
  <c r="E20" i="19"/>
  <c r="F20" i="19"/>
  <c r="G20" i="19"/>
  <c r="H20" i="19"/>
  <c r="I20" i="19"/>
  <c r="J20" i="19"/>
  <c r="K20" i="19"/>
  <c r="L20" i="19"/>
  <c r="M20" i="19"/>
  <c r="C21" i="19"/>
  <c r="E21" i="19"/>
  <c r="F21" i="19"/>
  <c r="G21" i="19"/>
  <c r="H21" i="19"/>
  <c r="I21" i="19"/>
  <c r="J21" i="19"/>
  <c r="K21" i="19"/>
  <c r="L21" i="19"/>
  <c r="M21" i="19"/>
  <c r="C22" i="19"/>
  <c r="E22" i="19"/>
  <c r="F22" i="19"/>
  <c r="G22" i="19"/>
  <c r="H22" i="19"/>
  <c r="I22" i="19"/>
  <c r="J22" i="19"/>
  <c r="K22" i="19"/>
  <c r="L22" i="19"/>
  <c r="M22" i="19"/>
  <c r="C23" i="19"/>
  <c r="E23" i="19"/>
  <c r="F23" i="19"/>
  <c r="G23" i="19"/>
  <c r="H23" i="19"/>
  <c r="I23" i="19"/>
  <c r="J23" i="19"/>
  <c r="K23" i="19"/>
  <c r="L23" i="19"/>
  <c r="M23" i="19"/>
  <c r="C24" i="19"/>
  <c r="E24" i="19"/>
  <c r="F24" i="19"/>
  <c r="G24" i="19"/>
  <c r="H24" i="19"/>
  <c r="I24" i="19"/>
  <c r="J24" i="19"/>
  <c r="K24" i="19"/>
  <c r="L24" i="19"/>
  <c r="M24" i="19"/>
  <c r="C25" i="19"/>
  <c r="E25" i="19"/>
  <c r="F25" i="19"/>
  <c r="G25" i="19"/>
  <c r="H25" i="19"/>
  <c r="I25" i="19"/>
  <c r="J25" i="19"/>
  <c r="K25" i="19"/>
  <c r="L25" i="19"/>
  <c r="M25" i="19"/>
  <c r="C26" i="19"/>
  <c r="E26" i="19"/>
  <c r="G26" i="19"/>
  <c r="H26" i="19"/>
  <c r="I26" i="19"/>
  <c r="J26" i="19"/>
  <c r="K26" i="19"/>
  <c r="L26" i="19"/>
  <c r="M26" i="19"/>
  <c r="E27" i="19"/>
  <c r="E28" i="19"/>
  <c r="F28" i="19"/>
  <c r="C29" i="19"/>
  <c r="E29" i="19"/>
  <c r="F29" i="19"/>
  <c r="G29" i="19"/>
  <c r="H29" i="19"/>
  <c r="I29" i="19"/>
  <c r="J29" i="19"/>
  <c r="K29" i="19"/>
  <c r="L29" i="19"/>
  <c r="M29" i="19"/>
  <c r="C30" i="19"/>
  <c r="E30" i="19"/>
  <c r="F30" i="19"/>
  <c r="G30" i="19"/>
  <c r="H30" i="19"/>
  <c r="I30" i="19"/>
  <c r="J30" i="19"/>
  <c r="K30" i="19"/>
  <c r="L30" i="19"/>
  <c r="M30" i="19"/>
  <c r="C31" i="19"/>
  <c r="E31" i="19"/>
  <c r="F31" i="19"/>
  <c r="G31" i="19"/>
  <c r="H31" i="19"/>
  <c r="I31" i="19"/>
  <c r="J31" i="19"/>
  <c r="K31" i="19"/>
  <c r="L31" i="19"/>
  <c r="M31" i="19"/>
  <c r="C32" i="19"/>
  <c r="E32" i="19"/>
  <c r="F32" i="19"/>
  <c r="G32" i="19"/>
  <c r="H32" i="19"/>
  <c r="I32" i="19"/>
  <c r="J32" i="19"/>
  <c r="K32" i="19"/>
  <c r="L32" i="19"/>
  <c r="M32" i="19"/>
  <c r="C34" i="19"/>
  <c r="E34" i="19"/>
  <c r="F34" i="19"/>
  <c r="G34" i="19"/>
  <c r="H34" i="19"/>
  <c r="I34" i="19"/>
  <c r="J34" i="19"/>
  <c r="K34" i="19"/>
  <c r="L34" i="19"/>
  <c r="M34" i="19"/>
  <c r="C37" i="19"/>
  <c r="E37" i="19"/>
  <c r="F37" i="19"/>
  <c r="G37" i="19"/>
  <c r="H37" i="19"/>
  <c r="I37" i="19"/>
  <c r="J37" i="19"/>
  <c r="K37" i="19"/>
  <c r="L37" i="19"/>
  <c r="M37" i="19"/>
  <c r="C38" i="19"/>
  <c r="E38" i="19"/>
  <c r="F38" i="19"/>
  <c r="G38" i="19"/>
  <c r="H38" i="19"/>
  <c r="I38" i="19"/>
  <c r="J38" i="19"/>
  <c r="K38" i="19"/>
  <c r="L38" i="19"/>
  <c r="M38" i="19"/>
  <c r="C39" i="19"/>
  <c r="E39" i="19"/>
  <c r="F39" i="19"/>
  <c r="G39" i="19"/>
  <c r="H39" i="19"/>
  <c r="I39" i="19"/>
  <c r="J39" i="19"/>
  <c r="K39" i="19"/>
  <c r="L39" i="19"/>
  <c r="M39" i="19"/>
  <c r="C40" i="19"/>
  <c r="E40" i="19"/>
  <c r="F40" i="19"/>
  <c r="G40" i="19"/>
  <c r="H40" i="19"/>
  <c r="I40" i="19"/>
  <c r="J40" i="19"/>
  <c r="K40" i="19"/>
  <c r="L40" i="19"/>
  <c r="M40" i="19"/>
  <c r="C41" i="19"/>
  <c r="E41" i="19"/>
  <c r="F41" i="19"/>
  <c r="G41" i="19"/>
  <c r="H41" i="19"/>
  <c r="I41" i="19"/>
  <c r="J41" i="19"/>
  <c r="K41" i="19"/>
  <c r="L41" i="19"/>
  <c r="M41" i="19"/>
  <c r="C42" i="19"/>
  <c r="E42" i="19"/>
  <c r="F42" i="19"/>
  <c r="G42" i="19"/>
  <c r="H42" i="19"/>
  <c r="I42" i="19"/>
  <c r="J42" i="19"/>
  <c r="K42" i="19"/>
  <c r="L42" i="19"/>
  <c r="M42" i="19"/>
  <c r="C43" i="19"/>
  <c r="E43" i="19"/>
  <c r="F43" i="19"/>
  <c r="G43" i="19"/>
  <c r="H43" i="19"/>
  <c r="I43" i="19"/>
  <c r="J43" i="19"/>
  <c r="K43" i="19"/>
  <c r="L43" i="19"/>
  <c r="M43" i="19"/>
  <c r="C44" i="19"/>
  <c r="E44" i="19"/>
  <c r="F44" i="19"/>
  <c r="G44" i="19"/>
  <c r="H44" i="19"/>
  <c r="I44" i="19"/>
  <c r="J44" i="19"/>
  <c r="K44" i="19"/>
  <c r="L44" i="19"/>
  <c r="M44" i="19"/>
  <c r="C45" i="19"/>
  <c r="E45" i="19"/>
  <c r="F45" i="19"/>
  <c r="G45" i="19"/>
  <c r="H45" i="19"/>
  <c r="I45" i="19"/>
  <c r="J45" i="19"/>
  <c r="K45" i="19"/>
  <c r="L45" i="19"/>
  <c r="M45" i="19"/>
  <c r="C46" i="19"/>
  <c r="E46" i="19"/>
  <c r="F46" i="19"/>
  <c r="G46" i="19"/>
  <c r="H46" i="19"/>
  <c r="I46" i="19"/>
  <c r="J46" i="19"/>
  <c r="K46" i="19"/>
  <c r="L46" i="19"/>
  <c r="M46" i="19"/>
  <c r="C47" i="19"/>
  <c r="E47" i="19"/>
  <c r="F47" i="19"/>
  <c r="G47" i="19"/>
  <c r="H47" i="19"/>
  <c r="I47" i="19"/>
  <c r="J47" i="19"/>
  <c r="K47" i="19"/>
  <c r="L47" i="19"/>
  <c r="M47" i="19"/>
  <c r="C48" i="19"/>
  <c r="E48" i="19"/>
  <c r="F48" i="19"/>
  <c r="G48" i="19"/>
  <c r="H48" i="19"/>
  <c r="I48" i="19"/>
  <c r="J48" i="19"/>
  <c r="K48" i="19"/>
  <c r="L48" i="19"/>
  <c r="M48" i="19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<sst xmlns="http://schemas.openxmlformats.org/spreadsheetml/2006/main" count="650" uniqueCount="128">
  <si>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</si>
  <si>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</si>
  <si>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</si>
  <si>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</si>
  <si>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</si>
  <si>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</si>
  <si>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</si>
  <si>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</si>
  <si>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</si>
  <si>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</si>
  <si>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</si>
  <si>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</si>
  <si>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</si>
  <si>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</si>
  <si>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</si>
  <si>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</si>
  <si>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</si>
  <si>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</si>
  <si>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</si>
  <si>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</si>
  <si>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</si>
  <si>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</si>
  <si>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</si>
  <si>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</si>
  <si>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</si>
  <si>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</si>
  <si>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</si>
  <si>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</si>
  <si>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</si>
  <si>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</si>
  <si>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</si>
  <si>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</si>
  <si>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</si>
  <si>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</si>
  <si>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</si>
  <si>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</si>
  <si>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</si>
  <si>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</si>
  <si>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</si>
  <si>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</si>
  <si>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</si>
  <si>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</si>
  <si>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</si>
  <si>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</si>
  <si>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</si>
  <si>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</si>
  <si>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</si>
  <si>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</si>
  <si>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</si>
  <si>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</si>
  <si>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</si>
  <si>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</si>
  <si>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</si>
  <si>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</si>
  <si>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</si>
  <si>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</si>
  <si>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</si>
  <si>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</si>
  <si>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</si>
  <si>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</si>
  <si>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</si>
  <si>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</si>
  <si>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</si>
  <si>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</si>
  <si>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</si>
  <si>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</si>
  <si>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</si>
  <si>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</si>
  <si>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</si>
  <si>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</si>
  <si>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</si>
  <si>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</si>
  <si>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</si>
  <si>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</si>
  <si>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</si>
  <si>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</si>
  <si>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</si>
  <si>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</si>
  <si>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</si>
  <si>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</si>
  <si>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</si>
  <si>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</si>
  <si>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</si>
  <si>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</si>
  <si>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</si>
  <si>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</si>
  <si>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</si>
  <si>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</si>
  <si>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</si>
  <si>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</si>
  <si>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</si>
  <si>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</si>
  <si>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</si>
  <si>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</si>
  <si>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</si>
  <si>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</si>
  <si>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</si>
  <si>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</si>
  <si>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</si>
  <si>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</si>
  <si>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</si>
  <si>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</si>
  <si>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</si>
  <si>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</si>
  <si>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</si>
  <si>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</si>
  <si>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</si>
  <si>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</si>
  <si>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</si>
  <si>
    <t>Red Rock</t>
  </si>
  <si>
    <t>Transwestern Red Rock Expansion, June 2002</t>
  </si>
  <si>
    <t>Binding?</t>
  </si>
  <si>
    <t>$Bid/mmbtu</t>
  </si>
  <si>
    <t>Term</t>
  </si>
  <si>
    <t>Volume</t>
  </si>
  <si>
    <t>WGR</t>
  </si>
  <si>
    <t>Frito Lay</t>
  </si>
  <si>
    <t>US Gypsum</t>
  </si>
  <si>
    <t>Oneok</t>
  </si>
  <si>
    <t>PPL</t>
  </si>
  <si>
    <t xml:space="preserve"> </t>
  </si>
  <si>
    <t>Total capacity day</t>
  </si>
  <si>
    <t>Total capacity year</t>
  </si>
  <si>
    <t>Volumes per year</t>
  </si>
  <si>
    <t>Contracted capacity</t>
  </si>
  <si>
    <t>Revenues per year</t>
  </si>
  <si>
    <t>(1)</t>
  </si>
  <si>
    <t>(1) 2002 based on 7 months of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</si>
</sst>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8" formatCode="#,##0.0000"/>
    <numFmt numFmtId="180" formatCode="&quot;$&quot;#,##0"/>
    <numFmt numFmtId="184" formatCode="&quot;$&quot;#,##0.000"/>
    <numFmt numFmtId="186" formatCode="&quot;$&quot;#,##0.0000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1" xfId="0" applyFont="1" applyBorder="1"/>
    <xf numFmtId="0" fontId="6" fillId="0" borderId="0" xfId="0" applyFont="1" applyBorder="1"/>
    <xf numFmtId="10" fontId="6" fillId="0" borderId="0" xfId="3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37" fontId="0" fillId="0" borderId="0" xfId="0" applyNumberFormat="1" applyAlignment="1">
      <alignment horizontal="right"/>
    </xf>
    <xf numFmtId="0" fontId="25" fillId="0" borderId="0" xfId="2" applyFont="1" applyBorder="1"/>
    <xf numFmtId="0" fontId="26" fillId="0" borderId="0" xfId="2" applyFont="1" applyBorder="1" applyAlignment="1">
      <alignment horizontal="right"/>
    </xf>
    <xf numFmtId="0" fontId="26" fillId="0" borderId="0" xfId="2" applyFont="1" applyAlignment="1">
      <alignment horizontal="right"/>
    </xf>
    <xf numFmtId="0" fontId="26" fillId="0" borderId="0" xfId="2" applyFont="1"/>
    <xf numFmtId="0" fontId="6" fillId="0" borderId="0" xfId="2" applyBorder="1"/>
    <xf numFmtId="0" fontId="6" fillId="0" borderId="0" xfId="2" applyBorder="1" applyAlignment="1">
      <alignment horizontal="right"/>
    </xf>
    <xf numFmtId="0" fontId="6" fillId="0" borderId="0" xfId="2" applyAlignment="1">
      <alignment horizontal="right"/>
    </xf>
    <xf numFmtId="0" fontId="6" fillId="0" borderId="0" xfId="2"/>
    <xf numFmtId="0" fontId="27" fillId="0" borderId="0" xfId="2" applyFont="1" applyBorder="1" applyAlignment="1">
      <alignment horizontal="center"/>
    </xf>
    <xf numFmtId="0" fontId="27" fillId="0" borderId="0" xfId="2" applyFont="1" applyBorder="1" applyAlignment="1">
      <alignment horizontal="right"/>
    </xf>
    <xf numFmtId="0" fontId="27" fillId="0" borderId="0" xfId="2" applyFont="1" applyAlignment="1">
      <alignment horizontal="right"/>
    </xf>
    <xf numFmtId="0" fontId="27" fillId="0" borderId="0" xfId="2" applyFont="1" applyAlignment="1">
      <alignment horizontal="center"/>
    </xf>
    <xf numFmtId="0" fontId="6" fillId="0" borderId="0" xfId="2" applyBorder="1" applyAlignment="1">
      <alignment horizontal="center"/>
    </xf>
    <xf numFmtId="184" fontId="6" fillId="0" borderId="0" xfId="2" applyNumberFormat="1" applyBorder="1" applyAlignment="1">
      <alignment horizontal="right"/>
    </xf>
    <xf numFmtId="14" fontId="6" fillId="0" borderId="0" xfId="2" applyNumberFormat="1" applyBorder="1" applyAlignment="1">
      <alignment horizontal="right"/>
    </xf>
    <xf numFmtId="37" fontId="6" fillId="0" borderId="0" xfId="1" applyNumberFormat="1" applyFont="1" applyBorder="1" applyAlignment="1">
      <alignment horizontal="right"/>
    </xf>
    <xf numFmtId="0" fontId="6" fillId="0" borderId="0" xfId="2" applyFill="1" applyBorder="1"/>
    <xf numFmtId="37" fontId="6" fillId="0" borderId="0" xfId="1" applyNumberFormat="1" applyFont="1" applyFill="1" applyBorder="1" applyAlignment="1">
      <alignment horizontal="right"/>
    </xf>
    <xf numFmtId="37" fontId="6" fillId="0" borderId="0" xfId="2" applyNumberFormat="1" applyBorder="1" applyAlignment="1">
      <alignment horizontal="right"/>
    </xf>
    <xf numFmtId="0" fontId="18" fillId="0" borderId="0" xfId="2" applyFont="1" applyFill="1" applyBorder="1"/>
    <xf numFmtId="14" fontId="18" fillId="0" borderId="0" xfId="2" applyNumberFormat="1" applyFont="1" applyAlignment="1">
      <alignment horizontal="right"/>
    </xf>
    <xf numFmtId="14" fontId="18" fillId="0" borderId="0" xfId="2" applyNumberFormat="1" applyFont="1"/>
    <xf numFmtId="37" fontId="6" fillId="0" borderId="0" xfId="2" applyNumberFormat="1" applyBorder="1"/>
    <xf numFmtId="37" fontId="6" fillId="0" borderId="0" xfId="2" applyNumberFormat="1"/>
    <xf numFmtId="37" fontId="17" fillId="0" borderId="0" xfId="2" applyNumberFormat="1" applyFont="1" applyBorder="1" applyAlignment="1">
      <alignment horizontal="right"/>
    </xf>
    <xf numFmtId="37" fontId="6" fillId="0" borderId="1" xfId="2" applyNumberFormat="1" applyFont="1" applyBorder="1" applyAlignment="1">
      <alignment horizontal="right"/>
    </xf>
    <xf numFmtId="37" fontId="17" fillId="0" borderId="1" xfId="2" applyNumberFormat="1" applyFont="1" applyBorder="1" applyAlignment="1">
      <alignment horizontal="right"/>
    </xf>
    <xf numFmtId="37" fontId="6" fillId="0" borderId="0" xfId="2" applyNumberFormat="1" applyFont="1" applyBorder="1"/>
    <xf numFmtId="0" fontId="2" fillId="0" borderId="0" xfId="2" applyFont="1" applyFill="1" applyBorder="1"/>
    <xf numFmtId="37" fontId="6" fillId="0" borderId="0" xfId="2" applyNumberFormat="1" applyAlignment="1">
      <alignment horizontal="right"/>
    </xf>
    <xf numFmtId="0" fontId="2" fillId="0" borderId="0" xfId="2" applyFont="1"/>
    <xf numFmtId="10" fontId="2" fillId="0" borderId="0" xfId="3" applyNumberFormat="1" applyFont="1" applyAlignment="1">
      <alignment horizontal="right"/>
    </xf>
    <xf numFmtId="0" fontId="2" fillId="0" borderId="0" xfId="2" applyFont="1" applyBorder="1"/>
    <xf numFmtId="10" fontId="2" fillId="0" borderId="0" xfId="3" applyNumberFormat="1" applyFont="1" applyBorder="1"/>
    <xf numFmtId="37" fontId="2" fillId="0" borderId="0" xfId="2" applyNumberFormat="1" applyFont="1" applyBorder="1"/>
    <xf numFmtId="0" fontId="18" fillId="0" borderId="0" xfId="2" applyFont="1"/>
    <xf numFmtId="180" fontId="6" fillId="0" borderId="0" xfId="2" applyNumberFormat="1" applyAlignment="1">
      <alignment horizontal="right"/>
    </xf>
    <xf numFmtId="37" fontId="6" fillId="0" borderId="1" xfId="2" applyNumberFormat="1" applyBorder="1" applyAlignment="1">
      <alignment horizontal="right"/>
    </xf>
    <xf numFmtId="37" fontId="17" fillId="0" borderId="0" xfId="2" applyNumberFormat="1" applyFont="1" applyAlignment="1">
      <alignment horizontal="right"/>
    </xf>
    <xf numFmtId="37" fontId="20" fillId="0" borderId="0" xfId="2" applyNumberFormat="1" applyFont="1" applyAlignment="1">
      <alignment horizontal="right"/>
    </xf>
    <xf numFmtId="3" fontId="28" fillId="0" borderId="1" xfId="0" applyNumberFormat="1" applyFont="1" applyBorder="1"/>
    <xf numFmtId="180" fontId="28" fillId="0" borderId="0" xfId="0" applyNumberFormat="1" applyFont="1"/>
    <xf numFmtId="3" fontId="28" fillId="0" borderId="0" xfId="0" applyNumberFormat="1" applyFont="1"/>
    <xf numFmtId="3" fontId="28" fillId="0" borderId="0" xfId="0" applyNumberFormat="1" applyFont="1" applyBorder="1"/>
    <xf numFmtId="3" fontId="24" fillId="0" borderId="0" xfId="0" applyNumberFormat="1" applyFont="1"/>
    <xf numFmtId="3" fontId="24" fillId="0" borderId="0" xfId="0" applyNumberFormat="1" applyFont="1" applyBorder="1"/>
    <xf numFmtId="3" fontId="24" fillId="0" borderId="1" xfId="0" applyNumberFormat="1" applyFont="1" applyBorder="1"/>
    <xf numFmtId="14" fontId="18" fillId="0" borderId="0" xfId="2" quotePrefix="1" applyNumberFormat="1" applyFont="1" applyAlignment="1">
      <alignment horizontal="left"/>
    </xf>
    <xf numFmtId="0" fontId="6" fillId="0" borderId="0" xfId="2" quotePrefix="1"/>
  </cellXfs>
  <cellStyles count="4">
    <cellStyle name="Comma" xfId="1" builtinId="3"/>
    <cellStyle name="Normal" xfId="0" builtinId="0"/>
    <cellStyle name="Normal_Red Rock contracted volum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tabSelected="1" zoomScale="80" zoomScaleNormal="80" workbookViewId="0"/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9" width="13" style="92" bestFit="1" customWidth="1"/>
    <col min="10" max="16384" width="9.140625" style="92"/>
  </cols>
  <sheetData>
    <row r="1" spans="1:9" s="18" customFormat="1" ht="15.75" x14ac:dyDescent="0.25">
      <c r="A1" s="40" t="s">
        <v>108</v>
      </c>
    </row>
    <row r="2" spans="1:9" ht="15.75" x14ac:dyDescent="0.25">
      <c r="A2" s="40" t="s">
        <v>107</v>
      </c>
    </row>
    <row r="4" spans="1:9" x14ac:dyDescent="0.2">
      <c r="A4" s="18" t="s">
        <v>104</v>
      </c>
    </row>
    <row r="5" spans="1:9" x14ac:dyDescent="0.2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">
      <c r="A6" s="92" t="s">
        <v>95</v>
      </c>
      <c r="B6" s="155">
        <v>1090000</v>
      </c>
      <c r="E6" s="153">
        <f>'WOT by Month'!Z53</f>
        <v>1062125</v>
      </c>
      <c r="F6" s="153">
        <f>'WOT by Month'!AL53</f>
        <v>1012833.3333333334</v>
      </c>
      <c r="G6" s="153">
        <f>'WOT by Month'!AX53</f>
        <v>976583.33333333337</v>
      </c>
      <c r="H6" s="153">
        <f>'WOT by Month'!BJ53</f>
        <v>830066.66666666663</v>
      </c>
      <c r="I6" s="153">
        <f>'WOT by Month'!BV53</f>
        <v>377733.33333333331</v>
      </c>
    </row>
    <row r="7" spans="1:9" x14ac:dyDescent="0.2">
      <c r="A7" s="92" t="s">
        <v>97</v>
      </c>
      <c r="B7" s="155">
        <v>850000</v>
      </c>
      <c r="E7" s="153">
        <f>'SJ by Month'!Z39</f>
        <v>821029.33333333337</v>
      </c>
      <c r="F7" s="153">
        <f>'SJ by Month'!AL39</f>
        <v>838946</v>
      </c>
      <c r="G7" s="153">
        <f>'SJ by Month'!AX39</f>
        <v>837279.33333333337</v>
      </c>
      <c r="H7" s="153">
        <f>'SJ by Month'!BJ39</f>
        <v>787946</v>
      </c>
      <c r="I7" s="153">
        <f>'SJ by Month'!BV39</f>
        <v>723446</v>
      </c>
    </row>
    <row r="8" spans="1:9" x14ac:dyDescent="0.2">
      <c r="A8" s="92" t="s">
        <v>98</v>
      </c>
      <c r="B8" s="155">
        <v>476000</v>
      </c>
      <c r="E8" s="153">
        <f>'IG-BL by Month'!Z35</f>
        <v>446000</v>
      </c>
      <c r="F8" s="153">
        <f>'IG-BL by Month'!AL35</f>
        <v>392500</v>
      </c>
      <c r="G8" s="153">
        <f>'IG-BL by Month'!AX35</f>
        <v>100416.66666666667</v>
      </c>
      <c r="H8" s="153">
        <f>'IG-BL by Month'!BJ35</f>
        <v>90000</v>
      </c>
      <c r="I8" s="153">
        <f>'IG-BL by Month'!BV35</f>
        <v>62500</v>
      </c>
    </row>
    <row r="9" spans="1:9" x14ac:dyDescent="0.2">
      <c r="A9" s="92" t="s">
        <v>99</v>
      </c>
      <c r="B9" s="155">
        <v>205000</v>
      </c>
      <c r="C9" s="95"/>
      <c r="E9" s="153">
        <f>'IG-BL by Month'!Z54</f>
        <v>176000</v>
      </c>
      <c r="F9" s="153">
        <f>'IG-BL by Month'!AL54</f>
        <v>162500</v>
      </c>
      <c r="G9" s="153">
        <f>'IG-BL by Month'!AX54</f>
        <v>162500</v>
      </c>
      <c r="H9" s="153">
        <f>'IG-BL by Month'!BJ54</f>
        <v>162500</v>
      </c>
      <c r="I9" s="153">
        <f>'IG-BL by Month'!BV54</f>
        <v>1041.6666666666667</v>
      </c>
    </row>
    <row r="10" spans="1:9" x14ac:dyDescent="0.2">
      <c r="A10" s="92" t="s">
        <v>100</v>
      </c>
      <c r="B10" s="156">
        <v>850000</v>
      </c>
      <c r="C10" s="95"/>
      <c r="D10" s="95"/>
      <c r="E10" s="154">
        <f>'EOT by Month'!Z28</f>
        <v>684611.13333333319</v>
      </c>
      <c r="F10" s="154">
        <f>'EOT by Month'!AL28</f>
        <v>681902.79999999993</v>
      </c>
      <c r="G10" s="154">
        <f>'EOT by Month'!AX28</f>
        <v>681902.79999999993</v>
      </c>
      <c r="H10" s="154">
        <f>'EOT by Month'!BJ28</f>
        <v>584117.13333333319</v>
      </c>
      <c r="I10" s="154">
        <f>'EOT by Month'!BV28</f>
        <v>95188.800000000032</v>
      </c>
    </row>
    <row r="11" spans="1:9" x14ac:dyDescent="0.2">
      <c r="A11" s="92" t="s">
        <v>109</v>
      </c>
      <c r="B11" s="157">
        <v>107000</v>
      </c>
      <c r="C11" s="95"/>
      <c r="D11" s="94"/>
      <c r="E11" s="151">
        <v>106700</v>
      </c>
      <c r="F11" s="151">
        <v>105533.33333333334</v>
      </c>
      <c r="G11" s="151">
        <v>100950</v>
      </c>
      <c r="H11" s="151">
        <v>99700</v>
      </c>
      <c r="I11" s="151">
        <v>99700</v>
      </c>
    </row>
    <row r="12" spans="1:9" x14ac:dyDescent="0.2">
      <c r="A12" s="91" t="s">
        <v>16</v>
      </c>
      <c r="B12" s="93">
        <f>SUM(B6:B11)</f>
        <v>3578000</v>
      </c>
      <c r="C12" s="95"/>
      <c r="D12" s="93">
        <f>SUM(D6:D10)</f>
        <v>0</v>
      </c>
      <c r="E12" s="93">
        <f>SUM(E6:E11)</f>
        <v>3296465.4666666668</v>
      </c>
      <c r="F12" s="93">
        <f>SUM(F6:F11)</f>
        <v>3194215.4666666668</v>
      </c>
      <c r="G12" s="93">
        <f>SUM(G6:G11)</f>
        <v>2859632.1333333333</v>
      </c>
      <c r="H12" s="93">
        <f>SUM(H6:H11)</f>
        <v>2554329.7999999998</v>
      </c>
      <c r="I12" s="93">
        <f>SUM(I6:I11)</f>
        <v>1359609.8</v>
      </c>
    </row>
    <row r="13" spans="1:9" x14ac:dyDescent="0.2">
      <c r="A13" s="90" t="s">
        <v>101</v>
      </c>
      <c r="B13" s="93"/>
      <c r="C13" s="95"/>
      <c r="D13" s="96">
        <f t="shared" ref="D13:I13" si="0">D12/$B$12</f>
        <v>0</v>
      </c>
      <c r="E13" s="96">
        <f t="shared" si="0"/>
        <v>0.92131511086267937</v>
      </c>
      <c r="F13" s="96">
        <f t="shared" si="0"/>
        <v>0.89273769331097452</v>
      </c>
      <c r="G13" s="96">
        <f t="shared" si="0"/>
        <v>0.79922642071921002</v>
      </c>
      <c r="H13" s="96">
        <f t="shared" si="0"/>
        <v>0.71389877026271653</v>
      </c>
      <c r="I13" s="96">
        <f t="shared" si="0"/>
        <v>0.37999155953046398</v>
      </c>
    </row>
    <row r="14" spans="1:9" x14ac:dyDescent="0.2">
      <c r="A14" s="89"/>
      <c r="B14" s="93"/>
      <c r="E14" s="110"/>
      <c r="F14" s="110"/>
      <c r="G14" s="110"/>
      <c r="H14" s="110"/>
      <c r="I14" s="110"/>
    </row>
    <row r="15" spans="1:9" x14ac:dyDescent="0.2">
      <c r="A15" s="18" t="s">
        <v>103</v>
      </c>
      <c r="B15" s="93"/>
      <c r="D15" s="88">
        <v>37256</v>
      </c>
      <c r="E15" s="88">
        <f>EDATE(D15,12)</f>
        <v>37621</v>
      </c>
      <c r="F15" s="88">
        <f>EDATE(E15,12)</f>
        <v>37986</v>
      </c>
      <c r="G15" s="88">
        <f>EDATE(F15,12)</f>
        <v>38352</v>
      </c>
      <c r="H15" s="88">
        <f>EDATE(G15,12)</f>
        <v>38717</v>
      </c>
      <c r="I15" s="88">
        <f>EDATE(H15,12)</f>
        <v>39082</v>
      </c>
    </row>
    <row r="16" spans="1:9" x14ac:dyDescent="0.2">
      <c r="A16" s="92" t="s">
        <v>95</v>
      </c>
      <c r="B16" s="93"/>
      <c r="D16" s="106"/>
      <c r="E16" s="152">
        <f>'WOT revenue'!Z47</f>
        <v>123549989.75000001</v>
      </c>
      <c r="F16" s="152">
        <f>'WOT revenue'!AL47</f>
        <v>128901362.25000001</v>
      </c>
      <c r="G16" s="152">
        <f>'WOT revenue'!AX47</f>
        <v>121569747.90000002</v>
      </c>
      <c r="H16" s="152">
        <f>'WOT revenue'!BJ47</f>
        <v>119266676.25000001</v>
      </c>
      <c r="I16" s="152">
        <f>'WOT revenue'!BV47</f>
        <v>113953972.25000001</v>
      </c>
    </row>
    <row r="17" spans="1:9" x14ac:dyDescent="0.2">
      <c r="A17" s="92" t="s">
        <v>97</v>
      </c>
      <c r="B17" s="93"/>
      <c r="E17" s="153">
        <f>'SJ revenue'!Z39</f>
        <v>21896939.84</v>
      </c>
      <c r="F17" s="153">
        <f>'SJ revenue'!AL39</f>
        <v>21811505.84</v>
      </c>
      <c r="G17" s="153">
        <f>'SJ revenue'!AX39</f>
        <v>21780705.855999999</v>
      </c>
      <c r="H17" s="153">
        <f>'SJ revenue'!BJ39</f>
        <v>20753005.84</v>
      </c>
      <c r="I17" s="153">
        <f>'SJ revenue'!BV39</f>
        <v>20753005.84</v>
      </c>
    </row>
    <row r="18" spans="1:9" x14ac:dyDescent="0.2">
      <c r="A18" s="92" t="s">
        <v>98</v>
      </c>
      <c r="B18" s="93"/>
      <c r="E18" s="153">
        <f>'IG-BL revenue'!Z29</f>
        <v>8645572.5</v>
      </c>
      <c r="F18" s="153">
        <f>'IG-BL revenue'!AL29</f>
        <v>7287590</v>
      </c>
      <c r="G18" s="153">
        <f>'IG-BL revenue'!AX29</f>
        <v>7307556</v>
      </c>
      <c r="H18" s="153">
        <f>'IG-BL revenue'!BJ29</f>
        <v>7287590</v>
      </c>
      <c r="I18" s="153">
        <f>'IG-BL revenue'!BV29</f>
        <v>7287590</v>
      </c>
    </row>
    <row r="19" spans="1:9" x14ac:dyDescent="0.2">
      <c r="A19" s="92" t="s">
        <v>99</v>
      </c>
      <c r="B19" s="93"/>
      <c r="E19" s="153">
        <f>'IG-BL revenue'!Z40</f>
        <v>2137987.5</v>
      </c>
      <c r="F19" s="153">
        <f>'IG-BL revenue'!AL40</f>
        <v>1916250</v>
      </c>
      <c r="G19" s="153">
        <f>'IG-BL revenue'!AX40</f>
        <v>1921500</v>
      </c>
      <c r="H19" s="153">
        <f>'IG-BL revenue'!BJ40</f>
        <v>1916250</v>
      </c>
      <c r="I19" s="153">
        <f>'IG-BL revenue'!BV40</f>
        <v>273750</v>
      </c>
    </row>
    <row r="20" spans="1:9" x14ac:dyDescent="0.2">
      <c r="A20" s="92" t="s">
        <v>100</v>
      </c>
      <c r="B20" s="93"/>
      <c r="D20" s="95"/>
      <c r="E20" s="154">
        <f>'EOT revenue'!Z26</f>
        <v>9615576.0999999996</v>
      </c>
      <c r="F20" s="154">
        <f>'EOT revenue'!AL26</f>
        <v>9552101.0999999996</v>
      </c>
      <c r="G20" s="154">
        <f>'EOT revenue'!AX26</f>
        <v>9578271.2400000002</v>
      </c>
      <c r="H20" s="154">
        <f>'EOT revenue'!BJ26</f>
        <v>8166748.4000000004</v>
      </c>
      <c r="I20" s="154">
        <f>'EOT revenue'!BV26</f>
        <v>1262695.5999999999</v>
      </c>
    </row>
    <row r="21" spans="1:9" x14ac:dyDescent="0.2">
      <c r="A21" s="92" t="s">
        <v>109</v>
      </c>
      <c r="B21" s="93"/>
      <c r="D21" s="94"/>
      <c r="E21" s="151">
        <f>'Red Rock'!C48</f>
        <v>10988350.5</v>
      </c>
      <c r="F21" s="151">
        <f>'Red Rock'!E48</f>
        <v>16408787.916666668</v>
      </c>
      <c r="G21" s="151">
        <f>'Red Rock'!F48</f>
        <v>13830215</v>
      </c>
      <c r="H21" s="151">
        <f>'Red Rock'!G48</f>
        <v>13488027.5</v>
      </c>
      <c r="I21" s="151">
        <f>'Red Rock'!H48</f>
        <v>13488027.5</v>
      </c>
    </row>
    <row r="22" spans="1:9" x14ac:dyDescent="0.2">
      <c r="A22" s="91" t="s">
        <v>16</v>
      </c>
      <c r="B22" s="93"/>
      <c r="D22" s="106">
        <f t="shared" ref="D22:I22" si="1">SUM(D16:D21)</f>
        <v>0</v>
      </c>
      <c r="E22" s="106">
        <f t="shared" si="1"/>
        <v>176834416.19</v>
      </c>
      <c r="F22" s="106">
        <f t="shared" si="1"/>
        <v>185877597.10666665</v>
      </c>
      <c r="G22" s="106">
        <f t="shared" si="1"/>
        <v>175987995.99600002</v>
      </c>
      <c r="H22" s="106">
        <f t="shared" si="1"/>
        <v>170878297.99000001</v>
      </c>
      <c r="I22" s="106">
        <f t="shared" si="1"/>
        <v>157019041.19</v>
      </c>
    </row>
    <row r="23" spans="1:9" x14ac:dyDescent="0.2">
      <c r="B23" s="93"/>
    </row>
    <row r="24" spans="1:9" x14ac:dyDescent="0.2">
      <c r="B24" s="93"/>
    </row>
    <row r="25" spans="1:9" x14ac:dyDescent="0.2">
      <c r="B25" s="93"/>
    </row>
    <row r="26" spans="1:9" x14ac:dyDescent="0.2">
      <c r="B26" s="93"/>
    </row>
    <row r="27" spans="1:9" x14ac:dyDescent="0.2">
      <c r="B27" s="93"/>
    </row>
    <row r="28" spans="1:9" x14ac:dyDescent="0.2">
      <c r="B28" s="93"/>
    </row>
    <row r="29" spans="1:9" x14ac:dyDescent="0.2">
      <c r="B29" s="93"/>
    </row>
    <row r="30" spans="1:9" x14ac:dyDescent="0.2">
      <c r="B30" s="93"/>
    </row>
    <row r="31" spans="1:9" x14ac:dyDescent="0.2">
      <c r="B31" s="93"/>
    </row>
    <row r="32" spans="1:9" x14ac:dyDescent="0.2">
      <c r="B32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  <col min="75" max="122" width="9.140625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 t="shared" ref="BU25:CZ25" si="2">SUM(BU10:BU24)</f>
        <v>103783.2</v>
      </c>
      <c r="BV25" s="3">
        <f t="shared" si="2"/>
        <v>107242.64</v>
      </c>
    </row>
    <row r="26" spans="1:122" s="98" customFormat="1" x14ac:dyDescent="0.2">
      <c r="A26" s="97" t="s">
        <v>106</v>
      </c>
      <c r="E26" s="99"/>
      <c r="F26" s="99"/>
      <c r="H26" s="100"/>
      <c r="I26" s="100"/>
      <c r="J26" s="100"/>
      <c r="K26" s="101"/>
      <c r="L26" s="100"/>
      <c r="M26" s="102"/>
      <c r="N26" s="102"/>
      <c r="O26" s="103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>
        <f>SUM(O25:Z25)</f>
        <v>9615576.0999999996</v>
      </c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>
        <f>SUM(AA25:AL25)</f>
        <v>9552101.0999999996</v>
      </c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>
        <f>SUM(AM25:AX25)</f>
        <v>9578271.2400000002</v>
      </c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>
        <f>SUM(AY25:BJ25)</f>
        <v>8166748.4000000004</v>
      </c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2">
        <f>SUM(BK25:BV25)</f>
        <v>1262695.5999999999</v>
      </c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zoomScale="80" zoomScaleNormal="80" workbookViewId="0"/>
  </sheetViews>
  <sheetFormatPr defaultRowHeight="12.75" x14ac:dyDescent="0.2"/>
  <cols>
    <col min="1" max="1" width="24.42578125" style="118" customWidth="1"/>
    <col min="2" max="2" width="0" style="118" hidden="1" customWidth="1"/>
    <col min="3" max="3" width="13.140625" style="117" bestFit="1" customWidth="1"/>
    <col min="4" max="4" width="3.7109375" style="117" bestFit="1" customWidth="1"/>
    <col min="5" max="6" width="12.28515625" style="117" bestFit="1" customWidth="1"/>
    <col min="7" max="8" width="12.5703125" style="117" bestFit="1" customWidth="1"/>
    <col min="9" max="9" width="12.28515625" style="117" bestFit="1" customWidth="1"/>
    <col min="10" max="13" width="12.5703125" style="117" bestFit="1" customWidth="1"/>
    <col min="14" max="20" width="10.7109375" style="118" bestFit="1" customWidth="1"/>
    <col min="21" max="26" width="10.140625" style="118" bestFit="1" customWidth="1"/>
    <col min="27" max="16384" width="9.140625" style="118"/>
  </cols>
  <sheetData>
    <row r="1" spans="1:13" s="114" customFormat="1" ht="33.75" customHeight="1" x14ac:dyDescent="0.3">
      <c r="A1" s="111" t="s">
        <v>110</v>
      </c>
      <c r="B1" s="111"/>
      <c r="C1" s="112"/>
      <c r="D1" s="112"/>
      <c r="E1" s="112"/>
      <c r="F1" s="112"/>
      <c r="G1" s="113"/>
      <c r="H1" s="113"/>
      <c r="I1" s="113"/>
      <c r="J1" s="113"/>
      <c r="K1" s="113"/>
      <c r="L1" s="113"/>
      <c r="M1" s="113"/>
    </row>
    <row r="2" spans="1:13" x14ac:dyDescent="0.2">
      <c r="A2" s="115"/>
      <c r="B2" s="115"/>
      <c r="C2" s="116"/>
      <c r="D2" s="116"/>
      <c r="E2" s="116"/>
      <c r="F2" s="116"/>
    </row>
    <row r="3" spans="1:13" s="122" customFormat="1" ht="15" customHeight="1" x14ac:dyDescent="0.2">
      <c r="A3" s="119" t="s">
        <v>2</v>
      </c>
      <c r="B3" s="119" t="s">
        <v>111</v>
      </c>
      <c r="C3" s="120" t="s">
        <v>112</v>
      </c>
      <c r="D3" s="120"/>
      <c r="E3" s="120" t="s">
        <v>113</v>
      </c>
      <c r="F3" s="120" t="s">
        <v>114</v>
      </c>
      <c r="G3" s="121"/>
      <c r="H3" s="121"/>
      <c r="I3" s="121"/>
      <c r="J3" s="121"/>
      <c r="K3" s="121"/>
      <c r="L3" s="121"/>
      <c r="M3" s="121"/>
    </row>
    <row r="4" spans="1:13" x14ac:dyDescent="0.2">
      <c r="A4" s="115"/>
      <c r="B4" s="115"/>
      <c r="C4" s="116"/>
      <c r="D4" s="116"/>
      <c r="E4" s="116"/>
      <c r="F4" s="116"/>
    </row>
    <row r="5" spans="1:13" x14ac:dyDescent="0.2">
      <c r="A5" s="115" t="s">
        <v>115</v>
      </c>
      <c r="B5" s="123"/>
      <c r="C5" s="124">
        <v>0.38500000000000001</v>
      </c>
      <c r="D5" s="124"/>
      <c r="E5" s="125">
        <v>42886</v>
      </c>
      <c r="F5" s="126">
        <v>10000</v>
      </c>
    </row>
    <row r="6" spans="1:13" x14ac:dyDescent="0.2">
      <c r="A6" s="127" t="s">
        <v>116</v>
      </c>
      <c r="B6" s="123"/>
      <c r="C6" s="124">
        <v>0.38</v>
      </c>
      <c r="D6" s="124"/>
      <c r="E6" s="125">
        <v>42886</v>
      </c>
      <c r="F6" s="126">
        <v>2700</v>
      </c>
    </row>
    <row r="7" spans="1:13" x14ac:dyDescent="0.2">
      <c r="A7" s="127" t="s">
        <v>116</v>
      </c>
      <c r="B7" s="115"/>
      <c r="C7" s="124">
        <v>2.2000000000000002</v>
      </c>
      <c r="D7" s="124"/>
      <c r="E7" s="125">
        <v>37772</v>
      </c>
      <c r="F7" s="126">
        <v>5300</v>
      </c>
    </row>
    <row r="8" spans="1:13" x14ac:dyDescent="0.2">
      <c r="A8" s="127" t="s">
        <v>117</v>
      </c>
      <c r="B8" s="127"/>
      <c r="C8" s="124">
        <v>0.42</v>
      </c>
      <c r="D8" s="124"/>
      <c r="E8" s="125">
        <v>41882</v>
      </c>
      <c r="F8" s="126">
        <v>4500</v>
      </c>
    </row>
    <row r="9" spans="1:13" x14ac:dyDescent="0.2">
      <c r="A9" s="127" t="s">
        <v>11</v>
      </c>
      <c r="B9" s="127"/>
      <c r="C9" s="124">
        <v>0.38</v>
      </c>
      <c r="D9" s="124"/>
      <c r="E9" s="125">
        <v>41060</v>
      </c>
      <c r="F9" s="126">
        <v>15000</v>
      </c>
    </row>
    <row r="10" spans="1:13" x14ac:dyDescent="0.2">
      <c r="A10" s="127" t="s">
        <v>118</v>
      </c>
      <c r="B10" s="127"/>
      <c r="C10" s="124">
        <v>1.75</v>
      </c>
      <c r="D10" s="124"/>
      <c r="E10" s="125">
        <v>37711</v>
      </c>
      <c r="F10" s="126">
        <v>1700</v>
      </c>
    </row>
    <row r="11" spans="1:13" x14ac:dyDescent="0.2">
      <c r="A11" s="127" t="s">
        <v>118</v>
      </c>
      <c r="B11" s="127"/>
      <c r="C11" s="124">
        <v>0.75</v>
      </c>
      <c r="D11" s="124"/>
      <c r="E11" s="125">
        <v>37772</v>
      </c>
      <c r="F11" s="126">
        <v>1700</v>
      </c>
    </row>
    <row r="12" spans="1:13" x14ac:dyDescent="0.2">
      <c r="A12" s="127" t="s">
        <v>118</v>
      </c>
      <c r="B12" s="127"/>
      <c r="C12" s="124">
        <v>0.75</v>
      </c>
      <c r="D12" s="124"/>
      <c r="E12" s="125">
        <v>38077</v>
      </c>
      <c r="F12" s="126">
        <v>5000</v>
      </c>
    </row>
    <row r="13" spans="1:13" x14ac:dyDescent="0.2">
      <c r="A13" s="127" t="s">
        <v>13</v>
      </c>
      <c r="B13" s="127"/>
      <c r="C13" s="124">
        <v>0.38</v>
      </c>
      <c r="D13" s="124"/>
      <c r="E13" s="125">
        <v>42916</v>
      </c>
      <c r="F13" s="128">
        <v>40000</v>
      </c>
    </row>
    <row r="14" spans="1:13" x14ac:dyDescent="0.2">
      <c r="A14" s="127" t="s">
        <v>119</v>
      </c>
      <c r="B14" s="127"/>
      <c r="C14" s="124">
        <v>0.38</v>
      </c>
      <c r="D14" s="124"/>
      <c r="E14" s="125">
        <v>48395</v>
      </c>
      <c r="F14" s="128">
        <v>20000</v>
      </c>
    </row>
    <row r="15" spans="1:13" x14ac:dyDescent="0.2">
      <c r="A15" s="127" t="s">
        <v>119</v>
      </c>
      <c r="B15" s="127"/>
      <c r="C15" s="124">
        <v>0.22500000000000001</v>
      </c>
      <c r="D15" s="124"/>
      <c r="E15" s="125">
        <v>39233</v>
      </c>
      <c r="F15" s="128">
        <v>7500</v>
      </c>
    </row>
    <row r="16" spans="1:13" x14ac:dyDescent="0.2">
      <c r="A16" s="127" t="s">
        <v>120</v>
      </c>
      <c r="B16" s="127"/>
      <c r="C16" s="116"/>
      <c r="D16" s="116"/>
      <c r="E16" s="116"/>
      <c r="F16" s="116"/>
    </row>
    <row r="17" spans="1:24" x14ac:dyDescent="0.2">
      <c r="A17" s="127" t="s">
        <v>121</v>
      </c>
      <c r="B17" s="127"/>
      <c r="C17" s="129">
        <v>107000</v>
      </c>
      <c r="D17" s="129"/>
      <c r="E17" s="116"/>
      <c r="F17" s="116"/>
    </row>
    <row r="18" spans="1:24" x14ac:dyDescent="0.2">
      <c r="A18" s="127" t="s">
        <v>122</v>
      </c>
      <c r="B18" s="127"/>
      <c r="C18" s="129">
        <f>C17*365</f>
        <v>39055000</v>
      </c>
      <c r="D18" s="129"/>
      <c r="E18" s="116"/>
      <c r="F18" s="116"/>
    </row>
    <row r="19" spans="1:24" x14ac:dyDescent="0.2">
      <c r="A19" s="127" t="s">
        <v>120</v>
      </c>
      <c r="B19" s="127"/>
      <c r="C19" s="116"/>
      <c r="D19" s="116"/>
      <c r="E19" s="116"/>
      <c r="F19" s="116"/>
    </row>
    <row r="20" spans="1:24" x14ac:dyDescent="0.2">
      <c r="A20" s="130" t="s">
        <v>123</v>
      </c>
      <c r="B20" s="115"/>
      <c r="C20" s="131">
        <v>37621</v>
      </c>
      <c r="D20" s="158" t="s">
        <v>126</v>
      </c>
      <c r="E20" s="131">
        <f>EDATE(C20,12)</f>
        <v>37986</v>
      </c>
      <c r="F20" s="131">
        <f t="shared" ref="F20:M20" si="0">EDATE(E20,12)</f>
        <v>38352</v>
      </c>
      <c r="G20" s="131">
        <f t="shared" si="0"/>
        <v>38717</v>
      </c>
      <c r="H20" s="131">
        <f t="shared" si="0"/>
        <v>39082</v>
      </c>
      <c r="I20" s="131">
        <f t="shared" si="0"/>
        <v>39447</v>
      </c>
      <c r="J20" s="131">
        <f t="shared" si="0"/>
        <v>39813</v>
      </c>
      <c r="K20" s="131">
        <f t="shared" si="0"/>
        <v>40178</v>
      </c>
      <c r="L20" s="131">
        <f t="shared" si="0"/>
        <v>40543</v>
      </c>
      <c r="M20" s="131">
        <f t="shared" si="0"/>
        <v>40908</v>
      </c>
      <c r="P20" s="132"/>
      <c r="Q20" s="132"/>
      <c r="R20" s="132"/>
      <c r="S20" s="132"/>
      <c r="T20" s="132"/>
      <c r="U20" s="132"/>
      <c r="V20" s="132"/>
      <c r="W20" s="132"/>
      <c r="X20" s="132"/>
    </row>
    <row r="21" spans="1:24" x14ac:dyDescent="0.2">
      <c r="A21" s="115" t="s">
        <v>115</v>
      </c>
      <c r="B21" s="127"/>
      <c r="C21" s="129">
        <f t="shared" ref="C21:C26" si="1">IF(C$20&lt;E5,F5*213,0)</f>
        <v>2130000</v>
      </c>
      <c r="D21" s="129"/>
      <c r="E21" s="129">
        <f t="shared" ref="E21:M21" si="2">IF(E$20&lt;$E$5,$F$5*365,0)</f>
        <v>3650000</v>
      </c>
      <c r="F21" s="129">
        <f t="shared" si="2"/>
        <v>3650000</v>
      </c>
      <c r="G21" s="129">
        <f t="shared" si="2"/>
        <v>3650000</v>
      </c>
      <c r="H21" s="129">
        <f t="shared" si="2"/>
        <v>3650000</v>
      </c>
      <c r="I21" s="129">
        <f t="shared" si="2"/>
        <v>3650000</v>
      </c>
      <c r="J21" s="129">
        <f t="shared" si="2"/>
        <v>3650000</v>
      </c>
      <c r="K21" s="129">
        <f t="shared" si="2"/>
        <v>3650000</v>
      </c>
      <c r="L21" s="129">
        <f t="shared" si="2"/>
        <v>3650000</v>
      </c>
      <c r="M21" s="129">
        <f t="shared" si="2"/>
        <v>3650000</v>
      </c>
      <c r="P21" s="133"/>
      <c r="Q21" s="133"/>
      <c r="R21" s="133"/>
      <c r="S21" s="133"/>
      <c r="T21" s="133"/>
      <c r="U21" s="133"/>
      <c r="V21" s="133"/>
      <c r="W21" s="133"/>
      <c r="X21" s="133"/>
    </row>
    <row r="22" spans="1:24" x14ac:dyDescent="0.2">
      <c r="A22" s="127" t="s">
        <v>116</v>
      </c>
      <c r="B22" s="127"/>
      <c r="C22" s="129">
        <f t="shared" si="1"/>
        <v>575100</v>
      </c>
      <c r="D22" s="129"/>
      <c r="E22" s="129">
        <f t="shared" ref="E22:M22" si="3">IF(E$20&lt;$E$6,$F$6*365,0)</f>
        <v>985500</v>
      </c>
      <c r="F22" s="129">
        <f t="shared" si="3"/>
        <v>985500</v>
      </c>
      <c r="G22" s="129">
        <f t="shared" si="3"/>
        <v>985500</v>
      </c>
      <c r="H22" s="129">
        <f t="shared" si="3"/>
        <v>985500</v>
      </c>
      <c r="I22" s="129">
        <f t="shared" si="3"/>
        <v>985500</v>
      </c>
      <c r="J22" s="129">
        <f t="shared" si="3"/>
        <v>985500</v>
      </c>
      <c r="K22" s="129">
        <f t="shared" si="3"/>
        <v>985500</v>
      </c>
      <c r="L22" s="129">
        <f t="shared" si="3"/>
        <v>985500</v>
      </c>
      <c r="M22" s="129">
        <f t="shared" si="3"/>
        <v>985500</v>
      </c>
      <c r="P22" s="133"/>
      <c r="Q22" s="133"/>
      <c r="R22" s="133"/>
      <c r="S22" s="133"/>
      <c r="T22" s="133"/>
      <c r="U22" s="133"/>
      <c r="V22" s="134"/>
      <c r="W22" s="134"/>
      <c r="X22" s="134"/>
    </row>
    <row r="23" spans="1:24" x14ac:dyDescent="0.2">
      <c r="A23" s="127" t="s">
        <v>116</v>
      </c>
      <c r="B23" s="127"/>
      <c r="C23" s="129">
        <f t="shared" si="1"/>
        <v>1128900</v>
      </c>
      <c r="D23" s="129"/>
      <c r="E23" s="135">
        <f>(5/12)*F7*365</f>
        <v>806041.66666666674</v>
      </c>
      <c r="F23" s="129">
        <f t="shared" ref="F23:M23" si="4">IF(F$20&lt;$E$7,$F$7*365,0)</f>
        <v>0</v>
      </c>
      <c r="G23" s="129">
        <f t="shared" si="4"/>
        <v>0</v>
      </c>
      <c r="H23" s="129">
        <f t="shared" si="4"/>
        <v>0</v>
      </c>
      <c r="I23" s="129">
        <f t="shared" si="4"/>
        <v>0</v>
      </c>
      <c r="J23" s="129">
        <f t="shared" si="4"/>
        <v>0</v>
      </c>
      <c r="K23" s="129">
        <f t="shared" si="4"/>
        <v>0</v>
      </c>
      <c r="L23" s="129">
        <f t="shared" si="4"/>
        <v>0</v>
      </c>
      <c r="M23" s="129">
        <f t="shared" si="4"/>
        <v>0</v>
      </c>
      <c r="P23" s="133"/>
      <c r="Q23" s="133"/>
      <c r="R23" s="133"/>
      <c r="S23" s="133"/>
      <c r="T23" s="133"/>
      <c r="U23" s="133"/>
      <c r="V23" s="134"/>
      <c r="W23" s="134"/>
      <c r="X23" s="134"/>
    </row>
    <row r="24" spans="1:24" x14ac:dyDescent="0.2">
      <c r="A24" s="127" t="s">
        <v>117</v>
      </c>
      <c r="B24" s="115"/>
      <c r="C24" s="129">
        <f t="shared" si="1"/>
        <v>958500</v>
      </c>
      <c r="D24" s="129"/>
      <c r="E24" s="129">
        <f t="shared" ref="E24:M24" si="5">IF(E$20&lt;$E$8,$F$8*365,0)</f>
        <v>1642500</v>
      </c>
      <c r="F24" s="129">
        <f t="shared" si="5"/>
        <v>1642500</v>
      </c>
      <c r="G24" s="129">
        <f t="shared" si="5"/>
        <v>1642500</v>
      </c>
      <c r="H24" s="129">
        <f t="shared" si="5"/>
        <v>1642500</v>
      </c>
      <c r="I24" s="129">
        <f t="shared" si="5"/>
        <v>1642500</v>
      </c>
      <c r="J24" s="129">
        <f t="shared" si="5"/>
        <v>1642500</v>
      </c>
      <c r="K24" s="129">
        <f t="shared" si="5"/>
        <v>1642500</v>
      </c>
      <c r="L24" s="129">
        <f t="shared" si="5"/>
        <v>1642500</v>
      </c>
      <c r="M24" s="129">
        <f t="shared" si="5"/>
        <v>1642500</v>
      </c>
      <c r="P24" s="133"/>
      <c r="Q24" s="133"/>
      <c r="R24" s="133"/>
      <c r="S24" s="133"/>
      <c r="T24" s="133"/>
      <c r="U24" s="133"/>
      <c r="V24" s="134"/>
      <c r="W24" s="134"/>
      <c r="X24" s="134"/>
    </row>
    <row r="25" spans="1:24" x14ac:dyDescent="0.2">
      <c r="A25" s="127" t="s">
        <v>11</v>
      </c>
      <c r="B25" s="127"/>
      <c r="C25" s="129">
        <f t="shared" si="1"/>
        <v>3195000</v>
      </c>
      <c r="D25" s="129"/>
      <c r="E25" s="129">
        <f t="shared" ref="E25:M25" si="6">IF(E$20&lt;$E$9,$F$9*365,0)</f>
        <v>5475000</v>
      </c>
      <c r="F25" s="129">
        <f t="shared" si="6"/>
        <v>5475000</v>
      </c>
      <c r="G25" s="129">
        <f t="shared" si="6"/>
        <v>5475000</v>
      </c>
      <c r="H25" s="129">
        <f t="shared" si="6"/>
        <v>5475000</v>
      </c>
      <c r="I25" s="129">
        <f t="shared" si="6"/>
        <v>5475000</v>
      </c>
      <c r="J25" s="129">
        <f t="shared" si="6"/>
        <v>5475000</v>
      </c>
      <c r="K25" s="129">
        <f t="shared" si="6"/>
        <v>5475000</v>
      </c>
      <c r="L25" s="129">
        <f t="shared" si="6"/>
        <v>5475000</v>
      </c>
      <c r="M25" s="129">
        <f t="shared" si="6"/>
        <v>5475000</v>
      </c>
      <c r="P25" s="133"/>
      <c r="Q25" s="133"/>
      <c r="R25" s="133"/>
      <c r="S25" s="133"/>
      <c r="T25" s="133"/>
      <c r="U25" s="133"/>
      <c r="V25" s="134"/>
      <c r="W25" s="134"/>
      <c r="X25" s="134"/>
    </row>
    <row r="26" spans="1:24" s="115" customFormat="1" x14ac:dyDescent="0.2">
      <c r="A26" s="127" t="s">
        <v>118</v>
      </c>
      <c r="B26" s="127"/>
      <c r="C26" s="129">
        <f t="shared" si="1"/>
        <v>362100</v>
      </c>
      <c r="D26" s="129"/>
      <c r="E26" s="135">
        <f>((3/12)*1700*365)</f>
        <v>155125</v>
      </c>
      <c r="F26" s="135">
        <v>0</v>
      </c>
      <c r="G26" s="129">
        <f t="shared" ref="G26:M26" si="7">IF(G$20&lt;$E$10,$F$10*365,0)</f>
        <v>0</v>
      </c>
      <c r="H26" s="129">
        <f t="shared" si="7"/>
        <v>0</v>
      </c>
      <c r="I26" s="129">
        <f t="shared" si="7"/>
        <v>0</v>
      </c>
      <c r="J26" s="129">
        <f t="shared" si="7"/>
        <v>0</v>
      </c>
      <c r="K26" s="129">
        <f t="shared" si="7"/>
        <v>0</v>
      </c>
      <c r="L26" s="129">
        <f t="shared" si="7"/>
        <v>0</v>
      </c>
      <c r="M26" s="129">
        <f t="shared" si="7"/>
        <v>0</v>
      </c>
      <c r="N26" s="118"/>
      <c r="P26" s="133"/>
      <c r="Q26" s="133"/>
      <c r="R26" s="133"/>
      <c r="S26" s="133"/>
      <c r="T26" s="133"/>
      <c r="U26" s="133"/>
      <c r="V26" s="133"/>
      <c r="W26" s="133"/>
      <c r="X26" s="133"/>
    </row>
    <row r="27" spans="1:24" s="115" customFormat="1" x14ac:dyDescent="0.2">
      <c r="A27" s="127" t="s">
        <v>118</v>
      </c>
      <c r="B27" s="127"/>
      <c r="C27" s="135">
        <v>0</v>
      </c>
      <c r="D27" s="135"/>
      <c r="E27" s="135">
        <f>(2/12)*365*F11</f>
        <v>103416.66666666666</v>
      </c>
      <c r="F27" s="135">
        <v>0</v>
      </c>
      <c r="G27" s="129"/>
      <c r="H27" s="129"/>
      <c r="I27" s="129"/>
      <c r="J27" s="129"/>
      <c r="K27" s="129"/>
      <c r="L27" s="129"/>
      <c r="M27" s="129"/>
      <c r="N27" s="118"/>
      <c r="P27" s="133"/>
      <c r="Q27" s="133"/>
      <c r="R27" s="133"/>
      <c r="S27" s="133"/>
      <c r="T27" s="133"/>
      <c r="U27" s="133"/>
      <c r="V27" s="133"/>
      <c r="W27" s="133"/>
      <c r="X27" s="133"/>
    </row>
    <row r="28" spans="1:24" s="115" customFormat="1" x14ac:dyDescent="0.2">
      <c r="A28" s="127" t="s">
        <v>118</v>
      </c>
      <c r="B28" s="127"/>
      <c r="C28" s="135">
        <v>0</v>
      </c>
      <c r="D28" s="135"/>
      <c r="E28" s="135">
        <f>(7/12)*365*F12</f>
        <v>1064583.3333333335</v>
      </c>
      <c r="F28" s="135">
        <f>(3/12)*365*F12</f>
        <v>456250</v>
      </c>
      <c r="G28" s="129"/>
      <c r="H28" s="129"/>
      <c r="I28" s="129"/>
      <c r="J28" s="129"/>
      <c r="K28" s="129"/>
      <c r="L28" s="129"/>
      <c r="M28" s="129"/>
      <c r="N28" s="118"/>
      <c r="P28" s="133"/>
      <c r="Q28" s="133"/>
      <c r="R28" s="133"/>
      <c r="S28" s="133"/>
      <c r="T28" s="133"/>
      <c r="U28" s="133"/>
      <c r="V28" s="133"/>
      <c r="W28" s="133"/>
      <c r="X28" s="133"/>
    </row>
    <row r="29" spans="1:24" s="115" customFormat="1" x14ac:dyDescent="0.2">
      <c r="A29" s="127" t="s">
        <v>13</v>
      </c>
      <c r="C29" s="129">
        <f>IF(C$20&lt;E13,F13*213,0)</f>
        <v>8520000</v>
      </c>
      <c r="D29" s="129"/>
      <c r="E29" s="129">
        <f t="shared" ref="E29:M29" si="8">IF(E$20&lt;$E$13,$F$13*365,0)</f>
        <v>14600000</v>
      </c>
      <c r="F29" s="129">
        <f t="shared" si="8"/>
        <v>14600000</v>
      </c>
      <c r="G29" s="129">
        <f t="shared" si="8"/>
        <v>14600000</v>
      </c>
      <c r="H29" s="129">
        <f t="shared" si="8"/>
        <v>14600000</v>
      </c>
      <c r="I29" s="129">
        <f t="shared" si="8"/>
        <v>14600000</v>
      </c>
      <c r="J29" s="129">
        <f t="shared" si="8"/>
        <v>14600000</v>
      </c>
      <c r="K29" s="129">
        <f t="shared" si="8"/>
        <v>14600000</v>
      </c>
      <c r="L29" s="129">
        <f t="shared" si="8"/>
        <v>14600000</v>
      </c>
      <c r="M29" s="129">
        <f t="shared" si="8"/>
        <v>14600000</v>
      </c>
      <c r="N29" s="118"/>
      <c r="P29" s="133"/>
      <c r="Q29" s="133"/>
      <c r="R29" s="133"/>
      <c r="S29" s="133"/>
      <c r="T29" s="133"/>
      <c r="U29" s="133"/>
      <c r="V29" s="133"/>
      <c r="W29" s="133"/>
      <c r="X29" s="133"/>
    </row>
    <row r="30" spans="1:24" s="115" customFormat="1" x14ac:dyDescent="0.2">
      <c r="A30" s="127" t="s">
        <v>119</v>
      </c>
      <c r="B30" s="127"/>
      <c r="C30" s="129">
        <f>IF(C$20&lt;E14,F14*213,0)</f>
        <v>4260000</v>
      </c>
      <c r="D30" s="129"/>
      <c r="E30" s="129">
        <f t="shared" ref="E30:M30" si="9">IF(E$20&lt;$E$14,$F$14*365,0)</f>
        <v>7300000</v>
      </c>
      <c r="F30" s="129">
        <f t="shared" si="9"/>
        <v>7300000</v>
      </c>
      <c r="G30" s="129">
        <f t="shared" si="9"/>
        <v>7300000</v>
      </c>
      <c r="H30" s="129">
        <f t="shared" si="9"/>
        <v>7300000</v>
      </c>
      <c r="I30" s="129">
        <f t="shared" si="9"/>
        <v>7300000</v>
      </c>
      <c r="J30" s="129">
        <f t="shared" si="9"/>
        <v>7300000</v>
      </c>
      <c r="K30" s="129">
        <f t="shared" si="9"/>
        <v>7300000</v>
      </c>
      <c r="L30" s="129">
        <f t="shared" si="9"/>
        <v>7300000</v>
      </c>
      <c r="M30" s="129">
        <f t="shared" si="9"/>
        <v>7300000</v>
      </c>
      <c r="N30" s="118"/>
      <c r="P30" s="133"/>
      <c r="Q30" s="133"/>
      <c r="R30" s="133"/>
      <c r="S30" s="133"/>
      <c r="T30" s="133"/>
      <c r="U30" s="133"/>
      <c r="V30" s="133"/>
      <c r="W30" s="133"/>
      <c r="X30" s="133"/>
    </row>
    <row r="31" spans="1:24" s="115" customFormat="1" x14ac:dyDescent="0.2">
      <c r="A31" s="127" t="s">
        <v>119</v>
      </c>
      <c r="C31" s="148">
        <f>IF(C$20&lt;E15,F15*213,0)</f>
        <v>1597500</v>
      </c>
      <c r="D31" s="148"/>
      <c r="E31" s="136">
        <f>IF(E$20&lt;$E$15,$F$15*365,0)</f>
        <v>2737500</v>
      </c>
      <c r="F31" s="136">
        <f>IF(F$20&lt;$E$15,$F$15*365,0)</f>
        <v>2737500</v>
      </c>
      <c r="G31" s="136">
        <f>IF(G$20&lt;$E$15,$F$15*365,0)</f>
        <v>2737500</v>
      </c>
      <c r="H31" s="136">
        <f>IF(H$20&lt;$E$15,$F$15*365,0)</f>
        <v>2737500</v>
      </c>
      <c r="I31" s="137">
        <f>(5/12)*365*F15</f>
        <v>1140625</v>
      </c>
      <c r="J31" s="136">
        <f>IF(J$20&lt;$E$15,$F$15*365,0)</f>
        <v>0</v>
      </c>
      <c r="K31" s="136">
        <f>IF(K$20&lt;$E$15,$F$15*365,0)</f>
        <v>0</v>
      </c>
      <c r="L31" s="136">
        <f>IF(L$20&lt;$E$15,$F$15*365,0)</f>
        <v>0</v>
      </c>
      <c r="M31" s="136">
        <f>IF(M$20&lt;$E$15,$F$15*365,0)</f>
        <v>0</v>
      </c>
      <c r="N31" s="118"/>
      <c r="P31" s="138"/>
      <c r="Q31" s="138"/>
      <c r="R31" s="138"/>
      <c r="S31" s="138"/>
      <c r="T31" s="138"/>
      <c r="U31" s="138"/>
      <c r="V31" s="133"/>
      <c r="W31" s="133"/>
      <c r="X31" s="133"/>
    </row>
    <row r="32" spans="1:24" s="115" customFormat="1" x14ac:dyDescent="0.2">
      <c r="A32" s="139" t="s">
        <v>16</v>
      </c>
      <c r="B32" s="118"/>
      <c r="C32" s="140">
        <f>SUM(C21:C31)</f>
        <v>22727100</v>
      </c>
      <c r="D32" s="140"/>
      <c r="E32" s="140">
        <f>SUM(E21:E31)</f>
        <v>38519666.666666672</v>
      </c>
      <c r="F32" s="140">
        <f t="shared" ref="F32:M32" si="10">SUM(F21:F31)</f>
        <v>36846750</v>
      </c>
      <c r="G32" s="140">
        <f t="shared" si="10"/>
        <v>36390500</v>
      </c>
      <c r="H32" s="140">
        <f t="shared" si="10"/>
        <v>36390500</v>
      </c>
      <c r="I32" s="140">
        <f t="shared" si="10"/>
        <v>34793625</v>
      </c>
      <c r="J32" s="140">
        <f t="shared" si="10"/>
        <v>33653000</v>
      </c>
      <c r="K32" s="140">
        <f t="shared" si="10"/>
        <v>33653000</v>
      </c>
      <c r="L32" s="140">
        <f t="shared" si="10"/>
        <v>33653000</v>
      </c>
      <c r="M32" s="140">
        <f t="shared" si="10"/>
        <v>33653000</v>
      </c>
      <c r="N32" s="118"/>
      <c r="P32" s="133"/>
      <c r="Q32" s="133"/>
      <c r="R32" s="133"/>
      <c r="S32" s="133"/>
      <c r="T32" s="133"/>
      <c r="U32" s="133"/>
      <c r="V32" s="133"/>
      <c r="W32" s="133"/>
      <c r="X32" s="133"/>
    </row>
    <row r="33" spans="1:24" s="115" customFormat="1" x14ac:dyDescent="0.2">
      <c r="A33" s="118"/>
      <c r="B33" s="118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18"/>
      <c r="P33" s="133"/>
      <c r="Q33" s="133"/>
      <c r="R33" s="133"/>
      <c r="S33" s="133"/>
      <c r="T33" s="133"/>
      <c r="U33" s="133"/>
      <c r="V33" s="133"/>
      <c r="W33" s="133"/>
      <c r="X33" s="133"/>
    </row>
    <row r="34" spans="1:24" s="143" customFormat="1" x14ac:dyDescent="0.2">
      <c r="A34" s="141" t="s">
        <v>124</v>
      </c>
      <c r="B34" s="141"/>
      <c r="C34" s="142">
        <f>(C32/213)/C17</f>
        <v>0.99719626168224296</v>
      </c>
      <c r="D34" s="142"/>
      <c r="E34" s="142">
        <f t="shared" ref="E34:M34" si="11">E32/$C$18</f>
        <v>0.98629283489096586</v>
      </c>
      <c r="F34" s="142">
        <f t="shared" si="11"/>
        <v>0.94345794392523363</v>
      </c>
      <c r="G34" s="142">
        <f t="shared" si="11"/>
        <v>0.9317757009345794</v>
      </c>
      <c r="H34" s="142">
        <f t="shared" si="11"/>
        <v>0.9317757009345794</v>
      </c>
      <c r="I34" s="142">
        <f t="shared" si="11"/>
        <v>0.89088785046728969</v>
      </c>
      <c r="J34" s="142">
        <f t="shared" si="11"/>
        <v>0.86168224299065421</v>
      </c>
      <c r="K34" s="142">
        <f t="shared" si="11"/>
        <v>0.86168224299065421</v>
      </c>
      <c r="L34" s="142">
        <f t="shared" si="11"/>
        <v>0.86168224299065421</v>
      </c>
      <c r="M34" s="142">
        <f t="shared" si="11"/>
        <v>0.86168224299065421</v>
      </c>
      <c r="N34" s="141"/>
      <c r="P34" s="144"/>
      <c r="Q34" s="144"/>
      <c r="R34" s="144"/>
      <c r="S34" s="144"/>
      <c r="T34" s="144"/>
      <c r="U34" s="144"/>
      <c r="V34" s="145"/>
      <c r="W34" s="145"/>
      <c r="X34" s="145"/>
    </row>
    <row r="35" spans="1:24" s="115" customFormat="1" x14ac:dyDescent="0.2">
      <c r="A35" s="118"/>
      <c r="B35" s="118"/>
      <c r="C35" s="117"/>
      <c r="D35" s="117"/>
      <c r="E35" s="140"/>
      <c r="F35" s="140"/>
      <c r="G35" s="140"/>
      <c r="H35" s="140"/>
      <c r="I35" s="140"/>
      <c r="J35" s="140"/>
      <c r="K35" s="140"/>
      <c r="L35" s="140"/>
      <c r="M35" s="140"/>
      <c r="N35" s="134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spans="1:24" s="115" customFormat="1" x14ac:dyDescent="0.2">
      <c r="A36" s="146" t="s">
        <v>125</v>
      </c>
      <c r="B36" s="118"/>
      <c r="C36" s="117"/>
      <c r="D36" s="117"/>
      <c r="E36" s="140"/>
      <c r="F36" s="140"/>
      <c r="G36" s="140"/>
      <c r="H36" s="140"/>
      <c r="I36" s="140"/>
      <c r="J36" s="140"/>
      <c r="K36" s="140"/>
      <c r="L36" s="140"/>
      <c r="M36" s="140"/>
      <c r="N36" s="134"/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  <row r="37" spans="1:24" s="115" customFormat="1" x14ac:dyDescent="0.2">
      <c r="A37" s="115" t="s">
        <v>115</v>
      </c>
      <c r="B37" s="118"/>
      <c r="C37" s="147">
        <f>C21*C5</f>
        <v>820050</v>
      </c>
      <c r="D37" s="147"/>
      <c r="E37" s="147">
        <f t="shared" ref="E37:M37" si="12">E21*$C$5</f>
        <v>1405250</v>
      </c>
      <c r="F37" s="147">
        <f t="shared" si="12"/>
        <v>1405250</v>
      </c>
      <c r="G37" s="147">
        <f t="shared" si="12"/>
        <v>1405250</v>
      </c>
      <c r="H37" s="147">
        <f t="shared" si="12"/>
        <v>1405250</v>
      </c>
      <c r="I37" s="147">
        <f t="shared" si="12"/>
        <v>1405250</v>
      </c>
      <c r="J37" s="147">
        <f t="shared" si="12"/>
        <v>1405250</v>
      </c>
      <c r="K37" s="147">
        <f t="shared" si="12"/>
        <v>1405250</v>
      </c>
      <c r="L37" s="147">
        <f t="shared" si="12"/>
        <v>1405250</v>
      </c>
      <c r="M37" s="147">
        <f t="shared" si="12"/>
        <v>1405250</v>
      </c>
      <c r="N37" s="134"/>
      <c r="O37" s="133"/>
      <c r="P37" s="133"/>
      <c r="Q37" s="133"/>
      <c r="R37" s="133"/>
      <c r="S37" s="133"/>
      <c r="T37" s="133"/>
      <c r="U37" s="133"/>
      <c r="V37" s="133"/>
      <c r="W37" s="133"/>
      <c r="X37" s="133"/>
    </row>
    <row r="38" spans="1:24" s="115" customFormat="1" x14ac:dyDescent="0.2">
      <c r="A38" s="127" t="s">
        <v>116</v>
      </c>
      <c r="B38" s="118"/>
      <c r="C38" s="140">
        <f t="shared" ref="C38:M38" si="13">C22*$C$6</f>
        <v>218538</v>
      </c>
      <c r="D38" s="140"/>
      <c r="E38" s="140">
        <f t="shared" si="13"/>
        <v>374490</v>
      </c>
      <c r="F38" s="140">
        <f t="shared" si="13"/>
        <v>374490</v>
      </c>
      <c r="G38" s="140">
        <f t="shared" si="13"/>
        <v>374490</v>
      </c>
      <c r="H38" s="140">
        <f t="shared" si="13"/>
        <v>374490</v>
      </c>
      <c r="I38" s="140">
        <f t="shared" si="13"/>
        <v>374490</v>
      </c>
      <c r="J38" s="140">
        <f t="shared" si="13"/>
        <v>374490</v>
      </c>
      <c r="K38" s="140">
        <f t="shared" si="13"/>
        <v>374490</v>
      </c>
      <c r="L38" s="140">
        <f t="shared" si="13"/>
        <v>374490</v>
      </c>
      <c r="M38" s="140">
        <f t="shared" si="13"/>
        <v>374490</v>
      </c>
      <c r="N38" s="134"/>
      <c r="O38" s="133"/>
      <c r="P38" s="133"/>
      <c r="Q38" s="133"/>
      <c r="R38" s="133"/>
      <c r="S38" s="133"/>
      <c r="T38" s="133"/>
      <c r="U38" s="133"/>
      <c r="V38" s="133"/>
      <c r="W38" s="133"/>
      <c r="X38" s="133"/>
    </row>
    <row r="39" spans="1:24" s="115" customFormat="1" x14ac:dyDescent="0.2">
      <c r="A39" s="127" t="s">
        <v>116</v>
      </c>
      <c r="B39" s="118"/>
      <c r="C39" s="140">
        <f t="shared" ref="C39:M39" si="14">C23*$C$7</f>
        <v>2483580</v>
      </c>
      <c r="D39" s="140"/>
      <c r="E39" s="140">
        <f t="shared" si="14"/>
        <v>1773291.666666667</v>
      </c>
      <c r="F39" s="140">
        <f t="shared" si="14"/>
        <v>0</v>
      </c>
      <c r="G39" s="140">
        <f t="shared" si="14"/>
        <v>0</v>
      </c>
      <c r="H39" s="140">
        <f t="shared" si="14"/>
        <v>0</v>
      </c>
      <c r="I39" s="140">
        <f t="shared" si="14"/>
        <v>0</v>
      </c>
      <c r="J39" s="140">
        <f t="shared" si="14"/>
        <v>0</v>
      </c>
      <c r="K39" s="140">
        <f t="shared" si="14"/>
        <v>0</v>
      </c>
      <c r="L39" s="140">
        <f t="shared" si="14"/>
        <v>0</v>
      </c>
      <c r="M39" s="140">
        <f t="shared" si="14"/>
        <v>0</v>
      </c>
      <c r="N39" s="134"/>
      <c r="O39" s="133"/>
      <c r="P39" s="133"/>
      <c r="Q39" s="133"/>
      <c r="R39" s="133"/>
      <c r="S39" s="133"/>
      <c r="T39" s="133"/>
      <c r="U39" s="133"/>
      <c r="V39" s="133"/>
      <c r="W39" s="133"/>
      <c r="X39" s="133"/>
    </row>
    <row r="40" spans="1:24" s="115" customFormat="1" x14ac:dyDescent="0.2">
      <c r="A40" s="127" t="s">
        <v>117</v>
      </c>
      <c r="B40" s="118"/>
      <c r="C40" s="140">
        <f t="shared" ref="C40:M40" si="15">C24*$C$8</f>
        <v>402570</v>
      </c>
      <c r="D40" s="140"/>
      <c r="E40" s="140">
        <f t="shared" si="15"/>
        <v>689850</v>
      </c>
      <c r="F40" s="140">
        <f t="shared" si="15"/>
        <v>689850</v>
      </c>
      <c r="G40" s="140">
        <f t="shared" si="15"/>
        <v>689850</v>
      </c>
      <c r="H40" s="140">
        <f t="shared" si="15"/>
        <v>689850</v>
      </c>
      <c r="I40" s="140">
        <f t="shared" si="15"/>
        <v>689850</v>
      </c>
      <c r="J40" s="140">
        <f t="shared" si="15"/>
        <v>689850</v>
      </c>
      <c r="K40" s="140">
        <f t="shared" si="15"/>
        <v>689850</v>
      </c>
      <c r="L40" s="140">
        <f t="shared" si="15"/>
        <v>689850</v>
      </c>
      <c r="M40" s="140">
        <f t="shared" si="15"/>
        <v>689850</v>
      </c>
      <c r="N40" s="134"/>
      <c r="O40" s="133"/>
      <c r="P40" s="133"/>
      <c r="Q40" s="133"/>
      <c r="R40" s="133"/>
      <c r="S40" s="133"/>
      <c r="T40" s="133"/>
      <c r="U40" s="133"/>
      <c r="V40" s="133"/>
      <c r="W40" s="133"/>
      <c r="X40" s="133"/>
    </row>
    <row r="41" spans="1:24" s="115" customFormat="1" x14ac:dyDescent="0.2">
      <c r="A41" s="127" t="s">
        <v>11</v>
      </c>
      <c r="B41" s="118"/>
      <c r="C41" s="140">
        <f t="shared" ref="C41:M41" si="16">C25*$C$9</f>
        <v>1214100</v>
      </c>
      <c r="D41" s="140"/>
      <c r="E41" s="140">
        <f t="shared" si="16"/>
        <v>2080500</v>
      </c>
      <c r="F41" s="140">
        <f t="shared" si="16"/>
        <v>2080500</v>
      </c>
      <c r="G41" s="140">
        <f t="shared" si="16"/>
        <v>2080500</v>
      </c>
      <c r="H41" s="140">
        <f t="shared" si="16"/>
        <v>2080500</v>
      </c>
      <c r="I41" s="140">
        <f t="shared" si="16"/>
        <v>2080500</v>
      </c>
      <c r="J41" s="140">
        <f t="shared" si="16"/>
        <v>2080500</v>
      </c>
      <c r="K41" s="140">
        <f t="shared" si="16"/>
        <v>2080500</v>
      </c>
      <c r="L41" s="140">
        <f t="shared" si="16"/>
        <v>2080500</v>
      </c>
      <c r="M41" s="140">
        <f t="shared" si="16"/>
        <v>2080500</v>
      </c>
      <c r="N41" s="134"/>
      <c r="O41" s="133"/>
      <c r="P41" s="133"/>
      <c r="Q41" s="133"/>
      <c r="R41" s="133"/>
      <c r="S41" s="133"/>
      <c r="T41" s="133"/>
      <c r="U41" s="133"/>
      <c r="V41" s="133"/>
      <c r="W41" s="133"/>
      <c r="X41" s="133"/>
    </row>
    <row r="42" spans="1:24" s="115" customFormat="1" x14ac:dyDescent="0.2">
      <c r="A42" s="127" t="s">
        <v>118</v>
      </c>
      <c r="B42" s="118"/>
      <c r="C42" s="149">
        <f>C26*$C$10</f>
        <v>633675</v>
      </c>
      <c r="D42" s="149"/>
      <c r="E42" s="149">
        <f t="shared" ref="E42:M42" si="17">E26*$C$10</f>
        <v>271468.75</v>
      </c>
      <c r="F42" s="150">
        <f t="shared" si="17"/>
        <v>0</v>
      </c>
      <c r="G42" s="150">
        <f t="shared" si="17"/>
        <v>0</v>
      </c>
      <c r="H42" s="150">
        <f t="shared" si="17"/>
        <v>0</v>
      </c>
      <c r="I42" s="150">
        <f t="shared" si="17"/>
        <v>0</v>
      </c>
      <c r="J42" s="150">
        <f t="shared" si="17"/>
        <v>0</v>
      </c>
      <c r="K42" s="150">
        <f t="shared" si="17"/>
        <v>0</v>
      </c>
      <c r="L42" s="150">
        <f t="shared" si="17"/>
        <v>0</v>
      </c>
      <c r="M42" s="150">
        <f t="shared" si="17"/>
        <v>0</v>
      </c>
      <c r="N42" s="134"/>
      <c r="O42" s="133"/>
      <c r="P42" s="133"/>
      <c r="Q42" s="133"/>
      <c r="R42" s="133"/>
      <c r="S42" s="133"/>
      <c r="T42" s="133"/>
      <c r="U42" s="133"/>
      <c r="V42" s="133"/>
      <c r="W42" s="133"/>
      <c r="X42" s="133"/>
    </row>
    <row r="43" spans="1:24" s="115" customFormat="1" x14ac:dyDescent="0.2">
      <c r="A43" s="127" t="s">
        <v>118</v>
      </c>
      <c r="B43" s="118"/>
      <c r="C43" s="149">
        <f>C27*$C$11</f>
        <v>0</v>
      </c>
      <c r="D43" s="149"/>
      <c r="E43" s="149">
        <f t="shared" ref="E43:M43" si="18">E27*$C$11</f>
        <v>77562.5</v>
      </c>
      <c r="F43" s="149">
        <f t="shared" si="18"/>
        <v>0</v>
      </c>
      <c r="G43" s="149">
        <f t="shared" si="18"/>
        <v>0</v>
      </c>
      <c r="H43" s="149">
        <f t="shared" si="18"/>
        <v>0</v>
      </c>
      <c r="I43" s="149">
        <f t="shared" si="18"/>
        <v>0</v>
      </c>
      <c r="J43" s="149">
        <f t="shared" si="18"/>
        <v>0</v>
      </c>
      <c r="K43" s="149">
        <f t="shared" si="18"/>
        <v>0</v>
      </c>
      <c r="L43" s="149">
        <f t="shared" si="18"/>
        <v>0</v>
      </c>
      <c r="M43" s="149">
        <f t="shared" si="18"/>
        <v>0</v>
      </c>
      <c r="N43" s="134"/>
      <c r="O43" s="133"/>
      <c r="P43" s="133"/>
      <c r="Q43" s="133"/>
      <c r="R43" s="133"/>
      <c r="S43" s="133"/>
      <c r="T43" s="133"/>
      <c r="U43" s="133"/>
      <c r="V43" s="133"/>
      <c r="W43" s="133"/>
      <c r="X43" s="133"/>
    </row>
    <row r="44" spans="1:24" s="115" customFormat="1" x14ac:dyDescent="0.2">
      <c r="A44" s="127" t="s">
        <v>118</v>
      </c>
      <c r="B44" s="118"/>
      <c r="C44" s="149">
        <f>C28*$C$12</f>
        <v>0</v>
      </c>
      <c r="D44" s="149"/>
      <c r="E44" s="149">
        <f t="shared" ref="E44:M44" si="19">E28*$C$12</f>
        <v>798437.50000000012</v>
      </c>
      <c r="F44" s="149">
        <f t="shared" si="19"/>
        <v>342187.5</v>
      </c>
      <c r="G44" s="149">
        <f t="shared" si="19"/>
        <v>0</v>
      </c>
      <c r="H44" s="149">
        <f t="shared" si="19"/>
        <v>0</v>
      </c>
      <c r="I44" s="149">
        <f t="shared" si="19"/>
        <v>0</v>
      </c>
      <c r="J44" s="149">
        <f t="shared" si="19"/>
        <v>0</v>
      </c>
      <c r="K44" s="149">
        <f t="shared" si="19"/>
        <v>0</v>
      </c>
      <c r="L44" s="149">
        <f t="shared" si="19"/>
        <v>0</v>
      </c>
      <c r="M44" s="149">
        <f t="shared" si="19"/>
        <v>0</v>
      </c>
      <c r="N44" s="134"/>
      <c r="O44" s="133"/>
      <c r="P44" s="133"/>
      <c r="Q44" s="133"/>
      <c r="R44" s="133"/>
      <c r="S44" s="133"/>
      <c r="T44" s="133"/>
      <c r="U44" s="133"/>
      <c r="V44" s="133"/>
      <c r="W44" s="133"/>
      <c r="X44" s="133"/>
    </row>
    <row r="45" spans="1:24" x14ac:dyDescent="0.2">
      <c r="A45" s="127" t="s">
        <v>13</v>
      </c>
      <c r="C45" s="140">
        <f t="shared" ref="C45:M45" si="20">C29*$C$13</f>
        <v>3237600</v>
      </c>
      <c r="D45" s="140"/>
      <c r="E45" s="140">
        <f t="shared" si="20"/>
        <v>5548000</v>
      </c>
      <c r="F45" s="140">
        <f t="shared" si="20"/>
        <v>5548000</v>
      </c>
      <c r="G45" s="140">
        <f t="shared" si="20"/>
        <v>5548000</v>
      </c>
      <c r="H45" s="140">
        <f t="shared" si="20"/>
        <v>5548000</v>
      </c>
      <c r="I45" s="140">
        <f t="shared" si="20"/>
        <v>5548000</v>
      </c>
      <c r="J45" s="140">
        <f t="shared" si="20"/>
        <v>5548000</v>
      </c>
      <c r="K45" s="140">
        <f t="shared" si="20"/>
        <v>5548000</v>
      </c>
      <c r="L45" s="140">
        <f t="shared" si="20"/>
        <v>5548000</v>
      </c>
      <c r="M45" s="140">
        <f t="shared" si="20"/>
        <v>5548000</v>
      </c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</row>
    <row r="46" spans="1:24" x14ac:dyDescent="0.2">
      <c r="A46" s="127" t="s">
        <v>119</v>
      </c>
      <c r="C46" s="140">
        <f t="shared" ref="C46:M46" si="21">C30*$C$14</f>
        <v>1618800</v>
      </c>
      <c r="D46" s="140"/>
      <c r="E46" s="140">
        <f t="shared" si="21"/>
        <v>2774000</v>
      </c>
      <c r="F46" s="140">
        <f t="shared" si="21"/>
        <v>2774000</v>
      </c>
      <c r="G46" s="140">
        <f t="shared" si="21"/>
        <v>2774000</v>
      </c>
      <c r="H46" s="140">
        <f t="shared" si="21"/>
        <v>2774000</v>
      </c>
      <c r="I46" s="140">
        <f t="shared" si="21"/>
        <v>2774000</v>
      </c>
      <c r="J46" s="140">
        <f t="shared" si="21"/>
        <v>2774000</v>
      </c>
      <c r="K46" s="140">
        <f t="shared" si="21"/>
        <v>2774000</v>
      </c>
      <c r="L46" s="140">
        <f t="shared" si="21"/>
        <v>2774000</v>
      </c>
      <c r="M46" s="140">
        <f t="shared" si="21"/>
        <v>2774000</v>
      </c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</row>
    <row r="47" spans="1:24" x14ac:dyDescent="0.2">
      <c r="A47" s="127" t="s">
        <v>119</v>
      </c>
      <c r="C47" s="148">
        <f t="shared" ref="C47:M47" si="22">C31*$C$15</f>
        <v>359437.5</v>
      </c>
      <c r="D47" s="148"/>
      <c r="E47" s="148">
        <f t="shared" si="22"/>
        <v>615937.5</v>
      </c>
      <c r="F47" s="148">
        <f t="shared" si="22"/>
        <v>615937.5</v>
      </c>
      <c r="G47" s="148">
        <f t="shared" si="22"/>
        <v>615937.5</v>
      </c>
      <c r="H47" s="148">
        <f t="shared" si="22"/>
        <v>615937.5</v>
      </c>
      <c r="I47" s="148">
        <f t="shared" si="22"/>
        <v>256640.625</v>
      </c>
      <c r="J47" s="148">
        <f t="shared" si="22"/>
        <v>0</v>
      </c>
      <c r="K47" s="148">
        <f t="shared" si="22"/>
        <v>0</v>
      </c>
      <c r="L47" s="148">
        <f t="shared" si="22"/>
        <v>0</v>
      </c>
      <c r="M47" s="148">
        <f t="shared" si="22"/>
        <v>0</v>
      </c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</row>
    <row r="48" spans="1:24" x14ac:dyDescent="0.2">
      <c r="A48" s="139" t="s">
        <v>16</v>
      </c>
      <c r="C48" s="147">
        <f>SUM(C37:C47)</f>
        <v>10988350.5</v>
      </c>
      <c r="D48" s="147"/>
      <c r="E48" s="147">
        <f t="shared" ref="E48:M48" si="23">SUM(E37:E47)</f>
        <v>16408787.916666668</v>
      </c>
      <c r="F48" s="147">
        <f t="shared" si="23"/>
        <v>13830215</v>
      </c>
      <c r="G48" s="147">
        <f t="shared" si="23"/>
        <v>13488027.5</v>
      </c>
      <c r="H48" s="147">
        <f t="shared" si="23"/>
        <v>13488027.5</v>
      </c>
      <c r="I48" s="147">
        <f t="shared" si="23"/>
        <v>13128730.625</v>
      </c>
      <c r="J48" s="147">
        <f t="shared" si="23"/>
        <v>12872090</v>
      </c>
      <c r="K48" s="147">
        <f t="shared" si="23"/>
        <v>12872090</v>
      </c>
      <c r="L48" s="147">
        <f t="shared" si="23"/>
        <v>12872090</v>
      </c>
      <c r="M48" s="147">
        <f t="shared" si="23"/>
        <v>12872090</v>
      </c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</row>
    <row r="49" spans="1:24" x14ac:dyDescent="0.2">
      <c r="E49" s="140"/>
      <c r="F49" s="140"/>
      <c r="G49" s="140"/>
      <c r="H49" s="140"/>
      <c r="I49" s="140"/>
      <c r="J49" s="140"/>
      <c r="K49" s="140"/>
      <c r="L49" s="140"/>
      <c r="M49" s="140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</row>
    <row r="50" spans="1:24" x14ac:dyDescent="0.2">
      <c r="A50" s="159" t="s">
        <v>127</v>
      </c>
      <c r="E50" s="140"/>
      <c r="F50" s="140"/>
      <c r="G50" s="140"/>
      <c r="H50" s="140"/>
      <c r="I50" s="140"/>
      <c r="J50" s="140"/>
      <c r="K50" s="140"/>
      <c r="L50" s="140"/>
      <c r="M50" s="140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</row>
  </sheetData>
  <phoneticPr fontId="6" type="noConversion"/>
  <pageMargins left="0.75" right="0.75" top="1" bottom="1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61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8" customFormat="1" x14ac:dyDescent="0.2">
      <c r="A53" s="97" t="s">
        <v>102</v>
      </c>
      <c r="E53" s="99"/>
      <c r="F53" s="99"/>
      <c r="H53" s="100"/>
      <c r="I53" s="100"/>
      <c r="J53" s="100"/>
      <c r="K53" s="101"/>
      <c r="L53" s="100"/>
      <c r="M53" s="102"/>
      <c r="N53" s="102"/>
      <c r="O53" s="103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>
        <f>AVERAGE(O52:Z52)</f>
        <v>1062125</v>
      </c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>
        <f>AVERAGE(AA52:AL52)</f>
        <v>1012833.3333333334</v>
      </c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>
        <f>AVERAGE(AM52:AX52)</f>
        <v>976583.33333333337</v>
      </c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4">
        <f>AVERAGE(AY52:BJ52)</f>
        <v>830066.66666666663</v>
      </c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2">
        <f>AVERAGE(BK52:BV52)</f>
        <v>377733.33333333331</v>
      </c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  <col min="61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7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7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7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7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7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7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7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7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7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7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7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7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7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7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7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7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7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7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7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7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7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7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7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7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7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7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7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8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8" customFormat="1" x14ac:dyDescent="0.2">
      <c r="A39" s="97" t="s">
        <v>102</v>
      </c>
      <c r="E39" s="99"/>
      <c r="F39" s="99"/>
      <c r="H39" s="100"/>
      <c r="I39" s="100"/>
      <c r="J39" s="100"/>
      <c r="K39" s="101"/>
      <c r="L39" s="100"/>
      <c r="M39" s="102"/>
      <c r="N39" s="102"/>
      <c r="O39" s="103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>
        <f>AVERAGE(O38:Z38)</f>
        <v>821029.33333333337</v>
      </c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>
        <f>AVERAGE(AA38:AL38)</f>
        <v>838946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>
        <f>AVERAGE(AM38:AX38)</f>
        <v>837279.33333333337</v>
      </c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4">
        <f>AVERAGE(AY38:BJ38)</f>
        <v>787946</v>
      </c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2">
        <f>AVERAGE(BK38:BV38)</f>
        <v>723446</v>
      </c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9.140625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8" customFormat="1" x14ac:dyDescent="0.2">
      <c r="A35" s="97" t="s">
        <v>102</v>
      </c>
      <c r="E35" s="99"/>
      <c r="F35" s="99"/>
      <c r="H35" s="100"/>
      <c r="I35" s="100"/>
      <c r="J35" s="100"/>
      <c r="K35" s="101"/>
      <c r="L35" s="100"/>
      <c r="M35" s="102"/>
      <c r="N35" s="102"/>
      <c r="O35" s="103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>
        <f>AVERAGE(O34:Z34)</f>
        <v>446000</v>
      </c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>
        <f>AVERAGE(AA34:AL34)</f>
        <v>392500</v>
      </c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>
        <f>AVERAGE(AM34:AX34)</f>
        <v>100416.66666666667</v>
      </c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4">
        <f>AVERAGE(AY34:BJ34)</f>
        <v>90000</v>
      </c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2">
        <f>AVERAGE(BK34:BV34)</f>
        <v>62500</v>
      </c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5"/>
      <c r="CW35" s="105"/>
      <c r="CX35" s="105"/>
      <c r="CY35" s="105"/>
      <c r="CZ35" s="105"/>
      <c r="DA35" s="105"/>
      <c r="DB35" s="105"/>
      <c r="DC35" s="105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8" customFormat="1" x14ac:dyDescent="0.2">
      <c r="A54" s="97" t="s">
        <v>102</v>
      </c>
      <c r="E54" s="99"/>
      <c r="F54" s="99"/>
      <c r="H54" s="100"/>
      <c r="I54" s="100"/>
      <c r="J54" s="100"/>
      <c r="K54" s="101"/>
      <c r="L54" s="100"/>
      <c r="M54" s="102"/>
      <c r="N54" s="102"/>
      <c r="O54" s="103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>
        <f>AVERAGE(O53:Z53)</f>
        <v>176000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>
        <f>AVERAGE(AA53:AL53)</f>
        <v>162500</v>
      </c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>
        <f>AVERAGE(AM53:AX53)</f>
        <v>162500</v>
      </c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4">
        <f>AVERAGE(AY53:BJ53)</f>
        <v>162500</v>
      </c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2">
        <f>AVERAGE(BK53:BV53)</f>
        <v>1041.6666666666667</v>
      </c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8" customFormat="1" x14ac:dyDescent="0.2">
      <c r="A28" s="97" t="s">
        <v>102</v>
      </c>
      <c r="E28" s="99"/>
      <c r="F28" s="99"/>
      <c r="H28" s="100"/>
      <c r="I28" s="100"/>
      <c r="J28" s="100"/>
      <c r="K28" s="101"/>
      <c r="L28" s="100"/>
      <c r="M28" s="102"/>
      <c r="N28" s="102"/>
      <c r="O28" s="103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>
        <f>AVERAGE(O27:Z27)</f>
        <v>684611.13333333319</v>
      </c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>
        <f>AVERAGE(AA27:AL27)</f>
        <v>681902.79999999993</v>
      </c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>
        <f>AVERAGE(AM27:AX27)</f>
        <v>681902.79999999993</v>
      </c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4">
        <f>AVERAGE(AY27:BJ27)</f>
        <v>584117.13333333319</v>
      </c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2">
        <f>AVERAGE(BK27:BV27)</f>
        <v>95188.800000000032</v>
      </c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7" max="57" width="9.140625" bestFit="1" customWidth="1"/>
    <col min="58" max="58" width="12.7109375" customWidth="1"/>
    <col min="59" max="59" width="9.140625" bestFit="1" customWidth="1"/>
    <col min="60" max="60" width="12.7109375" customWidth="1"/>
    <col min="61" max="61" width="9.140625" customWidth="1"/>
    <col min="62" max="62" width="12.28515625" bestFit="1" customWidth="1"/>
    <col min="63" max="73" width="9.140625" customWidth="1"/>
    <col min="74" max="74" width="12.28515625" bestFit="1" customWidth="1"/>
    <col min="75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8" customFormat="1" x14ac:dyDescent="0.2">
      <c r="A47" s="97" t="s">
        <v>106</v>
      </c>
      <c r="E47" s="99"/>
      <c r="F47" s="99"/>
      <c r="H47" s="100"/>
      <c r="I47" s="100"/>
      <c r="J47" s="100"/>
      <c r="K47" s="101"/>
      <c r="L47" s="100"/>
      <c r="M47" s="102"/>
      <c r="N47" s="102"/>
      <c r="O47" s="103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>
        <f>SUM(O46:Z46)</f>
        <v>123549989.75000001</v>
      </c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>
        <f>SUM(AA46:AL46)</f>
        <v>128901362.25000001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>
        <f>SUM(AM46:AX46)</f>
        <v>121569747.90000002</v>
      </c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4">
        <f>SUM(AY46:BJ46)</f>
        <v>119266676.25000001</v>
      </c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2">
        <f>SUM(BK46:BV46)</f>
        <v>113953972.25000001</v>
      </c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12" max="25" width="9.140625" bestFit="1" customWidth="1"/>
    <col min="26" max="26" width="11.5703125" bestFit="1" customWidth="1"/>
    <col min="27" max="37" width="9.140625" bestFit="1" customWidth="1"/>
    <col min="38" max="38" width="10.85546875" bestFit="1" customWidth="1"/>
    <col min="39" max="49" width="9.140625" bestFit="1" customWidth="1"/>
    <col min="50" max="50" width="11.5703125" bestFit="1" customWidth="1"/>
    <col min="51" max="60" width="9.140625" bestFit="1" customWidth="1"/>
    <col min="61" max="61" width="9.140625" customWidth="1"/>
    <col min="62" max="62" width="12" bestFit="1" customWidth="1"/>
    <col min="63" max="73" width="9.140625" customWidth="1"/>
    <col min="74" max="74" width="12" bestFit="1" customWidth="1"/>
    <col min="75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9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9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9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9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9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9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9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9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9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9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9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9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8" customFormat="1" x14ac:dyDescent="0.2">
      <c r="A39" s="97" t="s">
        <v>106</v>
      </c>
      <c r="E39" s="99"/>
      <c r="F39" s="99"/>
      <c r="H39" s="100"/>
      <c r="I39" s="100"/>
      <c r="J39" s="100"/>
      <c r="K39" s="101"/>
      <c r="L39" s="100"/>
      <c r="M39" s="102"/>
      <c r="N39" s="102"/>
      <c r="O39" s="103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>
        <f>SUM(O38:Z38)</f>
        <v>21896939.84</v>
      </c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>
        <f>SUM(AA38:AL38)</f>
        <v>21811505.84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>
        <f>SUM(AM38:AX38)</f>
        <v>21780705.855999999</v>
      </c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4">
        <f>SUM(AY38:BJ38)</f>
        <v>20753005.84</v>
      </c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2">
        <f>SUM(BK38:BV38)</f>
        <v>20753005.84</v>
      </c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8" customFormat="1" x14ac:dyDescent="0.2">
      <c r="A29" s="97" t="s">
        <v>106</v>
      </c>
      <c r="E29" s="99"/>
      <c r="F29" s="99"/>
      <c r="H29" s="100"/>
      <c r="I29" s="100"/>
      <c r="J29" s="100"/>
      <c r="K29" s="101"/>
      <c r="L29" s="100"/>
      <c r="M29" s="102"/>
      <c r="N29" s="102"/>
      <c r="O29" s="103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>
        <f>SUM(O28:Z28)</f>
        <v>8645572.5</v>
      </c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>
        <f>SUM(AA28:AL28)</f>
        <v>7287590</v>
      </c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>
        <f>SUM(AM28:AX28)</f>
        <v>7307556</v>
      </c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4">
        <f>SUM(AY28:BJ28)</f>
        <v>7287590</v>
      </c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2">
        <f>SUM(BK28:BV28)</f>
        <v>7287590</v>
      </c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</row>
    <row r="30" spans="1:107" s="98" customFormat="1" x14ac:dyDescent="0.2">
      <c r="A30" s="97"/>
      <c r="E30" s="99"/>
      <c r="F30" s="99"/>
      <c r="H30" s="100"/>
      <c r="I30" s="100"/>
      <c r="J30" s="100"/>
      <c r="K30" s="101"/>
      <c r="L30" s="100"/>
      <c r="M30" s="102"/>
      <c r="N30" s="102"/>
      <c r="O30" s="103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4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8" customFormat="1" x14ac:dyDescent="0.2">
      <c r="A40" s="97" t="s">
        <v>106</v>
      </c>
      <c r="E40" s="99"/>
      <c r="F40" s="99"/>
      <c r="H40" s="100"/>
      <c r="I40" s="100"/>
      <c r="J40" s="100"/>
      <c r="K40" s="101"/>
      <c r="L40" s="100"/>
      <c r="M40" s="102"/>
      <c r="N40" s="102"/>
      <c r="O40" s="103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>
        <f>SUM(O39:Z39)</f>
        <v>2137987.5</v>
      </c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>
        <f>SUM(AA39:AL39)</f>
        <v>1916250</v>
      </c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>
        <f>SUM(AM39:AX39)</f>
        <v>1921500</v>
      </c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4">
        <f>SUM(AY39:BJ39)</f>
        <v>1916250</v>
      </c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2">
        <f>SUM(BK39:BV39)</f>
        <v>273750</v>
      </c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Existing volumes</vt:lpstr>
      <vt:lpstr>Red Rock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2001-11-25T20:05:05Z</cp:lastPrinted>
  <dcterms:created xsi:type="dcterms:W3CDTF">2001-02-09T21:48:16Z</dcterms:created>
  <dcterms:modified xsi:type="dcterms:W3CDTF">2023-09-14T18:19:08Z</dcterms:modified>
</cp:coreProperties>
</file>